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hidePivotFieldList="1" autoCompressPictures="0" defaultThemeVersion="124226"/>
  <bookViews>
    <workbookView xWindow="0" yWindow="0" windowWidth="19200" windowHeight="11295" tabRatio="880" firstSheet="21" activeTab="26"/>
  </bookViews>
  <sheets>
    <sheet name="x" sheetId="3" state="hidden" r:id="rId1"/>
    <sheet name="FF" sheetId="5" state="hidden" r:id="rId2"/>
    <sheet name="02-04-2022" sheetId="515" state="hidden" r:id="rId3"/>
    <sheet name="25-04-2022 (Simulation)" sheetId="535" state="hidden" r:id="rId4"/>
    <sheet name="13-08-2022 (2)" sheetId="617" state="hidden" r:id="rId5"/>
    <sheet name="23-08-2022 (2)" sheetId="625" state="hidden" r:id="rId6"/>
    <sheet name="Garys" sheetId="835" state="hidden" r:id="rId7"/>
    <sheet name="Manque en pcs" sheetId="712" state="hidden" r:id="rId8"/>
    <sheet name="Feuil1" sheetId="1260" state="hidden" r:id="rId9"/>
    <sheet name="01-01-2026" sheetId="1584" r:id="rId10"/>
    <sheet name="Summary %" sheetId="1532" state="hidden" r:id="rId11"/>
    <sheet name="02-01-2026" sheetId="1586" r:id="rId12"/>
    <sheet name="03-01-2026" sheetId="1587" r:id="rId13"/>
    <sheet name="05-01-2026" sheetId="1588" r:id="rId14"/>
    <sheet name="06-01-2026" sheetId="1589" r:id="rId15"/>
    <sheet name="07-01-2026" sheetId="1590" r:id="rId16"/>
    <sheet name="08-01-2026" sheetId="1591" r:id="rId17"/>
    <sheet name="09-01-2026" sheetId="1592" r:id="rId18"/>
    <sheet name="10-01-2026" sheetId="1593" r:id="rId19"/>
    <sheet name="12-01-2026" sheetId="1594" r:id="rId20"/>
    <sheet name="13-01-2026" sheetId="1595" r:id="rId21"/>
    <sheet name="14-01-2026" sheetId="1596" r:id="rId22"/>
    <sheet name="15-01-2026" sheetId="1597" r:id="rId23"/>
    <sheet name="16-01-2026" sheetId="1598" r:id="rId24"/>
    <sheet name="17-01-2026" sheetId="1599" r:id="rId25"/>
    <sheet name="19-01-2026" sheetId="1600" r:id="rId26"/>
    <sheet name="20-01-2026" sheetId="1601" r:id="rId27"/>
    <sheet name="Summary %--" sheetId="1585" r:id="rId28"/>
    <sheet name="Encours au Prép" sheetId="1579" r:id="rId29"/>
    <sheet name="Obprix" sheetId="1344" state="hidden" r:id="rId30"/>
    <sheet name="Feuil2" sheetId="1339" state="hidden" r:id="rId31"/>
    <sheet name="Obj Prix" sheetId="18" state="hidden" r:id="rId32"/>
    <sheet name="Lancements" sheetId="337" state="hidden" r:id="rId33"/>
  </sheets>
  <definedNames>
    <definedName name="_xlnm._FilterDatabase" localSheetId="9" hidden="1">'01-01-2026'!$A$5:$CQ$77</definedName>
    <definedName name="_xlnm._FilterDatabase" localSheetId="11" hidden="1">'02-01-2026'!$A$5:$CQ$89</definedName>
    <definedName name="_xlnm._FilterDatabase" localSheetId="2" hidden="1">'02-04-2022'!$A$1:$AF$92</definedName>
    <definedName name="_xlnm._FilterDatabase" localSheetId="12" hidden="1">'03-01-2026'!$A$5:$CR$93</definedName>
    <definedName name="_xlnm._FilterDatabase" localSheetId="13" hidden="1">'05-01-2026'!$A$5:$CR$97</definedName>
    <definedName name="_xlnm._FilterDatabase" localSheetId="14" hidden="1">'06-01-2026'!$A$5:$CR$101</definedName>
    <definedName name="_xlnm._FilterDatabase" localSheetId="15" hidden="1">'07-01-2026'!$A$5:$CR$113</definedName>
    <definedName name="_xlnm._FilterDatabase" localSheetId="16" hidden="1">'08-01-2026'!$A$5:$CR$109</definedName>
    <definedName name="_xlnm._FilterDatabase" localSheetId="17" hidden="1">'09-01-2026'!$A$5:$CR$109</definedName>
    <definedName name="_xlnm._FilterDatabase" localSheetId="18" hidden="1">'10-01-2026'!$A$5:$CR$101</definedName>
    <definedName name="_xlnm._FilterDatabase" localSheetId="19" hidden="1">'12-01-2026'!$A$5:$CR$97</definedName>
    <definedName name="_xlnm._FilterDatabase" localSheetId="20" hidden="1">'13-01-2026'!$A$5:$CR$93</definedName>
    <definedName name="_xlnm._FilterDatabase" localSheetId="4" hidden="1">'13-08-2022 (2)'!$A$5:$CV$81</definedName>
    <definedName name="_xlnm._FilterDatabase" localSheetId="21" hidden="1">'14-01-2026'!$A$5:$CR$85</definedName>
    <definedName name="_xlnm._FilterDatabase" localSheetId="22" hidden="1">'15-01-2026'!$A$5:$CR$89</definedName>
    <definedName name="_xlnm._FilterDatabase" localSheetId="23" hidden="1">'16-01-2026'!$A$5:$CR$89</definedName>
    <definedName name="_xlnm._FilterDatabase" localSheetId="24" hidden="1">'17-01-2026'!$A$5:$CR$89</definedName>
    <definedName name="_xlnm._FilterDatabase" localSheetId="25" hidden="1">'19-01-2026'!$A$5:$CR$81</definedName>
    <definedName name="_xlnm._FilterDatabase" localSheetId="26" hidden="1">'20-01-2026'!$A$5:$CR$81</definedName>
    <definedName name="_xlnm._FilterDatabase" localSheetId="5" hidden="1">'23-08-2022 (2)'!$A$5:$CV$89</definedName>
    <definedName name="_xlnm._FilterDatabase" localSheetId="3" hidden="1">'25-04-2022 (Simulation)'!$A$1:$AF$104</definedName>
    <definedName name="_xlnm._FilterDatabase" localSheetId="1" hidden="1">FF!$B$3:$AA$79</definedName>
    <definedName name="_xlnm._FilterDatabase" localSheetId="6" hidden="1">Garys!$B$5:$K$34</definedName>
    <definedName name="_xlnm.Print_Area" localSheetId="9">'01-01-2026'!$B$1:$AI$9</definedName>
    <definedName name="_xlnm.Print_Area" localSheetId="11">'02-01-2026'!$B$1:$AI$9</definedName>
    <definedName name="_xlnm.Print_Area" localSheetId="2">'02-04-2022'!$A$1:$AD$87</definedName>
    <definedName name="_xlnm.Print_Area" localSheetId="12">'03-01-2026'!$B$1:$AJ$9</definedName>
    <definedName name="_xlnm.Print_Area" localSheetId="13">'05-01-2026'!$B$1:$AJ$9</definedName>
    <definedName name="_xlnm.Print_Area" localSheetId="14">'06-01-2026'!$B$1:$AJ$9</definedName>
    <definedName name="_xlnm.Print_Area" localSheetId="15">'07-01-2026'!$B$1:$AJ$9</definedName>
    <definedName name="_xlnm.Print_Area" localSheetId="16">'08-01-2026'!$B$1:$AJ$5</definedName>
    <definedName name="_xlnm.Print_Area" localSheetId="17">'09-01-2026'!$B$1:$AJ$5</definedName>
    <definedName name="_xlnm.Print_Area" localSheetId="18">'10-01-2026'!$B$1:$AJ$5</definedName>
    <definedName name="_xlnm.Print_Area" localSheetId="19">'12-01-2026'!$B$1:$AJ$5</definedName>
    <definedName name="_xlnm.Print_Area" localSheetId="20">'13-01-2026'!$B$1:$AJ$5</definedName>
    <definedName name="_xlnm.Print_Area" localSheetId="4">'13-08-2022 (2)'!$A$1:$AG$81</definedName>
    <definedName name="_xlnm.Print_Area" localSheetId="21">'14-01-2026'!$B$1:$AJ$5</definedName>
    <definedName name="_xlnm.Print_Area" localSheetId="22">'15-01-2026'!$B$1:$AJ$5</definedName>
    <definedName name="_xlnm.Print_Area" localSheetId="23">'16-01-2026'!$B$1:$AJ$5</definedName>
    <definedName name="_xlnm.Print_Area" localSheetId="24">'17-01-2026'!$B$1:$AJ$5</definedName>
    <definedName name="_xlnm.Print_Area" localSheetId="25">'19-01-2026'!$B$1:$AJ$5</definedName>
    <definedName name="_xlnm.Print_Area" localSheetId="26">'20-01-2026'!$B$1:$AJ$5</definedName>
    <definedName name="_xlnm.Print_Area" localSheetId="5">'23-08-2022 (2)'!$A$1:$AF$89</definedName>
    <definedName name="_xlnm.Print_Area" localSheetId="3">'25-04-2022 (Simulation)'!$A$1:$AD$99</definedName>
    <definedName name="_xlnm.Print_Area" localSheetId="1">FF!$A$1:$AA$79</definedName>
    <definedName name="_xlnm.Print_Area" localSheetId="10">'Summary %'!$A$1:$Y$60</definedName>
    <definedName name="_xlnm.Print_Area" localSheetId="27">'Summary %--'!$B$1:$Y$60</definedName>
    <definedName name="_xlnm.Print_Titles" localSheetId="2">'02-04-2022'!$2:$5</definedName>
    <definedName name="_xlnm.Print_Titles" localSheetId="4">'13-08-2022 (2)'!$2:$5</definedName>
    <definedName name="_xlnm.Print_Titles" localSheetId="5">'23-08-2022 (2)'!$2:$5</definedName>
    <definedName name="_xlnm.Print_Titles" localSheetId="3">'25-04-2022 (Simulation)'!$2:$5</definedName>
    <definedName name="_xlnm.Print_Titles" localSheetId="1">FF!$1:$3</definedName>
  </definedNames>
  <calcPr calcId="152511"/>
</workbook>
</file>

<file path=xl/calcChain.xml><?xml version="1.0" encoding="utf-8"?>
<calcChain xmlns="http://schemas.openxmlformats.org/spreadsheetml/2006/main">
  <c r="D15" i="1579" l="1"/>
  <c r="G65" i="1601" l="1"/>
  <c r="G64" i="1601"/>
  <c r="G63" i="1601"/>
  <c r="AK65" i="1601" l="1"/>
  <c r="AL65" i="1601" s="1"/>
  <c r="AH65" i="1601"/>
  <c r="AG65" i="1601"/>
  <c r="AA65" i="1601"/>
  <c r="J65" i="1601"/>
  <c r="B65" i="1601"/>
  <c r="AL64" i="1601"/>
  <c r="AH64" i="1601"/>
  <c r="AG64" i="1601"/>
  <c r="AA64" i="1601"/>
  <c r="I64" i="1601"/>
  <c r="E64" i="1601"/>
  <c r="E65" i="1601" s="1"/>
  <c r="B64" i="1601"/>
  <c r="AA63" i="1601"/>
  <c r="Z65" i="1601" s="1"/>
  <c r="C63" i="1601"/>
  <c r="AH62" i="1601"/>
  <c r="AG62" i="1601"/>
  <c r="AA62" i="1601"/>
  <c r="AB62" i="1601" s="1"/>
  <c r="B62" i="1601"/>
  <c r="AM64" i="1601" l="1"/>
  <c r="AQ63" i="1601"/>
  <c r="X62" i="1601" s="1"/>
  <c r="AE63" i="1601"/>
  <c r="X64" i="1601"/>
  <c r="Z62" i="1601" s="1"/>
  <c r="AF63" i="1601"/>
  <c r="AJ63" i="1601" s="1"/>
  <c r="AM65" i="1601"/>
  <c r="AB63" i="1601"/>
  <c r="AD63" i="1601" s="1"/>
  <c r="AI63" i="1601"/>
  <c r="J49" i="1601"/>
  <c r="J41" i="1601"/>
  <c r="AG63" i="1601" l="1"/>
  <c r="AH63" i="1601"/>
  <c r="AV63" i="1601"/>
  <c r="AD65" i="1601"/>
  <c r="W93" i="1601"/>
  <c r="V93" i="1601"/>
  <c r="U93" i="1601"/>
  <c r="U90" i="1601" s="1"/>
  <c r="T93" i="1601"/>
  <c r="S93" i="1601"/>
  <c r="R93" i="1601"/>
  <c r="Q93" i="1601"/>
  <c r="Q90" i="1601" s="1"/>
  <c r="P93" i="1601"/>
  <c r="P90" i="1601" s="1"/>
  <c r="O93" i="1601"/>
  <c r="N93" i="1601"/>
  <c r="N90" i="1601" s="1"/>
  <c r="M93" i="1601"/>
  <c r="M90" i="1601" s="1"/>
  <c r="W87" i="1601"/>
  <c r="V87" i="1601"/>
  <c r="U87" i="1601"/>
  <c r="T87" i="1601"/>
  <c r="S87" i="1601"/>
  <c r="R87" i="1601"/>
  <c r="Q87" i="1601"/>
  <c r="P87" i="1601"/>
  <c r="O87" i="1601"/>
  <c r="N87" i="1601"/>
  <c r="M87" i="1601"/>
  <c r="W85" i="1601"/>
  <c r="V85" i="1601"/>
  <c r="U85" i="1601"/>
  <c r="T85" i="1601"/>
  <c r="S85" i="1601"/>
  <c r="R85" i="1601"/>
  <c r="Q85" i="1601"/>
  <c r="P85" i="1601"/>
  <c r="O85" i="1601"/>
  <c r="N85" i="1601"/>
  <c r="M85" i="1601"/>
  <c r="W83" i="1601"/>
  <c r="V83" i="1601"/>
  <c r="U83" i="1601"/>
  <c r="T83" i="1601"/>
  <c r="S83" i="1601"/>
  <c r="R83" i="1601"/>
  <c r="Q83" i="1601"/>
  <c r="P83" i="1601"/>
  <c r="O83" i="1601"/>
  <c r="N83" i="1601"/>
  <c r="M83" i="1601"/>
  <c r="AK81" i="1601"/>
  <c r="AL80" i="1601" s="1"/>
  <c r="AH81" i="1601"/>
  <c r="AG81" i="1601"/>
  <c r="AA81" i="1601"/>
  <c r="J81" i="1601"/>
  <c r="B81" i="1601"/>
  <c r="AH80" i="1601"/>
  <c r="AG80" i="1601"/>
  <c r="AA80" i="1601"/>
  <c r="I80" i="1601"/>
  <c r="E80" i="1601"/>
  <c r="E81" i="1601" s="1"/>
  <c r="B80" i="1601"/>
  <c r="AA79" i="1601"/>
  <c r="G79" i="1601"/>
  <c r="G80" i="1601" s="1"/>
  <c r="G81" i="1601" s="1"/>
  <c r="C79" i="1601"/>
  <c r="AH78" i="1601"/>
  <c r="AG78" i="1601"/>
  <c r="AA78" i="1601"/>
  <c r="AQ79" i="1601" s="1"/>
  <c r="X78" i="1601" s="1"/>
  <c r="B78" i="1601"/>
  <c r="AK77" i="1601"/>
  <c r="AL77" i="1601" s="1"/>
  <c r="AH77" i="1601"/>
  <c r="AG77" i="1601"/>
  <c r="AA77" i="1601"/>
  <c r="J77" i="1601"/>
  <c r="G77" i="1601"/>
  <c r="B77" i="1601"/>
  <c r="AH76" i="1601"/>
  <c r="AG76" i="1601"/>
  <c r="AA76" i="1601"/>
  <c r="I76" i="1601"/>
  <c r="G76" i="1601"/>
  <c r="E76" i="1601"/>
  <c r="E77" i="1601" s="1"/>
  <c r="B76" i="1601"/>
  <c r="AA75" i="1601"/>
  <c r="G75" i="1601"/>
  <c r="C75" i="1601"/>
  <c r="AH74" i="1601"/>
  <c r="AG74" i="1601"/>
  <c r="AA74" i="1601"/>
  <c r="B74" i="1601"/>
  <c r="AK73" i="1601"/>
  <c r="AH73" i="1601"/>
  <c r="AG73" i="1601"/>
  <c r="AA73" i="1601"/>
  <c r="J73" i="1601"/>
  <c r="B73" i="1601"/>
  <c r="AH72" i="1601"/>
  <c r="AG72" i="1601"/>
  <c r="AA72" i="1601"/>
  <c r="I72" i="1601"/>
  <c r="E72" i="1601"/>
  <c r="E73" i="1601" s="1"/>
  <c r="B72" i="1601"/>
  <c r="AA71" i="1601"/>
  <c r="AB71" i="1601" s="1"/>
  <c r="G71" i="1601"/>
  <c r="G72" i="1601" s="1"/>
  <c r="G73" i="1601" s="1"/>
  <c r="C71" i="1601"/>
  <c r="AH70" i="1601"/>
  <c r="AG70" i="1601"/>
  <c r="AA70" i="1601"/>
  <c r="AB70" i="1601" s="1"/>
  <c r="B70" i="1601"/>
  <c r="AK69" i="1601"/>
  <c r="AL69" i="1601" s="1"/>
  <c r="AH69" i="1601"/>
  <c r="AG69" i="1601"/>
  <c r="AA69" i="1601"/>
  <c r="J69" i="1601"/>
  <c r="B69" i="1601"/>
  <c r="AH68" i="1601"/>
  <c r="AG68" i="1601"/>
  <c r="AA68" i="1601"/>
  <c r="I68" i="1601"/>
  <c r="E68" i="1601"/>
  <c r="E69" i="1601" s="1"/>
  <c r="B68" i="1601"/>
  <c r="AA67" i="1601"/>
  <c r="G67" i="1601"/>
  <c r="G68" i="1601" s="1"/>
  <c r="G69" i="1601" s="1"/>
  <c r="C67" i="1601"/>
  <c r="AH66" i="1601"/>
  <c r="AG66" i="1601"/>
  <c r="AA66" i="1601"/>
  <c r="B66" i="1601"/>
  <c r="AK61" i="1601"/>
  <c r="AL60" i="1601" s="1"/>
  <c r="AH61" i="1601"/>
  <c r="AG61" i="1601"/>
  <c r="AA61" i="1601"/>
  <c r="J61" i="1601"/>
  <c r="B61" i="1601"/>
  <c r="AH60" i="1601"/>
  <c r="AG60" i="1601"/>
  <c r="AA60" i="1601"/>
  <c r="I60" i="1601"/>
  <c r="E60" i="1601"/>
  <c r="E61" i="1601" s="1"/>
  <c r="B60" i="1601"/>
  <c r="AA59" i="1601"/>
  <c r="C59" i="1601"/>
  <c r="AH58" i="1601"/>
  <c r="AG58" i="1601"/>
  <c r="AA58" i="1601"/>
  <c r="AB58" i="1601" s="1"/>
  <c r="B58" i="1601"/>
  <c r="AK57" i="1601"/>
  <c r="AL57" i="1601" s="1"/>
  <c r="AH57" i="1601"/>
  <c r="AG57" i="1601"/>
  <c r="AA57" i="1601"/>
  <c r="J57" i="1601"/>
  <c r="B57" i="1601"/>
  <c r="AL56" i="1601"/>
  <c r="AH56" i="1601"/>
  <c r="AG56" i="1601"/>
  <c r="AA56" i="1601"/>
  <c r="I56" i="1601"/>
  <c r="E56" i="1601"/>
  <c r="E57" i="1601" s="1"/>
  <c r="B56" i="1601"/>
  <c r="AA55" i="1601"/>
  <c r="AI55" i="1601" s="1"/>
  <c r="G55" i="1601"/>
  <c r="G56" i="1601" s="1"/>
  <c r="G57" i="1601" s="1"/>
  <c r="C55" i="1601"/>
  <c r="AH54" i="1601"/>
  <c r="AG54" i="1601"/>
  <c r="AA54" i="1601"/>
  <c r="AB54" i="1601" s="1"/>
  <c r="B54" i="1601"/>
  <c r="AK53" i="1601"/>
  <c r="AH53" i="1601"/>
  <c r="AG53" i="1601"/>
  <c r="AA53" i="1601"/>
  <c r="J53" i="1601"/>
  <c r="B53" i="1601"/>
  <c r="AH52" i="1601"/>
  <c r="AG52" i="1601"/>
  <c r="AA52" i="1601"/>
  <c r="I52" i="1601"/>
  <c r="E52" i="1601"/>
  <c r="E53" i="1601" s="1"/>
  <c r="B52" i="1601"/>
  <c r="AA51" i="1601"/>
  <c r="Z53" i="1601" s="1"/>
  <c r="G51" i="1601"/>
  <c r="G52" i="1601" s="1"/>
  <c r="G53" i="1601" s="1"/>
  <c r="C51" i="1601"/>
  <c r="AH50" i="1601"/>
  <c r="AG50" i="1601"/>
  <c r="AA50" i="1601"/>
  <c r="B50" i="1601"/>
  <c r="AK49" i="1601"/>
  <c r="AL48" i="1601" s="1"/>
  <c r="AH49" i="1601"/>
  <c r="AG49" i="1601"/>
  <c r="AA49" i="1601"/>
  <c r="B49" i="1601"/>
  <c r="AH48" i="1601"/>
  <c r="AG48" i="1601"/>
  <c r="AA48" i="1601"/>
  <c r="I48" i="1601"/>
  <c r="E48" i="1601"/>
  <c r="E49" i="1601" s="1"/>
  <c r="B48" i="1601"/>
  <c r="AA47" i="1601"/>
  <c r="G47" i="1601"/>
  <c r="G48" i="1601" s="1"/>
  <c r="G49" i="1601" s="1"/>
  <c r="AH46" i="1601"/>
  <c r="AG46" i="1601"/>
  <c r="AA46" i="1601"/>
  <c r="B46" i="1601"/>
  <c r="AK45" i="1601"/>
  <c r="AL45" i="1601" s="1"/>
  <c r="AH45" i="1601"/>
  <c r="AG45" i="1601"/>
  <c r="AA45" i="1601"/>
  <c r="J45" i="1601"/>
  <c r="B45" i="1601"/>
  <c r="AH44" i="1601"/>
  <c r="AG44" i="1601"/>
  <c r="AA44" i="1601"/>
  <c r="I44" i="1601"/>
  <c r="E44" i="1601"/>
  <c r="E45" i="1601" s="1"/>
  <c r="B44" i="1601"/>
  <c r="X42" i="1601"/>
  <c r="AA43" i="1601"/>
  <c r="AB43" i="1601" s="1"/>
  <c r="G43" i="1601"/>
  <c r="G44" i="1601" s="1"/>
  <c r="G45" i="1601" s="1"/>
  <c r="C43" i="1601"/>
  <c r="AH42" i="1601"/>
  <c r="AG42" i="1601"/>
  <c r="AA42" i="1601"/>
  <c r="AB42" i="1601" s="1"/>
  <c r="B42" i="1601"/>
  <c r="AK41" i="1601"/>
  <c r="AH41" i="1601"/>
  <c r="AG41" i="1601"/>
  <c r="AA41" i="1601"/>
  <c r="B41" i="1601"/>
  <c r="AH40" i="1601"/>
  <c r="AG40" i="1601"/>
  <c r="AA40" i="1601"/>
  <c r="I40" i="1601"/>
  <c r="E40" i="1601"/>
  <c r="E41" i="1601" s="1"/>
  <c r="B40" i="1601"/>
  <c r="AA39" i="1601"/>
  <c r="G39" i="1601"/>
  <c r="G40" i="1601" s="1"/>
  <c r="G41" i="1601" s="1"/>
  <c r="C39" i="1601"/>
  <c r="AH38" i="1601"/>
  <c r="AG38" i="1601"/>
  <c r="AA38" i="1601"/>
  <c r="B38" i="1601"/>
  <c r="AK37" i="1601"/>
  <c r="AL37" i="1601" s="1"/>
  <c r="AH37" i="1601"/>
  <c r="AG37" i="1601"/>
  <c r="AA37" i="1601"/>
  <c r="J37" i="1601"/>
  <c r="B37" i="1601"/>
  <c r="AL36" i="1601"/>
  <c r="AH36" i="1601"/>
  <c r="AG36" i="1601"/>
  <c r="AA36" i="1601"/>
  <c r="I36" i="1601"/>
  <c r="E36" i="1601"/>
  <c r="E37" i="1601" s="1"/>
  <c r="B36" i="1601"/>
  <c r="AA35" i="1601"/>
  <c r="AI35" i="1601" s="1"/>
  <c r="G35" i="1601"/>
  <c r="G36" i="1601" s="1"/>
  <c r="G37" i="1601" s="1"/>
  <c r="C35" i="1601"/>
  <c r="AH34" i="1601"/>
  <c r="AG34" i="1601"/>
  <c r="AA34" i="1601"/>
  <c r="AB34" i="1601" s="1"/>
  <c r="X34" i="1601"/>
  <c r="B34" i="1601"/>
  <c r="AK33" i="1601"/>
  <c r="AL33" i="1601" s="1"/>
  <c r="AH33" i="1601"/>
  <c r="AG33" i="1601"/>
  <c r="AA33" i="1601"/>
  <c r="J33" i="1601"/>
  <c r="B33" i="1601"/>
  <c r="AH32" i="1601"/>
  <c r="AG32" i="1601"/>
  <c r="AA32" i="1601"/>
  <c r="I32" i="1601"/>
  <c r="E32" i="1601"/>
  <c r="E33" i="1601" s="1"/>
  <c r="B32" i="1601"/>
  <c r="AA31" i="1601"/>
  <c r="G31" i="1601"/>
  <c r="G32" i="1601" s="1"/>
  <c r="G33" i="1601" s="1"/>
  <c r="C31" i="1601"/>
  <c r="AH30" i="1601"/>
  <c r="AG30" i="1601"/>
  <c r="AA30" i="1601"/>
  <c r="AB30" i="1601" s="1"/>
  <c r="B30" i="1601"/>
  <c r="AK29" i="1601"/>
  <c r="AL29" i="1601" s="1"/>
  <c r="AH29" i="1601"/>
  <c r="AG29" i="1601"/>
  <c r="AA29" i="1601"/>
  <c r="J29" i="1601"/>
  <c r="B29" i="1601"/>
  <c r="AL28" i="1601"/>
  <c r="AH28" i="1601"/>
  <c r="AG28" i="1601"/>
  <c r="AA28" i="1601"/>
  <c r="I28" i="1601"/>
  <c r="E28" i="1601"/>
  <c r="E29" i="1601" s="1"/>
  <c r="B28" i="1601"/>
  <c r="AA27" i="1601"/>
  <c r="G27" i="1601"/>
  <c r="G28" i="1601" s="1"/>
  <c r="G29" i="1601" s="1"/>
  <c r="C27" i="1601"/>
  <c r="AH26" i="1601"/>
  <c r="AG26" i="1601"/>
  <c r="AA26" i="1601"/>
  <c r="X26" i="1601" s="1"/>
  <c r="B26" i="1601"/>
  <c r="AK25" i="1601"/>
  <c r="AL24" i="1601" s="1"/>
  <c r="AH25" i="1601"/>
  <c r="AG25" i="1601"/>
  <c r="AA25" i="1601"/>
  <c r="J25" i="1601"/>
  <c r="B25" i="1601"/>
  <c r="AH24" i="1601"/>
  <c r="AG24" i="1601"/>
  <c r="AA24" i="1601"/>
  <c r="I24" i="1601"/>
  <c r="E24" i="1601"/>
  <c r="E25" i="1601" s="1"/>
  <c r="B24" i="1601"/>
  <c r="AA23" i="1601"/>
  <c r="AB23" i="1601" s="1"/>
  <c r="G23" i="1601"/>
  <c r="G24" i="1601" s="1"/>
  <c r="G25" i="1601" s="1"/>
  <c r="C23" i="1601"/>
  <c r="AH22" i="1601"/>
  <c r="AG22" i="1601"/>
  <c r="AA22" i="1601"/>
  <c r="AB22" i="1601" s="1"/>
  <c r="B22" i="1601"/>
  <c r="AK21" i="1601"/>
  <c r="AL21" i="1601" s="1"/>
  <c r="AH21" i="1601"/>
  <c r="AG21" i="1601"/>
  <c r="AA21" i="1601"/>
  <c r="J21" i="1601"/>
  <c r="G21" i="1601"/>
  <c r="B21" i="1601"/>
  <c r="AH20" i="1601"/>
  <c r="AG20" i="1601"/>
  <c r="AA20" i="1601"/>
  <c r="I20" i="1601"/>
  <c r="G20" i="1601"/>
  <c r="E20" i="1601"/>
  <c r="E21" i="1601" s="1"/>
  <c r="B20" i="1601"/>
  <c r="AA19" i="1601"/>
  <c r="G19" i="1601"/>
  <c r="C19" i="1601"/>
  <c r="AH18" i="1601"/>
  <c r="AG18" i="1601"/>
  <c r="AA18" i="1601"/>
  <c r="B18" i="1601"/>
  <c r="AK17" i="1601"/>
  <c r="AA17" i="1601"/>
  <c r="J17" i="1601"/>
  <c r="G17" i="1601"/>
  <c r="B17" i="1601"/>
  <c r="AA16" i="1601"/>
  <c r="AE15" i="1601" s="1"/>
  <c r="I16" i="1601"/>
  <c r="G16" i="1601"/>
  <c r="E16" i="1601"/>
  <c r="E17" i="1601" s="1"/>
  <c r="B16" i="1601"/>
  <c r="AA15" i="1601"/>
  <c r="Z17" i="1601" s="1"/>
  <c r="G15" i="1601"/>
  <c r="AA14" i="1601"/>
  <c r="AQ15" i="1601" s="1"/>
  <c r="X14" i="1601" s="1"/>
  <c r="B14" i="1601"/>
  <c r="AK13" i="1601"/>
  <c r="AL12" i="1601" s="1"/>
  <c r="AH13" i="1601"/>
  <c r="AG13" i="1601"/>
  <c r="AA13" i="1601"/>
  <c r="J13" i="1601"/>
  <c r="B13" i="1601"/>
  <c r="AH12" i="1601"/>
  <c r="AG12" i="1601"/>
  <c r="AA12" i="1601"/>
  <c r="I12" i="1601"/>
  <c r="B12" i="1601"/>
  <c r="AA11" i="1601"/>
  <c r="AB11" i="1601" s="1"/>
  <c r="G11" i="1601"/>
  <c r="G12" i="1601" s="1"/>
  <c r="G13" i="1601" s="1"/>
  <c r="C11" i="1601"/>
  <c r="AH10" i="1601"/>
  <c r="AG10" i="1601"/>
  <c r="AA10" i="1601"/>
  <c r="AQ11" i="1601" s="1"/>
  <c r="X10" i="1601" s="1"/>
  <c r="B10" i="1601"/>
  <c r="AK9" i="1601"/>
  <c r="AL9" i="1601" s="1"/>
  <c r="AH9" i="1601"/>
  <c r="AG9" i="1601"/>
  <c r="AA9" i="1601"/>
  <c r="J9" i="1601"/>
  <c r="G9" i="1601"/>
  <c r="B9" i="1601"/>
  <c r="AH8" i="1601"/>
  <c r="AG8" i="1601"/>
  <c r="AA8" i="1601"/>
  <c r="I8" i="1601"/>
  <c r="G8" i="1601"/>
  <c r="E8" i="1601"/>
  <c r="E9" i="1601" s="1"/>
  <c r="B8" i="1601"/>
  <c r="AA7" i="1601"/>
  <c r="G7" i="1601"/>
  <c r="C7" i="1601"/>
  <c r="AH6" i="1601"/>
  <c r="AG6" i="1601"/>
  <c r="AA6" i="1601"/>
  <c r="AQ7" i="1601" s="1"/>
  <c r="B6" i="1601"/>
  <c r="AD4" i="1601"/>
  <c r="B12" i="1579"/>
  <c r="B11" i="1579"/>
  <c r="AL61" i="1601" l="1"/>
  <c r="X20" i="1601"/>
  <c r="Z18" i="1601" s="1"/>
  <c r="AL20" i="1601"/>
  <c r="AL49" i="1601"/>
  <c r="AF79" i="1601"/>
  <c r="AF67" i="1601"/>
  <c r="AH67" i="1601" s="1"/>
  <c r="AB26" i="1601"/>
  <c r="AB55" i="1601"/>
  <c r="AD55" i="1601" s="1"/>
  <c r="AV55" i="1601" s="1"/>
  <c r="AE55" i="1601"/>
  <c r="AE75" i="1601"/>
  <c r="X60" i="1601"/>
  <c r="Z58" i="1601" s="1"/>
  <c r="X63" i="1601"/>
  <c r="AB46" i="1601"/>
  <c r="AQ47" i="1601"/>
  <c r="X46" i="1601" s="1"/>
  <c r="AF47" i="1601"/>
  <c r="AH47" i="1601" s="1"/>
  <c r="AF11" i="1601"/>
  <c r="AJ11" i="1601" s="1"/>
  <c r="AB18" i="1601"/>
  <c r="AQ19" i="1601"/>
  <c r="X18" i="1601" s="1"/>
  <c r="AB74" i="1601"/>
  <c r="AQ75" i="1601"/>
  <c r="X74" i="1601" s="1"/>
  <c r="X16" i="1601"/>
  <c r="Z14" i="1601" s="1"/>
  <c r="AQ39" i="1601"/>
  <c r="X38" i="1601" s="1"/>
  <c r="AE59" i="1601"/>
  <c r="AF31" i="1601"/>
  <c r="AH31" i="1601" s="1"/>
  <c r="AM45" i="1601"/>
  <c r="AQ51" i="1601"/>
  <c r="X50" i="1601" s="1"/>
  <c r="AQ67" i="1601"/>
  <c r="AF75" i="1601"/>
  <c r="AH75" i="1601" s="1"/>
  <c r="AE43" i="1601"/>
  <c r="AI11" i="1601"/>
  <c r="AB35" i="1601"/>
  <c r="AD35" i="1601" s="1"/>
  <c r="AI71" i="1601"/>
  <c r="AE23" i="1601"/>
  <c r="AE19" i="1601"/>
  <c r="AM12" i="1601"/>
  <c r="AB10" i="1601"/>
  <c r="AD11" i="1601" s="1"/>
  <c r="AD23" i="1601"/>
  <c r="AD25" i="1601" s="1"/>
  <c r="AE27" i="1601"/>
  <c r="AF35" i="1601"/>
  <c r="AH35" i="1601" s="1"/>
  <c r="AF51" i="1601"/>
  <c r="AG51" i="1601" s="1"/>
  <c r="AM57" i="1601"/>
  <c r="AL76" i="1601"/>
  <c r="AM76" i="1601" s="1"/>
  <c r="X15" i="1601"/>
  <c r="P96" i="1601"/>
  <c r="AM9" i="1601"/>
  <c r="X11" i="1601"/>
  <c r="X58" i="1601"/>
  <c r="AM60" i="1601"/>
  <c r="AB66" i="1601"/>
  <c r="AL81" i="1601"/>
  <c r="AM81" i="1601" s="1"/>
  <c r="AA4" i="1601"/>
  <c r="AF19" i="1601"/>
  <c r="AH19" i="1601" s="1"/>
  <c r="AM21" i="1601"/>
  <c r="AE47" i="1601"/>
  <c r="AM48" i="1601"/>
  <c r="T90" i="1601"/>
  <c r="T96" i="1601" s="1"/>
  <c r="AB7" i="1601"/>
  <c r="AM24" i="1601"/>
  <c r="AI31" i="1601"/>
  <c r="AB50" i="1601"/>
  <c r="AB59" i="1601"/>
  <c r="AD59" i="1601" s="1"/>
  <c r="AB75" i="1601"/>
  <c r="AI75" i="1601"/>
  <c r="Z85" i="1601"/>
  <c r="AI7" i="1601"/>
  <c r="AE7" i="1601"/>
  <c r="AB15" i="1601"/>
  <c r="AF23" i="1601"/>
  <c r="AJ23" i="1601" s="1"/>
  <c r="AF27" i="1601"/>
  <c r="AJ27" i="1601" s="1"/>
  <c r="AB31" i="1601"/>
  <c r="X30" i="1601"/>
  <c r="AB38" i="1601"/>
  <c r="AF43" i="1601"/>
  <c r="AH43" i="1601" s="1"/>
  <c r="AM49" i="1601"/>
  <c r="X56" i="1601"/>
  <c r="Z54" i="1601" s="1"/>
  <c r="AM56" i="1601"/>
  <c r="AF55" i="1601"/>
  <c r="AJ55" i="1601" s="1"/>
  <c r="AF59" i="1601"/>
  <c r="AH59" i="1601" s="1"/>
  <c r="AM61" i="1601"/>
  <c r="AE67" i="1601"/>
  <c r="AM69" i="1601"/>
  <c r="X76" i="1601"/>
  <c r="Z74" i="1601" s="1"/>
  <c r="Z77" i="1601"/>
  <c r="AB78" i="1601"/>
  <c r="Z83" i="1601"/>
  <c r="V90" i="1601"/>
  <c r="V96" i="1601" s="1"/>
  <c r="AD71" i="1601"/>
  <c r="AD73" i="1601" s="1"/>
  <c r="AM80" i="1601"/>
  <c r="AB6" i="1601"/>
  <c r="AE11" i="1601"/>
  <c r="AB14" i="1601"/>
  <c r="AI27" i="1601"/>
  <c r="X28" i="1601"/>
  <c r="Z26" i="1601" s="1"/>
  <c r="AM28" i="1601"/>
  <c r="AE31" i="1601"/>
  <c r="AM33" i="1601"/>
  <c r="AM37" i="1601"/>
  <c r="AE39" i="1601"/>
  <c r="AI43" i="1601"/>
  <c r="AI59" i="1601"/>
  <c r="X75" i="1601"/>
  <c r="AM77" i="1601"/>
  <c r="R90" i="1601"/>
  <c r="R96" i="1601" s="1"/>
  <c r="X6" i="1601"/>
  <c r="AF71" i="1601"/>
  <c r="AJ71" i="1601" s="1"/>
  <c r="AE71" i="1601"/>
  <c r="AM20" i="1601"/>
  <c r="X27" i="1601"/>
  <c r="AM29" i="1601"/>
  <c r="X48" i="1601"/>
  <c r="Z46" i="1601" s="1"/>
  <c r="AI47" i="1601"/>
  <c r="X47" i="1601"/>
  <c r="AB47" i="1601"/>
  <c r="AL53" i="1601"/>
  <c r="AM53" i="1601" s="1"/>
  <c r="AL52" i="1601"/>
  <c r="AM52" i="1601" s="1"/>
  <c r="X52" i="1601"/>
  <c r="Z50" i="1601" s="1"/>
  <c r="N96" i="1601"/>
  <c r="X7" i="1601"/>
  <c r="X8" i="1601"/>
  <c r="Z6" i="1601" s="1"/>
  <c r="AL8" i="1601"/>
  <c r="AM8" i="1601" s="1"/>
  <c r="AL13" i="1601"/>
  <c r="AM13" i="1601" s="1"/>
  <c r="AB19" i="1601"/>
  <c r="AL25" i="1601"/>
  <c r="AM25" i="1601" s="1"/>
  <c r="AM36" i="1601"/>
  <c r="AF39" i="1601"/>
  <c r="AJ39" i="1601" s="1"/>
  <c r="AG47" i="1601"/>
  <c r="AI79" i="1601"/>
  <c r="X79" i="1601"/>
  <c r="AB79" i="1601"/>
  <c r="O90" i="1601"/>
  <c r="O96" i="1601" s="1"/>
  <c r="W90" i="1601"/>
  <c r="W96" i="1601" s="1"/>
  <c r="AF7" i="1601"/>
  <c r="X23" i="1601"/>
  <c r="AI23" i="1601"/>
  <c r="X24" i="1601"/>
  <c r="Z22" i="1601" s="1"/>
  <c r="AB27" i="1601"/>
  <c r="AD27" i="1601" s="1"/>
  <c r="AE35" i="1601"/>
  <c r="AL41" i="1601"/>
  <c r="AM41" i="1601" s="1"/>
  <c r="AL40" i="1601"/>
  <c r="AM40" i="1601" s="1"/>
  <c r="X40" i="1601"/>
  <c r="Z38" i="1601" s="1"/>
  <c r="AD43" i="1601"/>
  <c r="X44" i="1601"/>
  <c r="Z42" i="1601" s="1"/>
  <c r="AL44" i="1601"/>
  <c r="AM44" i="1601" s="1"/>
  <c r="AJ47" i="1601"/>
  <c r="X70" i="1601"/>
  <c r="AH79" i="1601"/>
  <c r="AG79" i="1601"/>
  <c r="AQ23" i="1601"/>
  <c r="X22" i="1601" s="1"/>
  <c r="X31" i="1601"/>
  <c r="X55" i="1601"/>
  <c r="AG67" i="1601"/>
  <c r="Z21" i="1601"/>
  <c r="AJ67" i="1601"/>
  <c r="S90" i="1601"/>
  <c r="S96" i="1601" s="1"/>
  <c r="X59" i="1601"/>
  <c r="X36" i="1601"/>
  <c r="Z34" i="1601" s="1"/>
  <c r="X12" i="1601"/>
  <c r="Z10" i="1601" s="1"/>
  <c r="X19" i="1601"/>
  <c r="AI19" i="1601"/>
  <c r="AD31" i="1601"/>
  <c r="X32" i="1601"/>
  <c r="Z30" i="1601" s="1"/>
  <c r="AL32" i="1601"/>
  <c r="AM32" i="1601" s="1"/>
  <c r="X35" i="1601"/>
  <c r="AI39" i="1601"/>
  <c r="X39" i="1601"/>
  <c r="Z41" i="1601"/>
  <c r="AB39" i="1601"/>
  <c r="X43" i="1601"/>
  <c r="AE51" i="1601"/>
  <c r="AI67" i="1601"/>
  <c r="X67" i="1601"/>
  <c r="Z69" i="1601"/>
  <c r="AB67" i="1601"/>
  <c r="AL72" i="1601"/>
  <c r="AM72" i="1601" s="1"/>
  <c r="X72" i="1601"/>
  <c r="Z70" i="1601" s="1"/>
  <c r="X71" i="1601"/>
  <c r="AL73" i="1601"/>
  <c r="AM73" i="1601" s="1"/>
  <c r="AJ79" i="1601"/>
  <c r="AE79" i="1601"/>
  <c r="M96" i="1601"/>
  <c r="Q96" i="1601"/>
  <c r="U96" i="1601"/>
  <c r="X51" i="1601"/>
  <c r="AI51" i="1601"/>
  <c r="AQ55" i="1601"/>
  <c r="X54" i="1601" s="1"/>
  <c r="AB51" i="1601"/>
  <c r="X68" i="1601"/>
  <c r="Z66" i="1601" s="1"/>
  <c r="AL68" i="1601"/>
  <c r="AM68" i="1601" s="1"/>
  <c r="X80" i="1601"/>
  <c r="Z78" i="1601" s="1"/>
  <c r="AK49" i="1600"/>
  <c r="AL49" i="1600" s="1"/>
  <c r="AH49" i="1600"/>
  <c r="AG49" i="1600"/>
  <c r="AH48" i="1600"/>
  <c r="AG48" i="1600"/>
  <c r="AH46" i="1600"/>
  <c r="AG46" i="1600"/>
  <c r="B49" i="1600"/>
  <c r="B48" i="1600"/>
  <c r="B46" i="1600"/>
  <c r="G47" i="1600"/>
  <c r="G48" i="1600" s="1"/>
  <c r="G49" i="1600" s="1"/>
  <c r="F11" i="1579"/>
  <c r="B13" i="1579"/>
  <c r="F12" i="1579"/>
  <c r="C12" i="1579" l="1"/>
  <c r="C11" i="1579"/>
  <c r="K12" i="1579"/>
  <c r="J12" i="1579"/>
  <c r="J11" i="1579"/>
  <c r="K11" i="1579"/>
  <c r="X66" i="1601"/>
  <c r="AG35" i="1601"/>
  <c r="AD75" i="1601"/>
  <c r="AD77" i="1601" s="1"/>
  <c r="AG43" i="1601"/>
  <c r="AJ19" i="1601"/>
  <c r="AD51" i="1601"/>
  <c r="AD53" i="1601" s="1"/>
  <c r="AG59" i="1601"/>
  <c r="AH51" i="1601"/>
  <c r="AG11" i="1601"/>
  <c r="AJ51" i="1601"/>
  <c r="AD67" i="1601"/>
  <c r="AD69" i="1601" s="1"/>
  <c r="AH11" i="1601"/>
  <c r="AJ75" i="1601"/>
  <c r="AG75" i="1601"/>
  <c r="AD47" i="1601"/>
  <c r="AD49" i="1601" s="1"/>
  <c r="AD57" i="1601"/>
  <c r="AV71" i="1601"/>
  <c r="AV23" i="1601"/>
  <c r="AD39" i="1601"/>
  <c r="AD41" i="1601" s="1"/>
  <c r="AD19" i="1601"/>
  <c r="AD21" i="1601" s="1"/>
  <c r="AJ31" i="1601"/>
  <c r="AG19" i="1601"/>
  <c r="AG27" i="1601"/>
  <c r="AG23" i="1601"/>
  <c r="AJ35" i="1601"/>
  <c r="AG31" i="1601"/>
  <c r="AH23" i="1601"/>
  <c r="AD79" i="1601"/>
  <c r="AD81" i="1601" s="1"/>
  <c r="AH27" i="1601"/>
  <c r="AJ59" i="1601"/>
  <c r="AD7" i="1601"/>
  <c r="AD9" i="1601" s="1"/>
  <c r="AH55" i="1601"/>
  <c r="AJ43" i="1601"/>
  <c r="AI2" i="1601"/>
  <c r="AG55" i="1601"/>
  <c r="AD15" i="1601"/>
  <c r="AD29" i="1601"/>
  <c r="AV27" i="1601"/>
  <c r="AD61" i="1601"/>
  <c r="AV59" i="1601"/>
  <c r="AG7" i="1601"/>
  <c r="AH7" i="1601"/>
  <c r="AF4" i="1601"/>
  <c r="AH71" i="1601"/>
  <c r="AG71" i="1601"/>
  <c r="AD33" i="1601"/>
  <c r="AV31" i="1601"/>
  <c r="AD45" i="1601"/>
  <c r="AV43" i="1601"/>
  <c r="AV11" i="1601"/>
  <c r="AD13" i="1601"/>
  <c r="AV35" i="1601"/>
  <c r="AD37" i="1601"/>
  <c r="AG39" i="1601"/>
  <c r="AH39" i="1601"/>
  <c r="AJ7" i="1601"/>
  <c r="AQ4" i="1601"/>
  <c r="AL48" i="1600"/>
  <c r="AA81" i="1600"/>
  <c r="AA80" i="1600"/>
  <c r="AA79" i="1600"/>
  <c r="AA78" i="1600"/>
  <c r="AA77" i="1600"/>
  <c r="AA76" i="1600"/>
  <c r="AA75" i="1600"/>
  <c r="X75" i="1600" s="1"/>
  <c r="AA74" i="1600"/>
  <c r="AQ75" i="1600" s="1"/>
  <c r="AA73" i="1600"/>
  <c r="AA72" i="1600"/>
  <c r="AA71" i="1600"/>
  <c r="AI71" i="1600" s="1"/>
  <c r="AA70" i="1600"/>
  <c r="AB70" i="1600" s="1"/>
  <c r="AA69" i="1600"/>
  <c r="AA68" i="1600"/>
  <c r="AA67" i="1600"/>
  <c r="AA66" i="1600"/>
  <c r="AA65" i="1600"/>
  <c r="AA64" i="1600"/>
  <c r="AA63" i="1600"/>
  <c r="AB63" i="1600" s="1"/>
  <c r="AA62" i="1600"/>
  <c r="AB62" i="1600" s="1"/>
  <c r="AA61" i="1600"/>
  <c r="AA60" i="1600"/>
  <c r="AA59" i="1600"/>
  <c r="AA58" i="1600"/>
  <c r="AQ59" i="1600" s="1"/>
  <c r="AA57" i="1600"/>
  <c r="AA56" i="1600"/>
  <c r="AA55" i="1600"/>
  <c r="AA54" i="1600"/>
  <c r="AA53" i="1600"/>
  <c r="AA52" i="1600"/>
  <c r="AA51" i="1600"/>
  <c r="X51" i="1600" s="1"/>
  <c r="AA50" i="1600"/>
  <c r="AA49" i="1600"/>
  <c r="AM49" i="1600" s="1"/>
  <c r="AA48" i="1600"/>
  <c r="AA47" i="1600"/>
  <c r="X48" i="1600" s="1"/>
  <c r="AA46" i="1600"/>
  <c r="AA45" i="1600"/>
  <c r="AA44" i="1600"/>
  <c r="AA43" i="1600"/>
  <c r="AA42" i="1600"/>
  <c r="AA41" i="1600"/>
  <c r="AA40" i="1600"/>
  <c r="AA39" i="1600"/>
  <c r="AI39" i="1600" s="1"/>
  <c r="AA38" i="1600"/>
  <c r="AA37" i="1600"/>
  <c r="AA36" i="1600"/>
  <c r="AA35" i="1600"/>
  <c r="AA34" i="1600"/>
  <c r="AB34" i="1600" s="1"/>
  <c r="AA33" i="1600"/>
  <c r="AA32" i="1600"/>
  <c r="AA31" i="1600"/>
  <c r="AA30" i="1600"/>
  <c r="AQ31" i="1600" s="1"/>
  <c r="AA29" i="1600"/>
  <c r="AA28" i="1600"/>
  <c r="AA27" i="1600"/>
  <c r="AA26" i="1600"/>
  <c r="AQ27" i="1600" s="1"/>
  <c r="AA25" i="1600"/>
  <c r="AA24" i="1600"/>
  <c r="AA23" i="1600"/>
  <c r="AA22" i="1600"/>
  <c r="AA21" i="1600"/>
  <c r="AA20" i="1600"/>
  <c r="AA19" i="1600"/>
  <c r="AA18" i="1600"/>
  <c r="AB18" i="1600" s="1"/>
  <c r="AA17" i="1600"/>
  <c r="AA16" i="1600"/>
  <c r="AA15" i="1600"/>
  <c r="Z17" i="1600" s="1"/>
  <c r="AA14" i="1600"/>
  <c r="AA13" i="1600"/>
  <c r="AA12" i="1600"/>
  <c r="AA11" i="1600"/>
  <c r="AA10" i="1600"/>
  <c r="X64" i="1600"/>
  <c r="Z62" i="1600" s="1"/>
  <c r="X63" i="1600"/>
  <c r="X62" i="1600"/>
  <c r="X34" i="1600"/>
  <c r="AA9" i="1600"/>
  <c r="AA8" i="1600"/>
  <c r="AA7" i="1600"/>
  <c r="AA6" i="1600"/>
  <c r="AB6" i="1600" s="1"/>
  <c r="G39" i="1600"/>
  <c r="G40" i="1600" s="1"/>
  <c r="G41" i="1600" s="1"/>
  <c r="AK41" i="1600"/>
  <c r="AL40" i="1600" s="1"/>
  <c r="AH41" i="1600"/>
  <c r="AG41" i="1600"/>
  <c r="J41" i="1600"/>
  <c r="B41" i="1600"/>
  <c r="AH40" i="1600"/>
  <c r="AG40" i="1600"/>
  <c r="I40" i="1600"/>
  <c r="E40" i="1600"/>
  <c r="E41" i="1600" s="1"/>
  <c r="B40" i="1600"/>
  <c r="C39" i="1600"/>
  <c r="AH38" i="1600"/>
  <c r="AG38" i="1600"/>
  <c r="B38" i="1600"/>
  <c r="W93" i="1600"/>
  <c r="V93" i="1600"/>
  <c r="U93" i="1600"/>
  <c r="U90" i="1600" s="1"/>
  <c r="T93" i="1600"/>
  <c r="S93" i="1600"/>
  <c r="R93" i="1600"/>
  <c r="Q93" i="1600"/>
  <c r="Q90" i="1600" s="1"/>
  <c r="P93" i="1600"/>
  <c r="O93" i="1600"/>
  <c r="N93" i="1600"/>
  <c r="N90" i="1600" s="1"/>
  <c r="M93" i="1600"/>
  <c r="M90" i="1600" s="1"/>
  <c r="W87" i="1600"/>
  <c r="V87" i="1600"/>
  <c r="U87" i="1600"/>
  <c r="T87" i="1600"/>
  <c r="S87" i="1600"/>
  <c r="R87" i="1600"/>
  <c r="Q87" i="1600"/>
  <c r="P87" i="1600"/>
  <c r="O87" i="1600"/>
  <c r="N87" i="1600"/>
  <c r="M87" i="1600"/>
  <c r="W85" i="1600"/>
  <c r="V85" i="1600"/>
  <c r="U85" i="1600"/>
  <c r="T85" i="1600"/>
  <c r="S85" i="1600"/>
  <c r="R85" i="1600"/>
  <c r="Q85" i="1600"/>
  <c r="P85" i="1600"/>
  <c r="O85" i="1600"/>
  <c r="N85" i="1600"/>
  <c r="M85" i="1600"/>
  <c r="W83" i="1600"/>
  <c r="V83" i="1600"/>
  <c r="U83" i="1600"/>
  <c r="T83" i="1600"/>
  <c r="S83" i="1600"/>
  <c r="R83" i="1600"/>
  <c r="Q83" i="1600"/>
  <c r="P83" i="1600"/>
  <c r="O83" i="1600"/>
  <c r="N83" i="1600"/>
  <c r="M83" i="1600"/>
  <c r="AK81" i="1600"/>
  <c r="AL80" i="1600" s="1"/>
  <c r="AH81" i="1600"/>
  <c r="AG81" i="1600"/>
  <c r="J81" i="1600"/>
  <c r="B81" i="1600"/>
  <c r="AH80" i="1600"/>
  <c r="AG80" i="1600"/>
  <c r="I80" i="1600"/>
  <c r="E80" i="1600"/>
  <c r="E81" i="1600" s="1"/>
  <c r="B80" i="1600"/>
  <c r="G79" i="1600"/>
  <c r="G80" i="1600" s="1"/>
  <c r="G81" i="1600" s="1"/>
  <c r="C79" i="1600"/>
  <c r="AH78" i="1600"/>
  <c r="AG78" i="1600"/>
  <c r="B78" i="1600"/>
  <c r="AK77" i="1600"/>
  <c r="AL77" i="1600" s="1"/>
  <c r="AH77" i="1600"/>
  <c r="AG77" i="1600"/>
  <c r="J77" i="1600"/>
  <c r="G77" i="1600"/>
  <c r="B77" i="1600"/>
  <c r="AH76" i="1600"/>
  <c r="AG76" i="1600"/>
  <c r="I76" i="1600"/>
  <c r="G76" i="1600"/>
  <c r="E76" i="1600"/>
  <c r="E77" i="1600" s="1"/>
  <c r="B76" i="1600"/>
  <c r="G75" i="1600"/>
  <c r="C75" i="1600"/>
  <c r="AH74" i="1600"/>
  <c r="AG74" i="1600"/>
  <c r="B74" i="1600"/>
  <c r="AK73" i="1600"/>
  <c r="AH73" i="1600"/>
  <c r="AG73" i="1600"/>
  <c r="J73" i="1600"/>
  <c r="B73" i="1600"/>
  <c r="AH72" i="1600"/>
  <c r="AG72" i="1600"/>
  <c r="I72" i="1600"/>
  <c r="E72" i="1600"/>
  <c r="E73" i="1600" s="1"/>
  <c r="B72" i="1600"/>
  <c r="G71" i="1600"/>
  <c r="G72" i="1600" s="1"/>
  <c r="G73" i="1600" s="1"/>
  <c r="C71" i="1600"/>
  <c r="AH70" i="1600"/>
  <c r="AG70" i="1600"/>
  <c r="B70" i="1600"/>
  <c r="AK69" i="1600"/>
  <c r="AL69" i="1600" s="1"/>
  <c r="AH69" i="1600"/>
  <c r="AG69" i="1600"/>
  <c r="J69" i="1600"/>
  <c r="B69" i="1600"/>
  <c r="AH68" i="1600"/>
  <c r="AG68" i="1600"/>
  <c r="I68" i="1600"/>
  <c r="E68" i="1600"/>
  <c r="E69" i="1600" s="1"/>
  <c r="B68" i="1600"/>
  <c r="G67" i="1600"/>
  <c r="G68" i="1600" s="1"/>
  <c r="G69" i="1600" s="1"/>
  <c r="C67" i="1600"/>
  <c r="AH66" i="1600"/>
  <c r="AG66" i="1600"/>
  <c r="B66" i="1600"/>
  <c r="AK65" i="1600"/>
  <c r="AL65" i="1600" s="1"/>
  <c r="AH65" i="1600"/>
  <c r="AG65" i="1600"/>
  <c r="J65" i="1600"/>
  <c r="B65" i="1600"/>
  <c r="AH64" i="1600"/>
  <c r="AG64" i="1600"/>
  <c r="I64" i="1600"/>
  <c r="E64" i="1600"/>
  <c r="E65" i="1600" s="1"/>
  <c r="B64" i="1600"/>
  <c r="G63" i="1600"/>
  <c r="G64" i="1600" s="1"/>
  <c r="G65" i="1600" s="1"/>
  <c r="C63" i="1600"/>
  <c r="AH62" i="1600"/>
  <c r="AG62" i="1600"/>
  <c r="B62" i="1600"/>
  <c r="AK61" i="1600"/>
  <c r="AL61" i="1600" s="1"/>
  <c r="AH61" i="1600"/>
  <c r="AG61" i="1600"/>
  <c r="J61" i="1600"/>
  <c r="G61" i="1600"/>
  <c r="B61" i="1600"/>
  <c r="AH60" i="1600"/>
  <c r="AG60" i="1600"/>
  <c r="I60" i="1600"/>
  <c r="G60" i="1600"/>
  <c r="E60" i="1600"/>
  <c r="E61" i="1600" s="1"/>
  <c r="B60" i="1600"/>
  <c r="G59" i="1600"/>
  <c r="C59" i="1600"/>
  <c r="AH58" i="1600"/>
  <c r="AG58" i="1600"/>
  <c r="B58" i="1600"/>
  <c r="AK57" i="1600"/>
  <c r="AL57" i="1600" s="1"/>
  <c r="AH57" i="1600"/>
  <c r="AG57" i="1600"/>
  <c r="J57" i="1600"/>
  <c r="B57" i="1600"/>
  <c r="AH56" i="1600"/>
  <c r="AG56" i="1600"/>
  <c r="I56" i="1600"/>
  <c r="E56" i="1600"/>
  <c r="E57" i="1600" s="1"/>
  <c r="B56" i="1600"/>
  <c r="G55" i="1600"/>
  <c r="G56" i="1600" s="1"/>
  <c r="G57" i="1600" s="1"/>
  <c r="C55" i="1600"/>
  <c r="AH54" i="1600"/>
  <c r="AG54" i="1600"/>
  <c r="B54" i="1600"/>
  <c r="AK53" i="1600"/>
  <c r="AH53" i="1600"/>
  <c r="AG53" i="1600"/>
  <c r="J53" i="1600"/>
  <c r="B53" i="1600"/>
  <c r="AH52" i="1600"/>
  <c r="AG52" i="1600"/>
  <c r="I52" i="1600"/>
  <c r="E52" i="1600"/>
  <c r="E53" i="1600" s="1"/>
  <c r="B52" i="1600"/>
  <c r="G51" i="1600"/>
  <c r="G52" i="1600" s="1"/>
  <c r="G53" i="1600" s="1"/>
  <c r="C51" i="1600"/>
  <c r="AH50" i="1600"/>
  <c r="AG50" i="1600"/>
  <c r="B50" i="1600"/>
  <c r="J49" i="1600"/>
  <c r="I48" i="1600"/>
  <c r="E48" i="1600"/>
  <c r="E49" i="1600" s="1"/>
  <c r="AK45" i="1600"/>
  <c r="AL44" i="1600" s="1"/>
  <c r="AH45" i="1600"/>
  <c r="AG45" i="1600"/>
  <c r="J45" i="1600"/>
  <c r="B45" i="1600"/>
  <c r="AH44" i="1600"/>
  <c r="AG44" i="1600"/>
  <c r="I44" i="1600"/>
  <c r="E44" i="1600"/>
  <c r="E45" i="1600" s="1"/>
  <c r="B44" i="1600"/>
  <c r="G43" i="1600"/>
  <c r="G44" i="1600" s="1"/>
  <c r="G45" i="1600" s="1"/>
  <c r="C43" i="1600"/>
  <c r="AH42" i="1600"/>
  <c r="AG42" i="1600"/>
  <c r="B42" i="1600"/>
  <c r="AK37" i="1600"/>
  <c r="AL36" i="1600" s="1"/>
  <c r="AH37" i="1600"/>
  <c r="AG37" i="1600"/>
  <c r="J37" i="1600"/>
  <c r="B37" i="1600"/>
  <c r="AH36" i="1600"/>
  <c r="AG36" i="1600"/>
  <c r="I36" i="1600"/>
  <c r="E36" i="1600"/>
  <c r="E37" i="1600" s="1"/>
  <c r="B36" i="1600"/>
  <c r="G35" i="1600"/>
  <c r="G36" i="1600" s="1"/>
  <c r="G37" i="1600" s="1"/>
  <c r="C35" i="1600"/>
  <c r="AH34" i="1600"/>
  <c r="AG34" i="1600"/>
  <c r="B34" i="1600"/>
  <c r="AK33" i="1600"/>
  <c r="AL33" i="1600" s="1"/>
  <c r="AH33" i="1600"/>
  <c r="AG33" i="1600"/>
  <c r="J33" i="1600"/>
  <c r="B33" i="1600"/>
  <c r="AH32" i="1600"/>
  <c r="AG32" i="1600"/>
  <c r="I32" i="1600"/>
  <c r="E32" i="1600"/>
  <c r="E33" i="1600" s="1"/>
  <c r="B32" i="1600"/>
  <c r="G31" i="1600"/>
  <c r="G32" i="1600" s="1"/>
  <c r="G33" i="1600" s="1"/>
  <c r="C31" i="1600"/>
  <c r="AH30" i="1600"/>
  <c r="AG30" i="1600"/>
  <c r="B30" i="1600"/>
  <c r="AK29" i="1600"/>
  <c r="AL29" i="1600" s="1"/>
  <c r="AH29" i="1600"/>
  <c r="AG29" i="1600"/>
  <c r="J29" i="1600"/>
  <c r="B29" i="1600"/>
  <c r="AH28" i="1600"/>
  <c r="AG28" i="1600"/>
  <c r="I28" i="1600"/>
  <c r="E28" i="1600"/>
  <c r="E29" i="1600" s="1"/>
  <c r="B28" i="1600"/>
  <c r="G27" i="1600"/>
  <c r="G28" i="1600" s="1"/>
  <c r="G29" i="1600" s="1"/>
  <c r="C27" i="1600"/>
  <c r="AH26" i="1600"/>
  <c r="AG26" i="1600"/>
  <c r="B26" i="1600"/>
  <c r="AK25" i="1600"/>
  <c r="AL25" i="1600" s="1"/>
  <c r="AH25" i="1600"/>
  <c r="AG25" i="1600"/>
  <c r="J25" i="1600"/>
  <c r="B25" i="1600"/>
  <c r="AH24" i="1600"/>
  <c r="AG24" i="1600"/>
  <c r="I24" i="1600"/>
  <c r="E24" i="1600"/>
  <c r="E25" i="1600" s="1"/>
  <c r="B24" i="1600"/>
  <c r="G23" i="1600"/>
  <c r="G24" i="1600" s="1"/>
  <c r="G25" i="1600" s="1"/>
  <c r="C23" i="1600"/>
  <c r="AH22" i="1600"/>
  <c r="AG22" i="1600"/>
  <c r="B22" i="1600"/>
  <c r="AK21" i="1600"/>
  <c r="AL21" i="1600" s="1"/>
  <c r="AH21" i="1600"/>
  <c r="AG21" i="1600"/>
  <c r="J21" i="1600"/>
  <c r="G21" i="1600"/>
  <c r="B21" i="1600"/>
  <c r="AH20" i="1600"/>
  <c r="AG20" i="1600"/>
  <c r="I20" i="1600"/>
  <c r="G20" i="1600"/>
  <c r="E20" i="1600"/>
  <c r="E21" i="1600" s="1"/>
  <c r="B20" i="1600"/>
  <c r="G19" i="1600"/>
  <c r="C19" i="1600"/>
  <c r="AH18" i="1600"/>
  <c r="AG18" i="1600"/>
  <c r="B18" i="1600"/>
  <c r="AK17" i="1600"/>
  <c r="J17" i="1600"/>
  <c r="G17" i="1600"/>
  <c r="B17" i="1600"/>
  <c r="I16" i="1600"/>
  <c r="G16" i="1600"/>
  <c r="E16" i="1600"/>
  <c r="E17" i="1600" s="1"/>
  <c r="B16" i="1600"/>
  <c r="G15" i="1600"/>
  <c r="B14" i="1600"/>
  <c r="AK13" i="1600"/>
  <c r="AL13" i="1600" s="1"/>
  <c r="AH13" i="1600"/>
  <c r="AG13" i="1600"/>
  <c r="J13" i="1600"/>
  <c r="B13" i="1600"/>
  <c r="AH12" i="1600"/>
  <c r="AG12" i="1600"/>
  <c r="I12" i="1600"/>
  <c r="B12" i="1600"/>
  <c r="G11" i="1600"/>
  <c r="G12" i="1600" s="1"/>
  <c r="G13" i="1600" s="1"/>
  <c r="C11" i="1600"/>
  <c r="AH10" i="1600"/>
  <c r="AG10" i="1600"/>
  <c r="B10" i="1600"/>
  <c r="AK9" i="1600"/>
  <c r="AL9" i="1600" s="1"/>
  <c r="AH9" i="1600"/>
  <c r="AG9" i="1600"/>
  <c r="J9" i="1600"/>
  <c r="G9" i="1600"/>
  <c r="B9" i="1600"/>
  <c r="AH8" i="1600"/>
  <c r="AG8" i="1600"/>
  <c r="I8" i="1600"/>
  <c r="G8" i="1600"/>
  <c r="E8" i="1600"/>
  <c r="E9" i="1600" s="1"/>
  <c r="B8" i="1600"/>
  <c r="G7" i="1600"/>
  <c r="C7" i="1600"/>
  <c r="AH6" i="1600"/>
  <c r="AG6" i="1600"/>
  <c r="B6" i="1600"/>
  <c r="AD4" i="1600"/>
  <c r="F13" i="1579"/>
  <c r="C13" i="1579" l="1"/>
  <c r="AV75" i="1601"/>
  <c r="K13" i="1579"/>
  <c r="J13" i="1579"/>
  <c r="AV51" i="1601"/>
  <c r="AV79" i="1601"/>
  <c r="AV47" i="1601"/>
  <c r="AV39" i="1601"/>
  <c r="AV67" i="1601"/>
  <c r="AV7" i="1601"/>
  <c r="AV19" i="1601"/>
  <c r="AV15" i="1601"/>
  <c r="AD17" i="1601"/>
  <c r="AH2" i="1601"/>
  <c r="AD2" i="1601" s="1"/>
  <c r="AL60" i="1600"/>
  <c r="AM48" i="1600"/>
  <c r="X19" i="1600"/>
  <c r="Z41" i="1600"/>
  <c r="X8" i="1600"/>
  <c r="Z6" i="1600" s="1"/>
  <c r="X23" i="1600"/>
  <c r="X55" i="1600"/>
  <c r="X59" i="1600"/>
  <c r="X31" i="1600"/>
  <c r="AI55" i="1600"/>
  <c r="AB39" i="1600"/>
  <c r="AB58" i="1600"/>
  <c r="AF59" i="1600"/>
  <c r="AH59" i="1600" s="1"/>
  <c r="AF63" i="1600"/>
  <c r="AG63" i="1600" s="1"/>
  <c r="AB46" i="1600"/>
  <c r="AQ47" i="1600"/>
  <c r="X46" i="1600" s="1"/>
  <c r="AE47" i="1600"/>
  <c r="X47" i="1600"/>
  <c r="AI47" i="1600"/>
  <c r="X39" i="1600"/>
  <c r="AF39" i="1600"/>
  <c r="AH39" i="1600" s="1"/>
  <c r="AF47" i="1600"/>
  <c r="X71" i="1600"/>
  <c r="X72" i="1600"/>
  <c r="Z70" i="1600" s="1"/>
  <c r="AB74" i="1600"/>
  <c r="AQ11" i="1600"/>
  <c r="X10" i="1600" s="1"/>
  <c r="AQ15" i="1600"/>
  <c r="X14" i="1600" s="1"/>
  <c r="AQ23" i="1600"/>
  <c r="X22" i="1600" s="1"/>
  <c r="AB26" i="1600"/>
  <c r="X26" i="1600"/>
  <c r="AB30" i="1600"/>
  <c r="X30" i="1600"/>
  <c r="AB38" i="1600"/>
  <c r="AQ39" i="1600"/>
  <c r="X38" i="1600" s="1"/>
  <c r="AQ43" i="1600"/>
  <c r="X42" i="1600" s="1"/>
  <c r="AQ51" i="1600"/>
  <c r="X50" i="1600" s="1"/>
  <c r="AB54" i="1600"/>
  <c r="AQ55" i="1600"/>
  <c r="X54" i="1600" s="1"/>
  <c r="AQ67" i="1600"/>
  <c r="X66" i="1600" s="1"/>
  <c r="AQ79" i="1600"/>
  <c r="X78" i="1600" s="1"/>
  <c r="X32" i="1600"/>
  <c r="X12" i="1600"/>
  <c r="Z10" i="1600" s="1"/>
  <c r="X16" i="1600"/>
  <c r="Z14" i="1600" s="1"/>
  <c r="X20" i="1600"/>
  <c r="Z18" i="1600" s="1"/>
  <c r="X28" i="1600"/>
  <c r="Z26" i="1600" s="1"/>
  <c r="X40" i="1600"/>
  <c r="Z38" i="1600" s="1"/>
  <c r="X44" i="1600"/>
  <c r="Z42" i="1600" s="1"/>
  <c r="X52" i="1600"/>
  <c r="Z50" i="1600" s="1"/>
  <c r="X60" i="1600"/>
  <c r="Z58" i="1600" s="1"/>
  <c r="X68" i="1600"/>
  <c r="Z66" i="1600" s="1"/>
  <c r="X80" i="1600"/>
  <c r="Z78" i="1600" s="1"/>
  <c r="X15" i="1600"/>
  <c r="AB7" i="1600"/>
  <c r="AD7" i="1600" s="1"/>
  <c r="AD9" i="1600" s="1"/>
  <c r="AE7" i="1600"/>
  <c r="X43" i="1600"/>
  <c r="X11" i="1600"/>
  <c r="X24" i="1600"/>
  <c r="Z22" i="1600" s="1"/>
  <c r="X36" i="1600"/>
  <c r="Z34" i="1600" s="1"/>
  <c r="X56" i="1600"/>
  <c r="Z54" i="1600" s="1"/>
  <c r="X76" i="1600"/>
  <c r="Z74" i="1600" s="1"/>
  <c r="AE39" i="1600"/>
  <c r="X67" i="1600"/>
  <c r="X35" i="1600"/>
  <c r="X27" i="1600"/>
  <c r="AI11" i="1600"/>
  <c r="X79" i="1600"/>
  <c r="X7" i="1600"/>
  <c r="AL45" i="1600"/>
  <c r="AM45" i="1600" s="1"/>
  <c r="AL76" i="1600"/>
  <c r="AM76" i="1600" s="1"/>
  <c r="AL41" i="1600"/>
  <c r="AM41" i="1600" s="1"/>
  <c r="AL32" i="1600"/>
  <c r="AM32" i="1600" s="1"/>
  <c r="AL64" i="1600"/>
  <c r="AM64" i="1600" s="1"/>
  <c r="Z30" i="1600"/>
  <c r="AM40" i="1600"/>
  <c r="AL56" i="1600"/>
  <c r="AM56" i="1600" s="1"/>
  <c r="AE11" i="1600"/>
  <c r="AM25" i="1600"/>
  <c r="AB27" i="1600"/>
  <c r="AF51" i="1600"/>
  <c r="AG51" i="1600" s="1"/>
  <c r="AF67" i="1600"/>
  <c r="AH67" i="1600" s="1"/>
  <c r="AM60" i="1600"/>
  <c r="AE59" i="1600"/>
  <c r="Z9" i="1600"/>
  <c r="AB31" i="1600"/>
  <c r="AE55" i="1600"/>
  <c r="AB66" i="1600"/>
  <c r="AF79" i="1600"/>
  <c r="AH79" i="1600" s="1"/>
  <c r="AF27" i="1600"/>
  <c r="AH27" i="1600" s="1"/>
  <c r="AL12" i="1600"/>
  <c r="AM12" i="1600" s="1"/>
  <c r="AM21" i="1600"/>
  <c r="AI27" i="1600"/>
  <c r="AL28" i="1600"/>
  <c r="AM28" i="1600" s="1"/>
  <c r="AB35" i="1600"/>
  <c r="AD35" i="1600" s="1"/>
  <c r="AF35" i="1600"/>
  <c r="AH35" i="1600" s="1"/>
  <c r="AE67" i="1600"/>
  <c r="AM69" i="1600"/>
  <c r="AE75" i="1600"/>
  <c r="Z61" i="1600"/>
  <c r="AB71" i="1600"/>
  <c r="AD71" i="1600" s="1"/>
  <c r="AD73" i="1600" s="1"/>
  <c r="AF11" i="1600"/>
  <c r="AG11" i="1600" s="1"/>
  <c r="AE15" i="1600"/>
  <c r="AE27" i="1600"/>
  <c r="AL37" i="1600"/>
  <c r="AM37" i="1600" s="1"/>
  <c r="AB50" i="1600"/>
  <c r="AL81" i="1600"/>
  <c r="AM81" i="1600" s="1"/>
  <c r="AF75" i="1600"/>
  <c r="AJ75" i="1600" s="1"/>
  <c r="AB55" i="1600"/>
  <c r="P90" i="1600"/>
  <c r="P96" i="1600" s="1"/>
  <c r="AM9" i="1600"/>
  <c r="AM13" i="1600"/>
  <c r="T90" i="1600"/>
  <c r="T96" i="1600" s="1"/>
  <c r="AF7" i="1600"/>
  <c r="AH7" i="1600" s="1"/>
  <c r="AB11" i="1600"/>
  <c r="AB19" i="1600"/>
  <c r="AD19" i="1600" s="1"/>
  <c r="AV19" i="1600" s="1"/>
  <c r="AI31" i="1600"/>
  <c r="AE35" i="1600"/>
  <c r="AB42" i="1600"/>
  <c r="AM61" i="1600"/>
  <c r="AE63" i="1600"/>
  <c r="AM65" i="1600"/>
  <c r="AB75" i="1600"/>
  <c r="Z77" i="1600"/>
  <c r="AB78" i="1600"/>
  <c r="AI19" i="1600"/>
  <c r="Z21" i="1600"/>
  <c r="AI23" i="1600"/>
  <c r="AM77" i="1600"/>
  <c r="Z83" i="1600"/>
  <c r="V90" i="1600"/>
  <c r="V96" i="1600" s="1"/>
  <c r="AF55" i="1600"/>
  <c r="AB10" i="1600"/>
  <c r="AB14" i="1600"/>
  <c r="AB15" i="1600"/>
  <c r="AF19" i="1600"/>
  <c r="AH19" i="1600" s="1"/>
  <c r="AB23" i="1600"/>
  <c r="AF23" i="1600"/>
  <c r="AF31" i="1600"/>
  <c r="AH31" i="1600" s="1"/>
  <c r="AI35" i="1600"/>
  <c r="AM36" i="1600"/>
  <c r="AM57" i="1600"/>
  <c r="AB59" i="1600"/>
  <c r="AI59" i="1600"/>
  <c r="AI75" i="1600"/>
  <c r="R90" i="1600"/>
  <c r="R96" i="1600" s="1"/>
  <c r="AD63" i="1600"/>
  <c r="AV63" i="1600" s="1"/>
  <c r="AQ7" i="1600"/>
  <c r="X6" i="1600" s="1"/>
  <c r="AQ19" i="1600"/>
  <c r="X18" i="1600" s="1"/>
  <c r="AM29" i="1600"/>
  <c r="AM33" i="1600"/>
  <c r="N96" i="1600"/>
  <c r="AL24" i="1600"/>
  <c r="AM24" i="1600" s="1"/>
  <c r="AL53" i="1600"/>
  <c r="AM53" i="1600" s="1"/>
  <c r="AL52" i="1600"/>
  <c r="AM52" i="1600" s="1"/>
  <c r="X58" i="1600"/>
  <c r="S90" i="1600"/>
  <c r="S96" i="1600" s="1"/>
  <c r="W90" i="1600"/>
  <c r="W96" i="1600" s="1"/>
  <c r="AB43" i="1600"/>
  <c r="AI43" i="1600"/>
  <c r="AF71" i="1600"/>
  <c r="AJ71" i="1600" s="1"/>
  <c r="AE71" i="1600"/>
  <c r="AI79" i="1600"/>
  <c r="AB79" i="1600"/>
  <c r="AE43" i="1600"/>
  <c r="AM44" i="1600"/>
  <c r="AI7" i="1600"/>
  <c r="AL8" i="1600"/>
  <c r="AM8" i="1600" s="1"/>
  <c r="AE19" i="1600"/>
  <c r="AL20" i="1600"/>
  <c r="AM20" i="1600" s="1"/>
  <c r="AB22" i="1600"/>
  <c r="AF43" i="1600"/>
  <c r="Z46" i="1600"/>
  <c r="Z53" i="1600"/>
  <c r="AB51" i="1600"/>
  <c r="AI51" i="1600"/>
  <c r="AJ51" i="1600"/>
  <c r="X70" i="1600"/>
  <c r="AE79" i="1600"/>
  <c r="AM80" i="1600"/>
  <c r="AA4" i="1600"/>
  <c r="Z85" i="1600"/>
  <c r="O90" i="1600"/>
  <c r="O96" i="1600" s="1"/>
  <c r="AE23" i="1600"/>
  <c r="AE31" i="1600"/>
  <c r="AB47" i="1600"/>
  <c r="AD47" i="1600" s="1"/>
  <c r="AE51" i="1600"/>
  <c r="AI67" i="1600"/>
  <c r="Z69" i="1600"/>
  <c r="AB67" i="1600"/>
  <c r="AL72" i="1600"/>
  <c r="AM72" i="1600" s="1"/>
  <c r="AL73" i="1600"/>
  <c r="AM73" i="1600" s="1"/>
  <c r="M96" i="1600"/>
  <c r="Q96" i="1600"/>
  <c r="U96" i="1600"/>
  <c r="AI63" i="1600"/>
  <c r="Z65" i="1600"/>
  <c r="X74" i="1600"/>
  <c r="AL68" i="1600"/>
  <c r="AM68" i="1600" s="1"/>
  <c r="AD39" i="1600" l="1"/>
  <c r="AD41" i="1600" s="1"/>
  <c r="AD31" i="1600"/>
  <c r="AD33" i="1600" s="1"/>
  <c r="AJ63" i="1600"/>
  <c r="AD59" i="1600"/>
  <c r="AV59" i="1600" s="1"/>
  <c r="AJ59" i="1600"/>
  <c r="AG59" i="1600"/>
  <c r="AJ39" i="1600"/>
  <c r="AH63" i="1600"/>
  <c r="AD55" i="1600"/>
  <c r="AV55" i="1600" s="1"/>
  <c r="AD75" i="1600"/>
  <c r="AD77" i="1600" s="1"/>
  <c r="AG39" i="1600"/>
  <c r="AD67" i="1600"/>
  <c r="AD69" i="1600" s="1"/>
  <c r="AG47" i="1600"/>
  <c r="AH47" i="1600"/>
  <c r="AJ47" i="1600"/>
  <c r="AG27" i="1600"/>
  <c r="AH51" i="1600"/>
  <c r="AD43" i="1600"/>
  <c r="AD45" i="1600" s="1"/>
  <c r="AD27" i="1600"/>
  <c r="AD29" i="1600" s="1"/>
  <c r="AJ27" i="1600"/>
  <c r="AD79" i="1600"/>
  <c r="AD81" i="1600" s="1"/>
  <c r="AG79" i="1600"/>
  <c r="AJ79" i="1600"/>
  <c r="AG67" i="1600"/>
  <c r="AJ67" i="1600"/>
  <c r="AJ7" i="1600"/>
  <c r="AG7" i="1600"/>
  <c r="AD11" i="1600"/>
  <c r="AV7" i="1600"/>
  <c r="AJ11" i="1600"/>
  <c r="AG75" i="1600"/>
  <c r="AG31" i="1600"/>
  <c r="AJ31" i="1600"/>
  <c r="AH75" i="1600"/>
  <c r="AD51" i="1600"/>
  <c r="AV51" i="1600" s="1"/>
  <c r="AJ19" i="1600"/>
  <c r="AD15" i="1600"/>
  <c r="AH11" i="1600"/>
  <c r="AJ35" i="1600"/>
  <c r="AG35" i="1600"/>
  <c r="AV71" i="1600"/>
  <c r="AD23" i="1600"/>
  <c r="AD25" i="1600" s="1"/>
  <c r="AD21" i="1600"/>
  <c r="AF4" i="1600"/>
  <c r="AH23" i="1600"/>
  <c r="AG23" i="1600"/>
  <c r="AJ23" i="1600"/>
  <c r="AH55" i="1600"/>
  <c r="AG55" i="1600"/>
  <c r="AJ55" i="1600"/>
  <c r="AG19" i="1600"/>
  <c r="AD65" i="1600"/>
  <c r="AD49" i="1600"/>
  <c r="AV47" i="1600"/>
  <c r="AI2" i="1600"/>
  <c r="AD37" i="1600"/>
  <c r="AV35" i="1600"/>
  <c r="AG43" i="1600"/>
  <c r="AH43" i="1600"/>
  <c r="AH71" i="1600"/>
  <c r="AG71" i="1600"/>
  <c r="AQ4" i="1600"/>
  <c r="AJ43" i="1600"/>
  <c r="AV75" i="1600" l="1"/>
  <c r="AV39" i="1600"/>
  <c r="AV31" i="1600"/>
  <c r="AD61" i="1600"/>
  <c r="AD53" i="1600"/>
  <c r="AD57" i="1600"/>
  <c r="AV67" i="1600"/>
  <c r="AV43" i="1600"/>
  <c r="AV27" i="1600"/>
  <c r="AV79" i="1600"/>
  <c r="AD13" i="1600"/>
  <c r="AV11" i="1600"/>
  <c r="AD17" i="1600"/>
  <c r="AV15" i="1600"/>
  <c r="AV23" i="1600"/>
  <c r="AH2" i="1600"/>
  <c r="AD2" i="1600" s="1"/>
  <c r="J29" i="1598" l="1"/>
  <c r="J13" i="1598"/>
  <c r="J85" i="1599"/>
  <c r="J25" i="1599"/>
  <c r="G85" i="1599" l="1"/>
  <c r="G84" i="1599"/>
  <c r="G83" i="1599"/>
  <c r="AK85" i="1599"/>
  <c r="AL85" i="1599" s="1"/>
  <c r="AH85" i="1599"/>
  <c r="AG85" i="1599"/>
  <c r="AA85" i="1599"/>
  <c r="B85" i="1599"/>
  <c r="AH84" i="1599"/>
  <c r="AG84" i="1599"/>
  <c r="AA84" i="1599"/>
  <c r="AF83" i="1599" s="1"/>
  <c r="I84" i="1599"/>
  <c r="E84" i="1599"/>
  <c r="E85" i="1599" s="1"/>
  <c r="B84" i="1599"/>
  <c r="AE83" i="1599"/>
  <c r="AA83" i="1599"/>
  <c r="AB83" i="1599" s="1"/>
  <c r="C83" i="1599"/>
  <c r="AH82" i="1599"/>
  <c r="AG82" i="1599"/>
  <c r="AA82" i="1599"/>
  <c r="AQ83" i="1599" s="1"/>
  <c r="B82" i="1599"/>
  <c r="X83" i="1599" l="1"/>
  <c r="AM85" i="1599"/>
  <c r="AG83" i="1599"/>
  <c r="AH83" i="1599"/>
  <c r="AB82" i="1599"/>
  <c r="AD83" i="1599" s="1"/>
  <c r="AI83" i="1599"/>
  <c r="X84" i="1599"/>
  <c r="Z82" i="1599" s="1"/>
  <c r="AL84" i="1599"/>
  <c r="AM84" i="1599" s="1"/>
  <c r="Z85" i="1599"/>
  <c r="X82" i="1599"/>
  <c r="AJ83" i="1599"/>
  <c r="G75" i="1599"/>
  <c r="G76" i="1599" s="1"/>
  <c r="G77" i="1599" s="1"/>
  <c r="AD85" i="1599" l="1"/>
  <c r="AV83" i="1599"/>
  <c r="AQ55" i="1599"/>
  <c r="AA89" i="1599"/>
  <c r="AA88" i="1599"/>
  <c r="AA87" i="1599"/>
  <c r="AA86" i="1599"/>
  <c r="AB86" i="1599" s="1"/>
  <c r="AA81" i="1599"/>
  <c r="AA80" i="1599"/>
  <c r="AA79" i="1599"/>
  <c r="AB79" i="1599" s="1"/>
  <c r="AA78" i="1599"/>
  <c r="AQ79" i="1599" s="1"/>
  <c r="X78" i="1599" s="1"/>
  <c r="AA77" i="1599"/>
  <c r="AA76" i="1599"/>
  <c r="AA75" i="1599"/>
  <c r="X75" i="1599" s="1"/>
  <c r="AA74" i="1599"/>
  <c r="AQ75" i="1599" s="1"/>
  <c r="AA73" i="1599"/>
  <c r="AA72" i="1599"/>
  <c r="AA71" i="1599"/>
  <c r="AB71" i="1599" s="1"/>
  <c r="AA70" i="1599"/>
  <c r="AB70" i="1599" s="1"/>
  <c r="AA69" i="1599"/>
  <c r="AA68" i="1599"/>
  <c r="AA67" i="1599"/>
  <c r="AA66" i="1599"/>
  <c r="AB66" i="1599" s="1"/>
  <c r="AA65" i="1599"/>
  <c r="AA64" i="1599"/>
  <c r="AA63" i="1599"/>
  <c r="AA62" i="1599"/>
  <c r="AA61" i="1599"/>
  <c r="AA60" i="1599"/>
  <c r="AA59" i="1599"/>
  <c r="X59" i="1599" s="1"/>
  <c r="AA58" i="1599"/>
  <c r="AA57" i="1599"/>
  <c r="AA56" i="1599"/>
  <c r="AA55" i="1599"/>
  <c r="AA54" i="1599"/>
  <c r="AB54" i="1599" s="1"/>
  <c r="AA53" i="1599"/>
  <c r="AA52" i="1599"/>
  <c r="AA51" i="1599"/>
  <c r="X51" i="1599" s="1"/>
  <c r="AA50" i="1599"/>
  <c r="AB50" i="1599" s="1"/>
  <c r="AA49" i="1599"/>
  <c r="AA48" i="1599"/>
  <c r="AA47" i="1599"/>
  <c r="AB47" i="1599" s="1"/>
  <c r="AA46" i="1599"/>
  <c r="AA45" i="1599"/>
  <c r="AA44" i="1599"/>
  <c r="AA43" i="1599"/>
  <c r="X43" i="1599" s="1"/>
  <c r="AA42" i="1599"/>
  <c r="AB42" i="1599" s="1"/>
  <c r="AA41" i="1599"/>
  <c r="AA40" i="1599"/>
  <c r="AA39" i="1599"/>
  <c r="AI39" i="1599" s="1"/>
  <c r="AA38" i="1599"/>
  <c r="AA37" i="1599"/>
  <c r="AA36" i="1599"/>
  <c r="AA35" i="1599"/>
  <c r="AI35" i="1599" s="1"/>
  <c r="AA34" i="1599"/>
  <c r="AQ35" i="1599" s="1"/>
  <c r="AA33" i="1599"/>
  <c r="AA32" i="1599"/>
  <c r="AA31" i="1599"/>
  <c r="AA30" i="1599"/>
  <c r="AQ31" i="1599" s="1"/>
  <c r="X30" i="1599" s="1"/>
  <c r="AA29" i="1599"/>
  <c r="AA28" i="1599"/>
  <c r="AA27" i="1599"/>
  <c r="AA26" i="1599"/>
  <c r="AA25" i="1599"/>
  <c r="AA24" i="1599"/>
  <c r="AA23" i="1599"/>
  <c r="X23" i="1599" s="1"/>
  <c r="AA22" i="1599"/>
  <c r="AA21" i="1599"/>
  <c r="AA20" i="1599"/>
  <c r="AA19" i="1599"/>
  <c r="AB19" i="1599" s="1"/>
  <c r="AA18" i="1599"/>
  <c r="AB18" i="1599" s="1"/>
  <c r="AA17" i="1599"/>
  <c r="AA16" i="1599"/>
  <c r="AA15" i="1599"/>
  <c r="Z17" i="1599" s="1"/>
  <c r="AA14" i="1599"/>
  <c r="AQ15" i="1599" s="1"/>
  <c r="X14" i="1599" s="1"/>
  <c r="AA13" i="1599"/>
  <c r="AA12" i="1599"/>
  <c r="AA11" i="1599"/>
  <c r="AA10" i="1599"/>
  <c r="AQ11" i="1599" s="1"/>
  <c r="X70" i="1599"/>
  <c r="X28" i="1599"/>
  <c r="Z26" i="1599" s="1"/>
  <c r="X27" i="1599"/>
  <c r="X16" i="1599"/>
  <c r="Z14" i="1599" s="1"/>
  <c r="X15" i="1599"/>
  <c r="AA9" i="1599"/>
  <c r="AA8" i="1599"/>
  <c r="AA7" i="1599"/>
  <c r="AA6" i="1599"/>
  <c r="AB6" i="1599" s="1"/>
  <c r="W101" i="1599"/>
  <c r="V101" i="1599"/>
  <c r="U101" i="1599"/>
  <c r="U98" i="1599" s="1"/>
  <c r="T101" i="1599"/>
  <c r="S101" i="1599"/>
  <c r="R101" i="1599"/>
  <c r="Q101" i="1599"/>
  <c r="Q98" i="1599" s="1"/>
  <c r="P101" i="1599"/>
  <c r="O101" i="1599"/>
  <c r="N101" i="1599"/>
  <c r="N98" i="1599" s="1"/>
  <c r="M101" i="1599"/>
  <c r="M98" i="1599" s="1"/>
  <c r="W95" i="1599"/>
  <c r="V95" i="1599"/>
  <c r="U95" i="1599"/>
  <c r="T95" i="1599"/>
  <c r="S95" i="1599"/>
  <c r="R95" i="1599"/>
  <c r="Q95" i="1599"/>
  <c r="P95" i="1599"/>
  <c r="O95" i="1599"/>
  <c r="N95" i="1599"/>
  <c r="M95" i="1599"/>
  <c r="W93" i="1599"/>
  <c r="V93" i="1599"/>
  <c r="U93" i="1599"/>
  <c r="T93" i="1599"/>
  <c r="S93" i="1599"/>
  <c r="R93" i="1599"/>
  <c r="Q93" i="1599"/>
  <c r="P93" i="1599"/>
  <c r="O93" i="1599"/>
  <c r="N93" i="1599"/>
  <c r="M93" i="1599"/>
  <c r="W91" i="1599"/>
  <c r="V91" i="1599"/>
  <c r="U91" i="1599"/>
  <c r="T91" i="1599"/>
  <c r="S91" i="1599"/>
  <c r="R91" i="1599"/>
  <c r="Q91" i="1599"/>
  <c r="P91" i="1599"/>
  <c r="O91" i="1599"/>
  <c r="N91" i="1599"/>
  <c r="M91" i="1599"/>
  <c r="AK89" i="1599"/>
  <c r="AL88" i="1599" s="1"/>
  <c r="AH89" i="1599"/>
  <c r="AG89" i="1599"/>
  <c r="J89" i="1599"/>
  <c r="B89" i="1599"/>
  <c r="AH88" i="1599"/>
  <c r="AG88" i="1599"/>
  <c r="I88" i="1599"/>
  <c r="E88" i="1599"/>
  <c r="E89" i="1599" s="1"/>
  <c r="B88" i="1599"/>
  <c r="G87" i="1599"/>
  <c r="G88" i="1599" s="1"/>
  <c r="G89" i="1599" s="1"/>
  <c r="C87" i="1599"/>
  <c r="AH86" i="1599"/>
  <c r="AG86" i="1599"/>
  <c r="B86" i="1599"/>
  <c r="AK81" i="1599"/>
  <c r="AL80" i="1599" s="1"/>
  <c r="AM80" i="1599" s="1"/>
  <c r="AH81" i="1599"/>
  <c r="AG81" i="1599"/>
  <c r="J81" i="1599"/>
  <c r="B81" i="1599"/>
  <c r="AH80" i="1599"/>
  <c r="AG80" i="1599"/>
  <c r="I80" i="1599"/>
  <c r="E80" i="1599"/>
  <c r="E81" i="1599" s="1"/>
  <c r="B80" i="1599"/>
  <c r="G79" i="1599"/>
  <c r="G80" i="1599" s="1"/>
  <c r="G81" i="1599" s="1"/>
  <c r="C79" i="1599"/>
  <c r="AH78" i="1599"/>
  <c r="AG78" i="1599"/>
  <c r="B78" i="1599"/>
  <c r="AK77" i="1599"/>
  <c r="AH77" i="1599"/>
  <c r="AG77" i="1599"/>
  <c r="J77" i="1599"/>
  <c r="B77" i="1599"/>
  <c r="AH76" i="1599"/>
  <c r="AG76" i="1599"/>
  <c r="I76" i="1599"/>
  <c r="E76" i="1599"/>
  <c r="E77" i="1599" s="1"/>
  <c r="B76" i="1599"/>
  <c r="C75" i="1599"/>
  <c r="AH74" i="1599"/>
  <c r="AG74" i="1599"/>
  <c r="B74" i="1599"/>
  <c r="AK73" i="1599"/>
  <c r="AL73" i="1599" s="1"/>
  <c r="AH73" i="1599"/>
  <c r="AG73" i="1599"/>
  <c r="J73" i="1599"/>
  <c r="B73" i="1599"/>
  <c r="AH72" i="1599"/>
  <c r="AG72" i="1599"/>
  <c r="I72" i="1599"/>
  <c r="E72" i="1599"/>
  <c r="E73" i="1599" s="1"/>
  <c r="B72" i="1599"/>
  <c r="G71" i="1599"/>
  <c r="G72" i="1599" s="1"/>
  <c r="G73" i="1599" s="1"/>
  <c r="C71" i="1599"/>
  <c r="AH70" i="1599"/>
  <c r="AG70" i="1599"/>
  <c r="B70" i="1599"/>
  <c r="AK69" i="1599"/>
  <c r="X68" i="1599" s="1"/>
  <c r="AH69" i="1599"/>
  <c r="AG69" i="1599"/>
  <c r="J69" i="1599"/>
  <c r="G69" i="1599"/>
  <c r="B69" i="1599"/>
  <c r="AH68" i="1599"/>
  <c r="AG68" i="1599"/>
  <c r="I68" i="1599"/>
  <c r="G68" i="1599"/>
  <c r="E68" i="1599"/>
  <c r="E69" i="1599" s="1"/>
  <c r="B68" i="1599"/>
  <c r="G67" i="1599"/>
  <c r="C67" i="1599"/>
  <c r="AH66" i="1599"/>
  <c r="AG66" i="1599"/>
  <c r="B66" i="1599"/>
  <c r="AK65" i="1599"/>
  <c r="AL64" i="1599" s="1"/>
  <c r="AH65" i="1599"/>
  <c r="AG65" i="1599"/>
  <c r="J65" i="1599"/>
  <c r="B65" i="1599"/>
  <c r="AH64" i="1599"/>
  <c r="AG64" i="1599"/>
  <c r="I64" i="1599"/>
  <c r="E64" i="1599"/>
  <c r="E65" i="1599" s="1"/>
  <c r="B64" i="1599"/>
  <c r="G63" i="1599"/>
  <c r="G64" i="1599" s="1"/>
  <c r="G65" i="1599" s="1"/>
  <c r="C63" i="1599"/>
  <c r="AH62" i="1599"/>
  <c r="AG62" i="1599"/>
  <c r="B62" i="1599"/>
  <c r="AK61" i="1599"/>
  <c r="AL61" i="1599" s="1"/>
  <c r="AH61" i="1599"/>
  <c r="AG61" i="1599"/>
  <c r="J61" i="1599"/>
  <c r="B61" i="1599"/>
  <c r="AH60" i="1599"/>
  <c r="AG60" i="1599"/>
  <c r="I60" i="1599"/>
  <c r="E60" i="1599"/>
  <c r="E61" i="1599" s="1"/>
  <c r="B60" i="1599"/>
  <c r="G59" i="1599"/>
  <c r="G60" i="1599" s="1"/>
  <c r="G61" i="1599" s="1"/>
  <c r="C59" i="1599"/>
  <c r="AH58" i="1599"/>
  <c r="AG58" i="1599"/>
  <c r="B58" i="1599"/>
  <c r="AK57" i="1599"/>
  <c r="AH57" i="1599"/>
  <c r="AG57" i="1599"/>
  <c r="J57" i="1599"/>
  <c r="B57" i="1599"/>
  <c r="AH56" i="1599"/>
  <c r="AG56" i="1599"/>
  <c r="I56" i="1599"/>
  <c r="E56" i="1599"/>
  <c r="E57" i="1599" s="1"/>
  <c r="B56" i="1599"/>
  <c r="G55" i="1599"/>
  <c r="G56" i="1599" s="1"/>
  <c r="G57" i="1599" s="1"/>
  <c r="C55" i="1599"/>
  <c r="AH54" i="1599"/>
  <c r="AG54" i="1599"/>
  <c r="B54" i="1599"/>
  <c r="AK53" i="1599"/>
  <c r="J53" i="1599"/>
  <c r="B53" i="1599"/>
  <c r="I52" i="1599"/>
  <c r="E52" i="1599"/>
  <c r="E53" i="1599" s="1"/>
  <c r="B52" i="1599"/>
  <c r="AQ51" i="1599"/>
  <c r="X50" i="1599" s="1"/>
  <c r="AB51" i="1599"/>
  <c r="B50" i="1599"/>
  <c r="AK49" i="1599"/>
  <c r="AL49" i="1599" s="1"/>
  <c r="AH49" i="1599"/>
  <c r="AG49" i="1599"/>
  <c r="J49" i="1599"/>
  <c r="B49" i="1599"/>
  <c r="AH48" i="1599"/>
  <c r="AG48" i="1599"/>
  <c r="I48" i="1599"/>
  <c r="E48" i="1599"/>
  <c r="E49" i="1599" s="1"/>
  <c r="B48" i="1599"/>
  <c r="G47" i="1599"/>
  <c r="G48" i="1599" s="1"/>
  <c r="G49" i="1599" s="1"/>
  <c r="C47" i="1599"/>
  <c r="AH46" i="1599"/>
  <c r="AG46" i="1599"/>
  <c r="B46" i="1599"/>
  <c r="AK45" i="1599"/>
  <c r="AL45" i="1599" s="1"/>
  <c r="AH45" i="1599"/>
  <c r="AG45" i="1599"/>
  <c r="J45" i="1599"/>
  <c r="B45" i="1599"/>
  <c r="AH44" i="1599"/>
  <c r="AG44" i="1599"/>
  <c r="I44" i="1599"/>
  <c r="E44" i="1599"/>
  <c r="E45" i="1599" s="1"/>
  <c r="B44" i="1599"/>
  <c r="AB43" i="1599"/>
  <c r="G43" i="1599"/>
  <c r="G44" i="1599" s="1"/>
  <c r="G45" i="1599" s="1"/>
  <c r="C43" i="1599"/>
  <c r="AH42" i="1599"/>
  <c r="AG42" i="1599"/>
  <c r="B42" i="1599"/>
  <c r="AK41" i="1599"/>
  <c r="AL41" i="1599" s="1"/>
  <c r="AH41" i="1599"/>
  <c r="AG41" i="1599"/>
  <c r="J41" i="1599"/>
  <c r="B41" i="1599"/>
  <c r="AH40" i="1599"/>
  <c r="AG40" i="1599"/>
  <c r="I40" i="1599"/>
  <c r="E40" i="1599"/>
  <c r="E41" i="1599" s="1"/>
  <c r="B40" i="1599"/>
  <c r="G39" i="1599"/>
  <c r="G40" i="1599" s="1"/>
  <c r="G41" i="1599" s="1"/>
  <c r="C39" i="1599"/>
  <c r="AH38" i="1599"/>
  <c r="AG38" i="1599"/>
  <c r="B38" i="1599"/>
  <c r="AK37" i="1599"/>
  <c r="AL37" i="1599" s="1"/>
  <c r="AH37" i="1599"/>
  <c r="AG37" i="1599"/>
  <c r="J37" i="1599"/>
  <c r="B37" i="1599"/>
  <c r="AH36" i="1599"/>
  <c r="AG36" i="1599"/>
  <c r="I36" i="1599"/>
  <c r="E36" i="1599"/>
  <c r="E37" i="1599" s="1"/>
  <c r="B36" i="1599"/>
  <c r="G35" i="1599"/>
  <c r="G36" i="1599" s="1"/>
  <c r="G37" i="1599" s="1"/>
  <c r="C35" i="1599"/>
  <c r="AH34" i="1599"/>
  <c r="AG34" i="1599"/>
  <c r="AB34" i="1599"/>
  <c r="B34" i="1599"/>
  <c r="AK33" i="1599"/>
  <c r="X32" i="1599" s="1"/>
  <c r="AH33" i="1599"/>
  <c r="AG33" i="1599"/>
  <c r="J33" i="1599"/>
  <c r="B33" i="1599"/>
  <c r="AH32" i="1599"/>
  <c r="AG32" i="1599"/>
  <c r="I32" i="1599"/>
  <c r="E32" i="1599"/>
  <c r="E33" i="1599" s="1"/>
  <c r="B32" i="1599"/>
  <c r="G31" i="1599"/>
  <c r="G32" i="1599" s="1"/>
  <c r="G33" i="1599" s="1"/>
  <c r="C31" i="1599"/>
  <c r="AH30" i="1599"/>
  <c r="AG30" i="1599"/>
  <c r="B30" i="1599"/>
  <c r="AK29" i="1599"/>
  <c r="AL28" i="1599" s="1"/>
  <c r="AM28" i="1599" s="1"/>
  <c r="AH29" i="1599"/>
  <c r="AG29" i="1599"/>
  <c r="J29" i="1599"/>
  <c r="B29" i="1599"/>
  <c r="AH28" i="1599"/>
  <c r="AG28" i="1599"/>
  <c r="I28" i="1599"/>
  <c r="E28" i="1599"/>
  <c r="E29" i="1599" s="1"/>
  <c r="B28" i="1599"/>
  <c r="AQ27" i="1599"/>
  <c r="X26" i="1599" s="1"/>
  <c r="G27" i="1599"/>
  <c r="G28" i="1599" s="1"/>
  <c r="G29" i="1599" s="1"/>
  <c r="C27" i="1599"/>
  <c r="AH26" i="1599"/>
  <c r="AG26" i="1599"/>
  <c r="AB26" i="1599"/>
  <c r="B26" i="1599"/>
  <c r="AK25" i="1599"/>
  <c r="X24" i="1599" s="1"/>
  <c r="AH25" i="1599"/>
  <c r="AG25" i="1599"/>
  <c r="G25" i="1599"/>
  <c r="B25" i="1599"/>
  <c r="AH24" i="1599"/>
  <c r="AG24" i="1599"/>
  <c r="I24" i="1599"/>
  <c r="G24" i="1599"/>
  <c r="E24" i="1599"/>
  <c r="E25" i="1599" s="1"/>
  <c r="B24" i="1599"/>
  <c r="G23" i="1599"/>
  <c r="C23" i="1599"/>
  <c r="AH22" i="1599"/>
  <c r="AG22" i="1599"/>
  <c r="B22" i="1599"/>
  <c r="AK21" i="1599"/>
  <c r="AH21" i="1599"/>
  <c r="AG21" i="1599"/>
  <c r="J21" i="1599"/>
  <c r="B21" i="1599"/>
  <c r="AH20" i="1599"/>
  <c r="AG20" i="1599"/>
  <c r="I20" i="1599"/>
  <c r="E20" i="1599"/>
  <c r="E21" i="1599" s="1"/>
  <c r="B20" i="1599"/>
  <c r="AQ19" i="1599"/>
  <c r="X18" i="1599" s="1"/>
  <c r="G19" i="1599"/>
  <c r="G20" i="1599" s="1"/>
  <c r="G21" i="1599" s="1"/>
  <c r="C19" i="1599"/>
  <c r="AH18" i="1599"/>
  <c r="AG18" i="1599"/>
  <c r="B18" i="1599"/>
  <c r="AK17" i="1599"/>
  <c r="J17" i="1599"/>
  <c r="G17" i="1599"/>
  <c r="B17" i="1599"/>
  <c r="I16" i="1599"/>
  <c r="G16" i="1599"/>
  <c r="E16" i="1599"/>
  <c r="E17" i="1599" s="1"/>
  <c r="B16" i="1599"/>
  <c r="G15" i="1599"/>
  <c r="B14" i="1599"/>
  <c r="AK13" i="1599"/>
  <c r="AL12" i="1599" s="1"/>
  <c r="AH13" i="1599"/>
  <c r="AG13" i="1599"/>
  <c r="J13" i="1599"/>
  <c r="B13" i="1599"/>
  <c r="AH12" i="1599"/>
  <c r="AG12" i="1599"/>
  <c r="I12" i="1599"/>
  <c r="B12" i="1599"/>
  <c r="G11" i="1599"/>
  <c r="G12" i="1599" s="1"/>
  <c r="G13" i="1599" s="1"/>
  <c r="C11" i="1599"/>
  <c r="AH10" i="1599"/>
  <c r="AG10" i="1599"/>
  <c r="B10" i="1599"/>
  <c r="AK9" i="1599"/>
  <c r="AL9" i="1599" s="1"/>
  <c r="AH9" i="1599"/>
  <c r="AG9" i="1599"/>
  <c r="J9" i="1599"/>
  <c r="G9" i="1599"/>
  <c r="B9" i="1599"/>
  <c r="AH8" i="1599"/>
  <c r="AG8" i="1599"/>
  <c r="I8" i="1599"/>
  <c r="G8" i="1599"/>
  <c r="E8" i="1599"/>
  <c r="E9" i="1599" s="1"/>
  <c r="B8" i="1599"/>
  <c r="G7" i="1599"/>
  <c r="C7" i="1599"/>
  <c r="AH6" i="1599"/>
  <c r="AG6" i="1599"/>
  <c r="B6" i="1599"/>
  <c r="AD4" i="1599"/>
  <c r="AE15" i="1599" l="1"/>
  <c r="AE43" i="1599"/>
  <c r="AF79" i="1599"/>
  <c r="AG79" i="1599" s="1"/>
  <c r="AB59" i="1599"/>
  <c r="X56" i="1599"/>
  <c r="Z54" i="1599" s="1"/>
  <c r="X76" i="1599"/>
  <c r="Z74" i="1599" s="1"/>
  <c r="AF27" i="1599"/>
  <c r="AJ27" i="1599" s="1"/>
  <c r="AE51" i="1599"/>
  <c r="X79" i="1599"/>
  <c r="Z73" i="1599"/>
  <c r="AI71" i="1599"/>
  <c r="X20" i="1599"/>
  <c r="Z18" i="1599" s="1"/>
  <c r="AM12" i="1599"/>
  <c r="X47" i="1599"/>
  <c r="X67" i="1599"/>
  <c r="X31" i="1599"/>
  <c r="X39" i="1599"/>
  <c r="X71" i="1599"/>
  <c r="X11" i="1599"/>
  <c r="X35" i="1599"/>
  <c r="X55" i="1599"/>
  <c r="X52" i="1599"/>
  <c r="Z50" i="1599" s="1"/>
  <c r="X63" i="1599"/>
  <c r="AE67" i="1599"/>
  <c r="AE23" i="1599"/>
  <c r="AF11" i="1599"/>
  <c r="AJ11" i="1599" s="1"/>
  <c r="AF63" i="1599"/>
  <c r="AG63" i="1599" s="1"/>
  <c r="AI19" i="1599"/>
  <c r="X19" i="1599"/>
  <c r="AB35" i="1599"/>
  <c r="AD35" i="1599" s="1"/>
  <c r="AV35" i="1599" s="1"/>
  <c r="AE59" i="1599"/>
  <c r="AB10" i="1599"/>
  <c r="AF23" i="1599"/>
  <c r="AH23" i="1599" s="1"/>
  <c r="AM73" i="1599"/>
  <c r="AM45" i="1599"/>
  <c r="AL24" i="1599"/>
  <c r="AM24" i="1599" s="1"/>
  <c r="X8" i="1599"/>
  <c r="Z6" i="1599" s="1"/>
  <c r="X12" i="1599"/>
  <c r="Z10" i="1599" s="1"/>
  <c r="X36" i="1599"/>
  <c r="Z34" i="1599" s="1"/>
  <c r="X44" i="1599"/>
  <c r="Z42" i="1599" s="1"/>
  <c r="X60" i="1599"/>
  <c r="Z58" i="1599" s="1"/>
  <c r="AB22" i="1599"/>
  <c r="AQ23" i="1599"/>
  <c r="AB38" i="1599"/>
  <c r="AQ39" i="1599"/>
  <c r="X38" i="1599" s="1"/>
  <c r="AB46" i="1599"/>
  <c r="AQ47" i="1599"/>
  <c r="X46" i="1599" s="1"/>
  <c r="AB58" i="1599"/>
  <c r="AD59" i="1599" s="1"/>
  <c r="AV59" i="1599" s="1"/>
  <c r="AQ59" i="1599"/>
  <c r="X58" i="1599" s="1"/>
  <c r="AQ63" i="1599"/>
  <c r="X62" i="1599" s="1"/>
  <c r="AD71" i="1599"/>
  <c r="AD73" i="1599" s="1"/>
  <c r="AB74" i="1599"/>
  <c r="X74" i="1599"/>
  <c r="AQ87" i="1599"/>
  <c r="X86" i="1599" s="1"/>
  <c r="AQ7" i="1599"/>
  <c r="AL25" i="1599"/>
  <c r="AM25" i="1599" s="1"/>
  <c r="AL77" i="1599"/>
  <c r="AM77" i="1599" s="1"/>
  <c r="AL48" i="1599"/>
  <c r="AM48" i="1599" s="1"/>
  <c r="AL76" i="1599"/>
  <c r="AM76" i="1599" s="1"/>
  <c r="AF7" i="1599"/>
  <c r="AH7" i="1599" s="1"/>
  <c r="X88" i="1599"/>
  <c r="Z86" i="1599" s="1"/>
  <c r="X40" i="1599"/>
  <c r="Z38" i="1599" s="1"/>
  <c r="X48" i="1599"/>
  <c r="Z46" i="1599" s="1"/>
  <c r="X64" i="1599"/>
  <c r="Z62" i="1599" s="1"/>
  <c r="X72" i="1599"/>
  <c r="Z70" i="1599" s="1"/>
  <c r="X80" i="1599"/>
  <c r="Z78" i="1599" s="1"/>
  <c r="X87" i="1599"/>
  <c r="X54" i="1599"/>
  <c r="AQ67" i="1599"/>
  <c r="X66" i="1599" s="1"/>
  <c r="Z9" i="1599"/>
  <c r="AI7" i="1599"/>
  <c r="X7" i="1599"/>
  <c r="AL8" i="1599"/>
  <c r="AM8" i="1599" s="1"/>
  <c r="AL65" i="1599"/>
  <c r="AM65" i="1599" s="1"/>
  <c r="AL89" i="1599"/>
  <c r="AM89" i="1599" s="1"/>
  <c r="AL36" i="1599"/>
  <c r="AM36" i="1599" s="1"/>
  <c r="AL40" i="1599"/>
  <c r="AM40" i="1599" s="1"/>
  <c r="AL13" i="1599"/>
  <c r="AM13" i="1599" s="1"/>
  <c r="AE35" i="1599"/>
  <c r="AI59" i="1599"/>
  <c r="AL60" i="1599"/>
  <c r="AM60" i="1599" s="1"/>
  <c r="Z77" i="1599"/>
  <c r="AB78" i="1599"/>
  <c r="AD79" i="1599" s="1"/>
  <c r="AV79" i="1599" s="1"/>
  <c r="AL81" i="1599"/>
  <c r="AM81" i="1599" s="1"/>
  <c r="AF87" i="1599"/>
  <c r="AG87" i="1599" s="1"/>
  <c r="AE7" i="1599"/>
  <c r="AD19" i="1599"/>
  <c r="AV19" i="1599" s="1"/>
  <c r="Z22" i="1599"/>
  <c r="Z25" i="1599"/>
  <c r="AD47" i="1599"/>
  <c r="AD49" i="1599" s="1"/>
  <c r="AF47" i="1599"/>
  <c r="P98" i="1599"/>
  <c r="P104" i="1599" s="1"/>
  <c r="AF31" i="1599"/>
  <c r="AG31" i="1599" s="1"/>
  <c r="X42" i="1599"/>
  <c r="T98" i="1599"/>
  <c r="T104" i="1599" s="1"/>
  <c r="AI43" i="1599"/>
  <c r="AD51" i="1599"/>
  <c r="AD53" i="1599" s="1"/>
  <c r="AM9" i="1599"/>
  <c r="AE27" i="1599"/>
  <c r="AB39" i="1599"/>
  <c r="AD39" i="1599" s="1"/>
  <c r="AI47" i="1599"/>
  <c r="AM49" i="1599"/>
  <c r="AE55" i="1599"/>
  <c r="Z61" i="1599"/>
  <c r="AB62" i="1599"/>
  <c r="AH79" i="1599"/>
  <c r="AE79" i="1599"/>
  <c r="Z93" i="1599"/>
  <c r="AF35" i="1599"/>
  <c r="AH35" i="1599" s="1"/>
  <c r="AF39" i="1599"/>
  <c r="AJ39" i="1599" s="1"/>
  <c r="AF59" i="1599"/>
  <c r="AH59" i="1599" s="1"/>
  <c r="AM61" i="1599"/>
  <c r="AF67" i="1599"/>
  <c r="AJ67" i="1599" s="1"/>
  <c r="Z91" i="1599"/>
  <c r="V98" i="1599"/>
  <c r="V104" i="1599" s="1"/>
  <c r="AB14" i="1599"/>
  <c r="AB15" i="1599"/>
  <c r="AB23" i="1599"/>
  <c r="AD23" i="1599" s="1"/>
  <c r="AI23" i="1599"/>
  <c r="AB30" i="1599"/>
  <c r="AF43" i="1599"/>
  <c r="AE47" i="1599"/>
  <c r="AF71" i="1599"/>
  <c r="AH71" i="1599" s="1"/>
  <c r="R98" i="1599"/>
  <c r="R104" i="1599" s="1"/>
  <c r="Z29" i="1599"/>
  <c r="AI27" i="1599"/>
  <c r="AB27" i="1599"/>
  <c r="AD27" i="1599" s="1"/>
  <c r="AL20" i="1599"/>
  <c r="AM20" i="1599" s="1"/>
  <c r="AL21" i="1599"/>
  <c r="AM21" i="1599" s="1"/>
  <c r="AH27" i="1599"/>
  <c r="AG27" i="1599"/>
  <c r="AF19" i="1599"/>
  <c r="AJ19" i="1599" s="1"/>
  <c r="AE19" i="1599"/>
  <c r="AI11" i="1599"/>
  <c r="AE11" i="1599"/>
  <c r="AB11" i="1599"/>
  <c r="AA4" i="1599"/>
  <c r="AI63" i="1599"/>
  <c r="AB63" i="1599"/>
  <c r="AI87" i="1599"/>
  <c r="AB87" i="1599"/>
  <c r="AD87" i="1599" s="1"/>
  <c r="N104" i="1599"/>
  <c r="AB31" i="1599"/>
  <c r="AL57" i="1599"/>
  <c r="AM57" i="1599" s="1"/>
  <c r="AL56" i="1599"/>
  <c r="AM56" i="1599" s="1"/>
  <c r="AL69" i="1599"/>
  <c r="AM69" i="1599" s="1"/>
  <c r="AL68" i="1599"/>
  <c r="AM68" i="1599" s="1"/>
  <c r="Z66" i="1599"/>
  <c r="X10" i="1599"/>
  <c r="AL29" i="1599"/>
  <c r="AM29" i="1599" s="1"/>
  <c r="AI31" i="1599"/>
  <c r="X34" i="1599"/>
  <c r="AE39" i="1599"/>
  <c r="AD43" i="1599"/>
  <c r="AL44" i="1599"/>
  <c r="AM44" i="1599" s="1"/>
  <c r="Z57" i="1599"/>
  <c r="AB55" i="1599"/>
  <c r="AD55" i="1599" s="1"/>
  <c r="AI55" i="1599"/>
  <c r="AE63" i="1599"/>
  <c r="AM64" i="1599"/>
  <c r="O98" i="1599"/>
  <c r="O104" i="1599" s="1"/>
  <c r="S98" i="1599"/>
  <c r="S104" i="1599" s="1"/>
  <c r="W98" i="1599"/>
  <c r="W104" i="1599" s="1"/>
  <c r="AB7" i="1599"/>
  <c r="AD7" i="1599" s="1"/>
  <c r="X6" i="1599"/>
  <c r="X22" i="1599"/>
  <c r="AE31" i="1599"/>
  <c r="AM37" i="1599"/>
  <c r="AM41" i="1599"/>
  <c r="AE87" i="1599"/>
  <c r="AM88" i="1599"/>
  <c r="AL33" i="1599"/>
  <c r="AM33" i="1599" s="1"/>
  <c r="AL32" i="1599"/>
  <c r="AM32" i="1599" s="1"/>
  <c r="Z30" i="1599"/>
  <c r="AF55" i="1599"/>
  <c r="AJ55" i="1599" s="1"/>
  <c r="Z69" i="1599"/>
  <c r="AB67" i="1599"/>
  <c r="AD67" i="1599" s="1"/>
  <c r="AI67" i="1599"/>
  <c r="AE71" i="1599"/>
  <c r="AF75" i="1599"/>
  <c r="AJ75" i="1599" s="1"/>
  <c r="AE75" i="1599"/>
  <c r="M104" i="1599"/>
  <c r="Q104" i="1599"/>
  <c r="U104" i="1599"/>
  <c r="AI75" i="1599"/>
  <c r="AI79" i="1599"/>
  <c r="AJ79" i="1599"/>
  <c r="AL72" i="1599"/>
  <c r="AM72" i="1599" s="1"/>
  <c r="AB75" i="1599"/>
  <c r="B6" i="1579"/>
  <c r="AJ63" i="1599" l="1"/>
  <c r="AG71" i="1599"/>
  <c r="AH63" i="1599"/>
  <c r="AG7" i="1599"/>
  <c r="AJ71" i="1599"/>
  <c r="AJ23" i="1599"/>
  <c r="AG11" i="1599"/>
  <c r="AV47" i="1599"/>
  <c r="AG23" i="1599"/>
  <c r="AV51" i="1599"/>
  <c r="AJ7" i="1599"/>
  <c r="AD11" i="1599"/>
  <c r="AV11" i="1599" s="1"/>
  <c r="AH11" i="1599"/>
  <c r="AV71" i="1599"/>
  <c r="AD21" i="1599"/>
  <c r="AH31" i="1599"/>
  <c r="AD75" i="1599"/>
  <c r="AD77" i="1599" s="1"/>
  <c r="AG59" i="1599"/>
  <c r="AG35" i="1599"/>
  <c r="AH87" i="1599"/>
  <c r="AJ87" i="1599"/>
  <c r="AD63" i="1599"/>
  <c r="AV63" i="1599" s="1"/>
  <c r="AD81" i="1599"/>
  <c r="AJ31" i="1599"/>
  <c r="AD15" i="1599"/>
  <c r="AD17" i="1599" s="1"/>
  <c r="AH47" i="1599"/>
  <c r="AG47" i="1599"/>
  <c r="AD61" i="1599"/>
  <c r="AJ47" i="1599"/>
  <c r="AH43" i="1599"/>
  <c r="AG43" i="1599"/>
  <c r="AD37" i="1599"/>
  <c r="AD31" i="1599"/>
  <c r="AV31" i="1599" s="1"/>
  <c r="AG67" i="1599"/>
  <c r="AH67" i="1599"/>
  <c r="AJ43" i="1599"/>
  <c r="AJ35" i="1599"/>
  <c r="AH39" i="1599"/>
  <c r="AG39" i="1599"/>
  <c r="AJ59" i="1599"/>
  <c r="AV23" i="1599"/>
  <c r="AD25" i="1599"/>
  <c r="AD29" i="1599"/>
  <c r="AV27" i="1599"/>
  <c r="AV7" i="1599"/>
  <c r="AD9" i="1599"/>
  <c r="AD57" i="1599"/>
  <c r="AV55" i="1599"/>
  <c r="AD89" i="1599"/>
  <c r="AV87" i="1599"/>
  <c r="AF4" i="1599"/>
  <c r="AQ4" i="1599"/>
  <c r="AV75" i="1599"/>
  <c r="AD69" i="1599"/>
  <c r="AV67" i="1599"/>
  <c r="AD41" i="1599"/>
  <c r="AV39" i="1599"/>
  <c r="AG55" i="1599"/>
  <c r="AH55" i="1599"/>
  <c r="AH19" i="1599"/>
  <c r="AG19" i="1599"/>
  <c r="AG75" i="1599"/>
  <c r="AH75" i="1599"/>
  <c r="AD45" i="1599"/>
  <c r="AV43" i="1599"/>
  <c r="AI2" i="1599"/>
  <c r="F6" i="1579"/>
  <c r="C6" i="1579" l="1"/>
  <c r="P6" i="1579"/>
  <c r="O6" i="1579"/>
  <c r="J6" i="1579"/>
  <c r="AD65" i="1599"/>
  <c r="K6" i="1579"/>
  <c r="AD13" i="1599"/>
  <c r="AD33" i="1599"/>
  <c r="AV15" i="1599"/>
  <c r="AH2" i="1599"/>
  <c r="AD2" i="1599" s="1"/>
  <c r="G63" i="1598" l="1"/>
  <c r="G64" i="1598" s="1"/>
  <c r="G65" i="1598" s="1"/>
  <c r="AK81" i="1598" l="1"/>
  <c r="AL80" i="1598" s="1"/>
  <c r="AH81" i="1598"/>
  <c r="AG81" i="1598"/>
  <c r="AA81" i="1598"/>
  <c r="J81" i="1598"/>
  <c r="B81" i="1598"/>
  <c r="AH80" i="1598"/>
  <c r="AG80" i="1598"/>
  <c r="AA80" i="1598"/>
  <c r="I80" i="1598"/>
  <c r="E80" i="1598"/>
  <c r="E81" i="1598" s="1"/>
  <c r="B80" i="1598"/>
  <c r="AA79" i="1598"/>
  <c r="AI79" i="1598" s="1"/>
  <c r="C79" i="1598"/>
  <c r="AH78" i="1598"/>
  <c r="AG78" i="1598"/>
  <c r="AA78" i="1598"/>
  <c r="AB78" i="1598" s="1"/>
  <c r="X78" i="1598"/>
  <c r="B78" i="1598"/>
  <c r="AK65" i="1598"/>
  <c r="AL64" i="1598" s="1"/>
  <c r="AH65" i="1598"/>
  <c r="AG65" i="1598"/>
  <c r="AA65" i="1598"/>
  <c r="J65" i="1598"/>
  <c r="B65" i="1598"/>
  <c r="AH64" i="1598"/>
  <c r="AG64" i="1598"/>
  <c r="AA64" i="1598"/>
  <c r="I64" i="1598"/>
  <c r="E64" i="1598"/>
  <c r="E65" i="1598" s="1"/>
  <c r="B64" i="1598"/>
  <c r="AA63" i="1598"/>
  <c r="Z65" i="1598" s="1"/>
  <c r="C63" i="1598"/>
  <c r="AH62" i="1598"/>
  <c r="AG62" i="1598"/>
  <c r="AA62" i="1598"/>
  <c r="B62" i="1598"/>
  <c r="AQ63" i="1598" l="1"/>
  <c r="X62" i="1598" s="1"/>
  <c r="AM80" i="1598"/>
  <c r="AL65" i="1598"/>
  <c r="AM65" i="1598" s="1"/>
  <c r="AF79" i="1598"/>
  <c r="AH79" i="1598" s="1"/>
  <c r="AL81" i="1598"/>
  <c r="AM81" i="1598" s="1"/>
  <c r="AF63" i="1598"/>
  <c r="AH63" i="1598" s="1"/>
  <c r="AE63" i="1598"/>
  <c r="Z81" i="1598"/>
  <c r="AI63" i="1598"/>
  <c r="X64" i="1598"/>
  <c r="Z62" i="1598" s="1"/>
  <c r="AM64" i="1598"/>
  <c r="AB79" i="1598"/>
  <c r="AD79" i="1598" s="1"/>
  <c r="X80" i="1598"/>
  <c r="Z78" i="1598" s="1"/>
  <c r="AE79" i="1598"/>
  <c r="AB63" i="1598"/>
  <c r="AB62" i="1598"/>
  <c r="AQ55" i="1598"/>
  <c r="X54" i="1598" s="1"/>
  <c r="AQ31" i="1598"/>
  <c r="X30" i="1598" s="1"/>
  <c r="AQ23" i="1598"/>
  <c r="AQ7" i="1598"/>
  <c r="X6" i="1598" s="1"/>
  <c r="AA89" i="1598"/>
  <c r="AA88" i="1598"/>
  <c r="AA87" i="1598"/>
  <c r="AA86" i="1598"/>
  <c r="AA85" i="1598"/>
  <c r="AA84" i="1598"/>
  <c r="AA83" i="1598"/>
  <c r="AA82" i="1598"/>
  <c r="AA77" i="1598"/>
  <c r="AA76" i="1598"/>
  <c r="AA75" i="1598"/>
  <c r="X79" i="1598" s="1"/>
  <c r="AA74" i="1598"/>
  <c r="AB74" i="1598" s="1"/>
  <c r="AA73" i="1598"/>
  <c r="AA72" i="1598"/>
  <c r="AA71" i="1598"/>
  <c r="AA70" i="1598"/>
  <c r="AB70" i="1598" s="1"/>
  <c r="AA69" i="1598"/>
  <c r="AA68" i="1598"/>
  <c r="AA67" i="1598"/>
  <c r="AA66" i="1598"/>
  <c r="AQ67" i="1598" s="1"/>
  <c r="AA61" i="1598"/>
  <c r="AA60" i="1598"/>
  <c r="AA59" i="1598"/>
  <c r="X63" i="1598" s="1"/>
  <c r="AA58" i="1598"/>
  <c r="AA57" i="1598"/>
  <c r="AA56" i="1598"/>
  <c r="AA55" i="1598"/>
  <c r="X55" i="1598" s="1"/>
  <c r="AA54" i="1598"/>
  <c r="AB54" i="1598" s="1"/>
  <c r="AA53" i="1598"/>
  <c r="AA52" i="1598"/>
  <c r="AA51" i="1598"/>
  <c r="AA50" i="1598"/>
  <c r="AQ51" i="1598" s="1"/>
  <c r="AA49" i="1598"/>
  <c r="AA48" i="1598"/>
  <c r="AA47" i="1598"/>
  <c r="AA46" i="1598"/>
  <c r="AA45" i="1598"/>
  <c r="AA44" i="1598"/>
  <c r="AA43" i="1598"/>
  <c r="AA42" i="1598"/>
  <c r="AA41" i="1598"/>
  <c r="AA40" i="1598"/>
  <c r="AA39" i="1598"/>
  <c r="AA38" i="1598"/>
  <c r="AB38" i="1598" s="1"/>
  <c r="AA37" i="1598"/>
  <c r="AA36" i="1598"/>
  <c r="AA35" i="1598"/>
  <c r="AA34" i="1598"/>
  <c r="AQ35" i="1598" s="1"/>
  <c r="AA33" i="1598"/>
  <c r="AA32" i="1598"/>
  <c r="AA31" i="1598"/>
  <c r="AA30" i="1598"/>
  <c r="AB30" i="1598" s="1"/>
  <c r="AA29" i="1598"/>
  <c r="AA28" i="1598"/>
  <c r="AA27" i="1598"/>
  <c r="X27" i="1598" s="1"/>
  <c r="AA26" i="1598"/>
  <c r="AA25" i="1598"/>
  <c r="AA24" i="1598"/>
  <c r="AA23" i="1598"/>
  <c r="AA22" i="1598"/>
  <c r="AB22" i="1598" s="1"/>
  <c r="AA21" i="1598"/>
  <c r="AA20" i="1598"/>
  <c r="AA19" i="1598"/>
  <c r="Z21" i="1598" s="1"/>
  <c r="AA18" i="1598"/>
  <c r="AA17" i="1598"/>
  <c r="AA16" i="1598"/>
  <c r="AA15" i="1598"/>
  <c r="AA14" i="1598"/>
  <c r="AQ15" i="1598" s="1"/>
  <c r="X14" i="1598" s="1"/>
  <c r="AA13" i="1598"/>
  <c r="AA12" i="1598"/>
  <c r="AA11" i="1598"/>
  <c r="Z13" i="1598" s="1"/>
  <c r="AA10" i="1598"/>
  <c r="AQ11" i="1598" s="1"/>
  <c r="X32" i="1598"/>
  <c r="Z30" i="1598" s="1"/>
  <c r="X31" i="1598"/>
  <c r="X20" i="1598"/>
  <c r="Z18" i="1598" s="1"/>
  <c r="X19" i="1598"/>
  <c r="AA9" i="1598"/>
  <c r="AA8" i="1598"/>
  <c r="AA7" i="1598"/>
  <c r="AA6" i="1598"/>
  <c r="AB6" i="1598" s="1"/>
  <c r="G29" i="1598"/>
  <c r="G28" i="1598"/>
  <c r="G27" i="1598"/>
  <c r="AK29" i="1598"/>
  <c r="AL28" i="1598" s="1"/>
  <c r="AH29" i="1598"/>
  <c r="AG29" i="1598"/>
  <c r="B29" i="1598"/>
  <c r="AH28" i="1598"/>
  <c r="AG28" i="1598"/>
  <c r="I28" i="1598"/>
  <c r="E28" i="1598"/>
  <c r="E29" i="1598" s="1"/>
  <c r="B28" i="1598"/>
  <c r="C27" i="1598"/>
  <c r="AH26" i="1598"/>
  <c r="AG26" i="1598"/>
  <c r="B26" i="1598"/>
  <c r="W101" i="1598"/>
  <c r="V101" i="1598"/>
  <c r="V98" i="1598" s="1"/>
  <c r="U101" i="1598"/>
  <c r="U98" i="1598" s="1"/>
  <c r="T101" i="1598"/>
  <c r="S101" i="1598"/>
  <c r="R101" i="1598"/>
  <c r="Q101" i="1598"/>
  <c r="Q98" i="1598" s="1"/>
  <c r="P101" i="1598"/>
  <c r="P98" i="1598" s="1"/>
  <c r="O101" i="1598"/>
  <c r="N101" i="1598"/>
  <c r="N98" i="1598" s="1"/>
  <c r="M101" i="1598"/>
  <c r="M98" i="1598" s="1"/>
  <c r="W95" i="1598"/>
  <c r="V95" i="1598"/>
  <c r="U95" i="1598"/>
  <c r="T95" i="1598"/>
  <c r="S95" i="1598"/>
  <c r="R95" i="1598"/>
  <c r="Q95" i="1598"/>
  <c r="P95" i="1598"/>
  <c r="O95" i="1598"/>
  <c r="N95" i="1598"/>
  <c r="M95" i="1598"/>
  <c r="W93" i="1598"/>
  <c r="V93" i="1598"/>
  <c r="U93" i="1598"/>
  <c r="T93" i="1598"/>
  <c r="S93" i="1598"/>
  <c r="R93" i="1598"/>
  <c r="Q93" i="1598"/>
  <c r="P93" i="1598"/>
  <c r="O93" i="1598"/>
  <c r="N93" i="1598"/>
  <c r="M93" i="1598"/>
  <c r="W91" i="1598"/>
  <c r="V91" i="1598"/>
  <c r="U91" i="1598"/>
  <c r="T91" i="1598"/>
  <c r="S91" i="1598"/>
  <c r="R91" i="1598"/>
  <c r="Q91" i="1598"/>
  <c r="P91" i="1598"/>
  <c r="O91" i="1598"/>
  <c r="N91" i="1598"/>
  <c r="M91" i="1598"/>
  <c r="AK89" i="1598"/>
  <c r="AL89" i="1598" s="1"/>
  <c r="AH89" i="1598"/>
  <c r="AG89" i="1598"/>
  <c r="J89" i="1598"/>
  <c r="B89" i="1598"/>
  <c r="AH88" i="1598"/>
  <c r="AG88" i="1598"/>
  <c r="I88" i="1598"/>
  <c r="E88" i="1598"/>
  <c r="E89" i="1598" s="1"/>
  <c r="B88" i="1598"/>
  <c r="G87" i="1598"/>
  <c r="G88" i="1598" s="1"/>
  <c r="G89" i="1598" s="1"/>
  <c r="C87" i="1598"/>
  <c r="AH86" i="1598"/>
  <c r="AG86" i="1598"/>
  <c r="B86" i="1598"/>
  <c r="AK85" i="1598"/>
  <c r="AL84" i="1598" s="1"/>
  <c r="AH85" i="1598"/>
  <c r="AG85" i="1598"/>
  <c r="J85" i="1598"/>
  <c r="B85" i="1598"/>
  <c r="AH84" i="1598"/>
  <c r="AG84" i="1598"/>
  <c r="I84" i="1598"/>
  <c r="E84" i="1598"/>
  <c r="E85" i="1598" s="1"/>
  <c r="B84" i="1598"/>
  <c r="G83" i="1598"/>
  <c r="G84" i="1598" s="1"/>
  <c r="G85" i="1598" s="1"/>
  <c r="C83" i="1598"/>
  <c r="AH82" i="1598"/>
  <c r="AG82" i="1598"/>
  <c r="B82" i="1598"/>
  <c r="AK77" i="1598"/>
  <c r="AL76" i="1598" s="1"/>
  <c r="AH77" i="1598"/>
  <c r="AG77" i="1598"/>
  <c r="J77" i="1598"/>
  <c r="B77" i="1598"/>
  <c r="AH76" i="1598"/>
  <c r="AG76" i="1598"/>
  <c r="I76" i="1598"/>
  <c r="E76" i="1598"/>
  <c r="E77" i="1598" s="1"/>
  <c r="B76" i="1598"/>
  <c r="G75" i="1598"/>
  <c r="G76" i="1598" s="1"/>
  <c r="G77" i="1598" s="1"/>
  <c r="C75" i="1598"/>
  <c r="AH74" i="1598"/>
  <c r="AG74" i="1598"/>
  <c r="B74" i="1598"/>
  <c r="AK73" i="1598"/>
  <c r="AH73" i="1598"/>
  <c r="AG73" i="1598"/>
  <c r="J73" i="1598"/>
  <c r="G73" i="1598"/>
  <c r="B73" i="1598"/>
  <c r="AH72" i="1598"/>
  <c r="AG72" i="1598"/>
  <c r="I72" i="1598"/>
  <c r="G72" i="1598"/>
  <c r="E72" i="1598"/>
  <c r="E73" i="1598" s="1"/>
  <c r="B72" i="1598"/>
  <c r="G71" i="1598"/>
  <c r="C71" i="1598"/>
  <c r="AH70" i="1598"/>
  <c r="AG70" i="1598"/>
  <c r="B70" i="1598"/>
  <c r="AK69" i="1598"/>
  <c r="AL68" i="1598" s="1"/>
  <c r="AH69" i="1598"/>
  <c r="AG69" i="1598"/>
  <c r="J69" i="1598"/>
  <c r="B69" i="1598"/>
  <c r="AH68" i="1598"/>
  <c r="AG68" i="1598"/>
  <c r="I68" i="1598"/>
  <c r="E68" i="1598"/>
  <c r="E69" i="1598" s="1"/>
  <c r="B68" i="1598"/>
  <c r="G67" i="1598"/>
  <c r="G68" i="1598" s="1"/>
  <c r="G69" i="1598" s="1"/>
  <c r="C67" i="1598"/>
  <c r="AH66" i="1598"/>
  <c r="AG66" i="1598"/>
  <c r="B66" i="1598"/>
  <c r="AK61" i="1598"/>
  <c r="AL61" i="1598" s="1"/>
  <c r="AH61" i="1598"/>
  <c r="AG61" i="1598"/>
  <c r="J61" i="1598"/>
  <c r="B61" i="1598"/>
  <c r="AH60" i="1598"/>
  <c r="AG60" i="1598"/>
  <c r="I60" i="1598"/>
  <c r="E60" i="1598"/>
  <c r="E61" i="1598" s="1"/>
  <c r="B60" i="1598"/>
  <c r="G59" i="1598"/>
  <c r="G60" i="1598" s="1"/>
  <c r="G61" i="1598" s="1"/>
  <c r="C59" i="1598"/>
  <c r="AH58" i="1598"/>
  <c r="AG58" i="1598"/>
  <c r="B58" i="1598"/>
  <c r="AK57" i="1598"/>
  <c r="J57" i="1598"/>
  <c r="B57" i="1598"/>
  <c r="I56" i="1598"/>
  <c r="E56" i="1598"/>
  <c r="E57" i="1598" s="1"/>
  <c r="B56" i="1598"/>
  <c r="B54" i="1598"/>
  <c r="AK53" i="1598"/>
  <c r="AL52" i="1598" s="1"/>
  <c r="AH53" i="1598"/>
  <c r="AG53" i="1598"/>
  <c r="J53" i="1598"/>
  <c r="B53" i="1598"/>
  <c r="AH52" i="1598"/>
  <c r="AG52" i="1598"/>
  <c r="I52" i="1598"/>
  <c r="E52" i="1598"/>
  <c r="E53" i="1598" s="1"/>
  <c r="B52" i="1598"/>
  <c r="G51" i="1598"/>
  <c r="G52" i="1598" s="1"/>
  <c r="G53" i="1598" s="1"/>
  <c r="C51" i="1598"/>
  <c r="AH50" i="1598"/>
  <c r="AG50" i="1598"/>
  <c r="B50" i="1598"/>
  <c r="AK49" i="1598"/>
  <c r="AL48" i="1598" s="1"/>
  <c r="AH49" i="1598"/>
  <c r="AG49" i="1598"/>
  <c r="J49" i="1598"/>
  <c r="B49" i="1598"/>
  <c r="AH48" i="1598"/>
  <c r="AG48" i="1598"/>
  <c r="I48" i="1598"/>
  <c r="E48" i="1598"/>
  <c r="E49" i="1598" s="1"/>
  <c r="B48" i="1598"/>
  <c r="G47" i="1598"/>
  <c r="G48" i="1598" s="1"/>
  <c r="G49" i="1598" s="1"/>
  <c r="C47" i="1598"/>
  <c r="AH46" i="1598"/>
  <c r="AG46" i="1598"/>
  <c r="B46" i="1598"/>
  <c r="AK45" i="1598"/>
  <c r="AL45" i="1598" s="1"/>
  <c r="AH45" i="1598"/>
  <c r="AG45" i="1598"/>
  <c r="J45" i="1598"/>
  <c r="B45" i="1598"/>
  <c r="AH44" i="1598"/>
  <c r="AG44" i="1598"/>
  <c r="I44" i="1598"/>
  <c r="E44" i="1598"/>
  <c r="E45" i="1598" s="1"/>
  <c r="B44" i="1598"/>
  <c r="G43" i="1598"/>
  <c r="G44" i="1598" s="1"/>
  <c r="G45" i="1598" s="1"/>
  <c r="C43" i="1598"/>
  <c r="AH42" i="1598"/>
  <c r="AG42" i="1598"/>
  <c r="B42" i="1598"/>
  <c r="AK41" i="1598"/>
  <c r="AH41" i="1598"/>
  <c r="AG41" i="1598"/>
  <c r="J41" i="1598"/>
  <c r="B41" i="1598"/>
  <c r="AH40" i="1598"/>
  <c r="AG40" i="1598"/>
  <c r="I40" i="1598"/>
  <c r="E40" i="1598"/>
  <c r="E41" i="1598" s="1"/>
  <c r="B40" i="1598"/>
  <c r="G39" i="1598"/>
  <c r="G40" i="1598" s="1"/>
  <c r="G41" i="1598" s="1"/>
  <c r="C39" i="1598"/>
  <c r="AH38" i="1598"/>
  <c r="AG38" i="1598"/>
  <c r="B38" i="1598"/>
  <c r="AK37" i="1598"/>
  <c r="AL36" i="1598" s="1"/>
  <c r="AH37" i="1598"/>
  <c r="AG37" i="1598"/>
  <c r="J37" i="1598"/>
  <c r="B37" i="1598"/>
  <c r="AH36" i="1598"/>
  <c r="AG36" i="1598"/>
  <c r="I36" i="1598"/>
  <c r="E36" i="1598"/>
  <c r="E37" i="1598" s="1"/>
  <c r="B36" i="1598"/>
  <c r="G35" i="1598"/>
  <c r="G36" i="1598" s="1"/>
  <c r="G37" i="1598" s="1"/>
  <c r="C35" i="1598"/>
  <c r="AH34" i="1598"/>
  <c r="AG34" i="1598"/>
  <c r="B34" i="1598"/>
  <c r="AK33" i="1598"/>
  <c r="AL32" i="1598" s="1"/>
  <c r="AH33" i="1598"/>
  <c r="AG33" i="1598"/>
  <c r="J33" i="1598"/>
  <c r="B33" i="1598"/>
  <c r="AH32" i="1598"/>
  <c r="AG32" i="1598"/>
  <c r="I32" i="1598"/>
  <c r="E32" i="1598"/>
  <c r="E33" i="1598" s="1"/>
  <c r="B32" i="1598"/>
  <c r="G31" i="1598"/>
  <c r="G32" i="1598" s="1"/>
  <c r="G33" i="1598" s="1"/>
  <c r="C31" i="1598"/>
  <c r="AH30" i="1598"/>
  <c r="AG30" i="1598"/>
  <c r="B30" i="1598"/>
  <c r="AK25" i="1598"/>
  <c r="AH25" i="1598"/>
  <c r="AG25" i="1598"/>
  <c r="J25" i="1598"/>
  <c r="B25" i="1598"/>
  <c r="AH24" i="1598"/>
  <c r="AG24" i="1598"/>
  <c r="I24" i="1598"/>
  <c r="E24" i="1598"/>
  <c r="E25" i="1598" s="1"/>
  <c r="B24" i="1598"/>
  <c r="G23" i="1598"/>
  <c r="G24" i="1598" s="1"/>
  <c r="G25" i="1598" s="1"/>
  <c r="C23" i="1598"/>
  <c r="AH22" i="1598"/>
  <c r="AG22" i="1598"/>
  <c r="B22" i="1598"/>
  <c r="AK21" i="1598"/>
  <c r="J21" i="1598"/>
  <c r="G21" i="1598"/>
  <c r="B21" i="1598"/>
  <c r="I20" i="1598"/>
  <c r="G20" i="1598"/>
  <c r="E20" i="1598"/>
  <c r="E21" i="1598" s="1"/>
  <c r="B20" i="1598"/>
  <c r="G19" i="1598"/>
  <c r="B18" i="1598"/>
  <c r="AK17" i="1598"/>
  <c r="AL16" i="1598" s="1"/>
  <c r="AH17" i="1598"/>
  <c r="AG17" i="1598"/>
  <c r="J17" i="1598"/>
  <c r="B17" i="1598"/>
  <c r="AH16" i="1598"/>
  <c r="AG16" i="1598"/>
  <c r="I16" i="1598"/>
  <c r="B16" i="1598"/>
  <c r="G15" i="1598"/>
  <c r="G16" i="1598" s="1"/>
  <c r="G17" i="1598" s="1"/>
  <c r="C15" i="1598"/>
  <c r="AH14" i="1598"/>
  <c r="AG14" i="1598"/>
  <c r="B14" i="1598"/>
  <c r="AK13" i="1598"/>
  <c r="AL13" i="1598" s="1"/>
  <c r="AH13" i="1598"/>
  <c r="AG13" i="1598"/>
  <c r="G13" i="1598"/>
  <c r="B13" i="1598"/>
  <c r="AH12" i="1598"/>
  <c r="AG12" i="1598"/>
  <c r="I12" i="1598"/>
  <c r="G12" i="1598"/>
  <c r="E12" i="1598"/>
  <c r="E13" i="1598" s="1"/>
  <c r="B12" i="1598"/>
  <c r="G11" i="1598"/>
  <c r="C11" i="1598"/>
  <c r="AH10" i="1598"/>
  <c r="AG10" i="1598"/>
  <c r="B10" i="1598"/>
  <c r="AK9" i="1598"/>
  <c r="AL9" i="1598" s="1"/>
  <c r="AH9" i="1598"/>
  <c r="AG9" i="1598"/>
  <c r="J9" i="1598"/>
  <c r="G9" i="1598"/>
  <c r="B9" i="1598"/>
  <c r="AH8" i="1598"/>
  <c r="AG8" i="1598"/>
  <c r="I8" i="1598"/>
  <c r="G8" i="1598"/>
  <c r="E8" i="1598"/>
  <c r="E9" i="1598" s="1"/>
  <c r="B8" i="1598"/>
  <c r="G7" i="1598"/>
  <c r="C7" i="1598"/>
  <c r="AH6" i="1598"/>
  <c r="AG6" i="1598"/>
  <c r="B6" i="1598"/>
  <c r="AD4" i="1598"/>
  <c r="AG79" i="1598" l="1"/>
  <c r="AJ79" i="1598"/>
  <c r="AL29" i="1598"/>
  <c r="AG63" i="1598"/>
  <c r="AE27" i="1598"/>
  <c r="AJ63" i="1598"/>
  <c r="AF27" i="1598"/>
  <c r="AH27" i="1598" s="1"/>
  <c r="AD81" i="1598"/>
  <c r="AV79" i="1598"/>
  <c r="AD63" i="1598"/>
  <c r="AD65" i="1598" s="1"/>
  <c r="Z29" i="1598"/>
  <c r="X39" i="1598"/>
  <c r="X72" i="1598"/>
  <c r="Z70" i="1598" s="1"/>
  <c r="AE19" i="1598"/>
  <c r="X87" i="1598"/>
  <c r="X51" i="1598"/>
  <c r="X56" i="1598"/>
  <c r="Z54" i="1598" s="1"/>
  <c r="X11" i="1598"/>
  <c r="AB26" i="1598"/>
  <c r="AQ27" i="1598"/>
  <c r="X26" i="1598" s="1"/>
  <c r="X50" i="1598"/>
  <c r="AB58" i="1598"/>
  <c r="AQ59" i="1598"/>
  <c r="X58" i="1598" s="1"/>
  <c r="AQ39" i="1598"/>
  <c r="X38" i="1598" s="1"/>
  <c r="X67" i="1598"/>
  <c r="X15" i="1598"/>
  <c r="X23" i="1598"/>
  <c r="X35" i="1598"/>
  <c r="X43" i="1598"/>
  <c r="X47" i="1598"/>
  <c r="X59" i="1598"/>
  <c r="X71" i="1598"/>
  <c r="X83" i="1598"/>
  <c r="AQ43" i="1598"/>
  <c r="X42" i="1598" s="1"/>
  <c r="X75" i="1598"/>
  <c r="AQ47" i="1598"/>
  <c r="X46" i="1598" s="1"/>
  <c r="AQ71" i="1598"/>
  <c r="X70" i="1598" s="1"/>
  <c r="AQ87" i="1598"/>
  <c r="X86" i="1598" s="1"/>
  <c r="AQ83" i="1598"/>
  <c r="X82" i="1598" s="1"/>
  <c r="AB15" i="1598"/>
  <c r="X7" i="1598"/>
  <c r="AQ19" i="1598"/>
  <c r="X18" i="1598" s="1"/>
  <c r="Z61" i="1598"/>
  <c r="AB83" i="1598"/>
  <c r="X40" i="1598"/>
  <c r="Z38" i="1598" s="1"/>
  <c r="AI23" i="1598"/>
  <c r="X24" i="1598"/>
  <c r="Z22" i="1598" s="1"/>
  <c r="X66" i="1598"/>
  <c r="X10" i="1598"/>
  <c r="AB7" i="1598"/>
  <c r="AD7" i="1598" s="1"/>
  <c r="AD9" i="1598" s="1"/>
  <c r="X12" i="1598"/>
  <c r="Z10" i="1598" s="1"/>
  <c r="X28" i="1598"/>
  <c r="Z26" i="1598" s="1"/>
  <c r="X36" i="1598"/>
  <c r="Z34" i="1598" s="1"/>
  <c r="X44" i="1598"/>
  <c r="Z42" i="1598" s="1"/>
  <c r="X52" i="1598"/>
  <c r="Z50" i="1598" s="1"/>
  <c r="X60" i="1598"/>
  <c r="Z58" i="1598" s="1"/>
  <c r="X84" i="1598"/>
  <c r="Z82" i="1598" s="1"/>
  <c r="X8" i="1598"/>
  <c r="Z6" i="1598" s="1"/>
  <c r="X16" i="1598"/>
  <c r="Z14" i="1598" s="1"/>
  <c r="X48" i="1598"/>
  <c r="Z46" i="1598" s="1"/>
  <c r="X68" i="1598"/>
  <c r="Z66" i="1598" s="1"/>
  <c r="X76" i="1598"/>
  <c r="Z74" i="1598" s="1"/>
  <c r="X88" i="1598"/>
  <c r="Z86" i="1598" s="1"/>
  <c r="AF11" i="1598"/>
  <c r="AG11" i="1598" s="1"/>
  <c r="AF75" i="1598"/>
  <c r="AH75" i="1598" s="1"/>
  <c r="AL77" i="1598"/>
  <c r="AM77" i="1598" s="1"/>
  <c r="AM28" i="1598"/>
  <c r="AE7" i="1598"/>
  <c r="AF23" i="1598"/>
  <c r="AG23" i="1598" s="1"/>
  <c r="AL60" i="1598"/>
  <c r="AM60" i="1598" s="1"/>
  <c r="AM29" i="1598"/>
  <c r="AB27" i="1598"/>
  <c r="AE59" i="1598"/>
  <c r="AI27" i="1598"/>
  <c r="AB11" i="1598"/>
  <c r="AL37" i="1598"/>
  <c r="AM37" i="1598" s="1"/>
  <c r="AF39" i="1598"/>
  <c r="AH39" i="1598" s="1"/>
  <c r="AB50" i="1598"/>
  <c r="AF15" i="1598"/>
  <c r="AG15" i="1598" s="1"/>
  <c r="AL17" i="1598"/>
  <c r="AM17" i="1598" s="1"/>
  <c r="AL44" i="1598"/>
  <c r="AM44" i="1598" s="1"/>
  <c r="AL49" i="1598"/>
  <c r="AM49" i="1598" s="1"/>
  <c r="AE55" i="1598"/>
  <c r="AF71" i="1598"/>
  <c r="AG71" i="1598" s="1"/>
  <c r="AL88" i="1598"/>
  <c r="AM88" i="1598" s="1"/>
  <c r="AB23" i="1598"/>
  <c r="AD23" i="1598" s="1"/>
  <c r="AL33" i="1598"/>
  <c r="AM33" i="1598" s="1"/>
  <c r="AF35" i="1598"/>
  <c r="AH35" i="1598" s="1"/>
  <c r="AE75" i="1598"/>
  <c r="AM76" i="1598"/>
  <c r="AE83" i="1598"/>
  <c r="AM68" i="1598"/>
  <c r="AL8" i="1598"/>
  <c r="AM8" i="1598" s="1"/>
  <c r="AM9" i="1598"/>
  <c r="AE11" i="1598"/>
  <c r="AL53" i="1598"/>
  <c r="AM53" i="1598" s="1"/>
  <c r="AL69" i="1598"/>
  <c r="AM69" i="1598" s="1"/>
  <c r="AL85" i="1598"/>
  <c r="AM85" i="1598" s="1"/>
  <c r="AM45" i="1598"/>
  <c r="AF87" i="1598"/>
  <c r="AG87" i="1598" s="1"/>
  <c r="P104" i="1598"/>
  <c r="AE35" i="1598"/>
  <c r="AE39" i="1598"/>
  <c r="T98" i="1598"/>
  <c r="T104" i="1598" s="1"/>
  <c r="Z77" i="1598"/>
  <c r="AB82" i="1598"/>
  <c r="AM84" i="1598"/>
  <c r="AB86" i="1598"/>
  <c r="AM89" i="1598"/>
  <c r="Z93" i="1598"/>
  <c r="AB14" i="1598"/>
  <c r="AI11" i="1598"/>
  <c r="AE31" i="1598"/>
  <c r="AB42" i="1598"/>
  <c r="AB46" i="1598"/>
  <c r="AB66" i="1598"/>
  <c r="Z91" i="1598"/>
  <c r="AB10" i="1598"/>
  <c r="AE23" i="1598"/>
  <c r="AM32" i="1598"/>
  <c r="AM52" i="1598"/>
  <c r="AB59" i="1598"/>
  <c r="AB75" i="1598"/>
  <c r="AD75" i="1598" s="1"/>
  <c r="AI75" i="1598"/>
  <c r="AM13" i="1598"/>
  <c r="AM16" i="1598"/>
  <c r="AB18" i="1598"/>
  <c r="AB19" i="1598"/>
  <c r="AB35" i="1598"/>
  <c r="AM36" i="1598"/>
  <c r="AF47" i="1598"/>
  <c r="AH47" i="1598" s="1"/>
  <c r="AI59" i="1598"/>
  <c r="AF59" i="1598"/>
  <c r="AJ59" i="1598" s="1"/>
  <c r="AM61" i="1598"/>
  <c r="AE71" i="1598"/>
  <c r="AF83" i="1598"/>
  <c r="AJ83" i="1598" s="1"/>
  <c r="R98" i="1598"/>
  <c r="R104" i="1598" s="1"/>
  <c r="AA4" i="1598"/>
  <c r="AF7" i="1598"/>
  <c r="AJ7" i="1598" s="1"/>
  <c r="AL12" i="1598"/>
  <c r="AM12" i="1598" s="1"/>
  <c r="AF31" i="1598"/>
  <c r="AJ31" i="1598" s="1"/>
  <c r="AI35" i="1598"/>
  <c r="AI39" i="1598"/>
  <c r="AB39" i="1598"/>
  <c r="AD39" i="1598" s="1"/>
  <c r="AI51" i="1598"/>
  <c r="AB51" i="1598"/>
  <c r="Z33" i="1598"/>
  <c r="AB31" i="1598"/>
  <c r="AD31" i="1598" s="1"/>
  <c r="AI31" i="1598"/>
  <c r="AB43" i="1598"/>
  <c r="AI43" i="1598"/>
  <c r="AE43" i="1598"/>
  <c r="AE47" i="1598"/>
  <c r="AM48" i="1598"/>
  <c r="AI7" i="1598"/>
  <c r="AI15" i="1598"/>
  <c r="AE15" i="1598"/>
  <c r="X22" i="1598"/>
  <c r="AL24" i="1598"/>
  <c r="AM24" i="1598" s="1"/>
  <c r="AL25" i="1598"/>
  <c r="AM25" i="1598" s="1"/>
  <c r="AB34" i="1598"/>
  <c r="X34" i="1598"/>
  <c r="AL40" i="1598"/>
  <c r="AM40" i="1598" s="1"/>
  <c r="AL41" i="1598"/>
  <c r="AM41" i="1598" s="1"/>
  <c r="AF43" i="1598"/>
  <c r="AJ43" i="1598" s="1"/>
  <c r="AI47" i="1598"/>
  <c r="AB47" i="1598"/>
  <c r="AB55" i="1598"/>
  <c r="AD55" i="1598" s="1"/>
  <c r="AL73" i="1598"/>
  <c r="AM73" i="1598" s="1"/>
  <c r="AL72" i="1598"/>
  <c r="AM72" i="1598" s="1"/>
  <c r="AI87" i="1598"/>
  <c r="AB87" i="1598"/>
  <c r="N104" i="1598"/>
  <c r="V104" i="1598"/>
  <c r="AB67" i="1598"/>
  <c r="AI67" i="1598"/>
  <c r="O98" i="1598"/>
  <c r="O104" i="1598" s="1"/>
  <c r="S98" i="1598"/>
  <c r="S104" i="1598" s="1"/>
  <c r="W98" i="1598"/>
  <c r="W104" i="1598" s="1"/>
  <c r="AE67" i="1598"/>
  <c r="AE87" i="1598"/>
  <c r="AE51" i="1598"/>
  <c r="AF51" i="1598"/>
  <c r="AF67" i="1598"/>
  <c r="AI71" i="1598"/>
  <c r="Z73" i="1598"/>
  <c r="AB71" i="1598"/>
  <c r="AD71" i="1598" s="1"/>
  <c r="X74" i="1598"/>
  <c r="M104" i="1598"/>
  <c r="Q104" i="1598"/>
  <c r="U104" i="1598"/>
  <c r="AI83" i="1598"/>
  <c r="G13" i="1597"/>
  <c r="G12" i="1597"/>
  <c r="G11" i="1597"/>
  <c r="AJ27" i="1598" l="1"/>
  <c r="AD67" i="1598"/>
  <c r="AD69" i="1598" s="1"/>
  <c r="AG27" i="1598"/>
  <c r="AH71" i="1598"/>
  <c r="AG75" i="1598"/>
  <c r="AD27" i="1598"/>
  <c r="AD29" i="1598" s="1"/>
  <c r="AH87" i="1598"/>
  <c r="AV63" i="1598"/>
  <c r="AD15" i="1598"/>
  <c r="AV15" i="1598" s="1"/>
  <c r="AD83" i="1598"/>
  <c r="AD85" i="1598" s="1"/>
  <c r="AD59" i="1598"/>
  <c r="AD61" i="1598" s="1"/>
  <c r="AD51" i="1598"/>
  <c r="AD53" i="1598" s="1"/>
  <c r="AD43" i="1598"/>
  <c r="AD45" i="1598" s="1"/>
  <c r="AD87" i="1598"/>
  <c r="AV87" i="1598" s="1"/>
  <c r="AJ47" i="1598"/>
  <c r="AH23" i="1598"/>
  <c r="AJ75" i="1598"/>
  <c r="AJ71" i="1598"/>
  <c r="AJ23" i="1598"/>
  <c r="AG39" i="1598"/>
  <c r="AJ39" i="1598"/>
  <c r="AJ11" i="1598"/>
  <c r="AH11" i="1598"/>
  <c r="AJ87" i="1598"/>
  <c r="AH15" i="1598"/>
  <c r="AD11" i="1598"/>
  <c r="AD13" i="1598" s="1"/>
  <c r="AG59" i="1598"/>
  <c r="AG47" i="1598"/>
  <c r="AH59" i="1598"/>
  <c r="AD35" i="1598"/>
  <c r="AV35" i="1598" s="1"/>
  <c r="AJ15" i="1598"/>
  <c r="AG35" i="1598"/>
  <c r="AJ35" i="1598"/>
  <c r="AV75" i="1598"/>
  <c r="AD77" i="1598"/>
  <c r="AD47" i="1598"/>
  <c r="AD49" i="1598" s="1"/>
  <c r="AD19" i="1598"/>
  <c r="AV7" i="1598"/>
  <c r="AG83" i="1598"/>
  <c r="AH83" i="1598"/>
  <c r="AD33" i="1598"/>
  <c r="AV31" i="1598"/>
  <c r="AD41" i="1598"/>
  <c r="AV39" i="1598"/>
  <c r="AG51" i="1598"/>
  <c r="AH51" i="1598"/>
  <c r="AD73" i="1598"/>
  <c r="AV71" i="1598"/>
  <c r="AG67" i="1598"/>
  <c r="AH67" i="1598"/>
  <c r="AG43" i="1598"/>
  <c r="AH43" i="1598"/>
  <c r="AQ4" i="1598"/>
  <c r="AV55" i="1598"/>
  <c r="AD57" i="1598"/>
  <c r="AJ67" i="1598"/>
  <c r="AJ51" i="1598"/>
  <c r="AD25" i="1598"/>
  <c r="AV23" i="1598"/>
  <c r="AI2" i="1598"/>
  <c r="AG31" i="1598"/>
  <c r="AH31" i="1598"/>
  <c r="AG7" i="1598"/>
  <c r="AH7" i="1598"/>
  <c r="AF4" i="1598"/>
  <c r="AQ67" i="1597"/>
  <c r="AQ59" i="1597"/>
  <c r="X58" i="1597" s="1"/>
  <c r="AQ35" i="1597"/>
  <c r="X34" i="1597" s="1"/>
  <c r="AQ27" i="1597"/>
  <c r="X26" i="1597" s="1"/>
  <c r="AK13" i="1597"/>
  <c r="AL12" i="1597" s="1"/>
  <c r="AH13" i="1597"/>
  <c r="AG13" i="1597"/>
  <c r="AA13" i="1597"/>
  <c r="J13" i="1597"/>
  <c r="B13" i="1597"/>
  <c r="AH12" i="1597"/>
  <c r="AG12" i="1597"/>
  <c r="AA12" i="1597"/>
  <c r="I12" i="1597"/>
  <c r="E12" i="1597"/>
  <c r="E13" i="1597" s="1"/>
  <c r="B12" i="1597"/>
  <c r="AA11" i="1597"/>
  <c r="AI11" i="1597" s="1"/>
  <c r="C11" i="1597"/>
  <c r="AH10" i="1597"/>
  <c r="AG10" i="1597"/>
  <c r="AA10" i="1597"/>
  <c r="AQ11" i="1597" s="1"/>
  <c r="B10" i="1597"/>
  <c r="W101" i="1597"/>
  <c r="W98" i="1597" s="1"/>
  <c r="V101" i="1597"/>
  <c r="V98" i="1597" s="1"/>
  <c r="U101" i="1597"/>
  <c r="U98" i="1597" s="1"/>
  <c r="T101" i="1597"/>
  <c r="T98" i="1597" s="1"/>
  <c r="S101" i="1597"/>
  <c r="S98" i="1597" s="1"/>
  <c r="R101" i="1597"/>
  <c r="R98" i="1597" s="1"/>
  <c r="Q101" i="1597"/>
  <c r="Q98" i="1597" s="1"/>
  <c r="P101" i="1597"/>
  <c r="P98" i="1597" s="1"/>
  <c r="O101" i="1597"/>
  <c r="O98" i="1597" s="1"/>
  <c r="N101" i="1597"/>
  <c r="N98" i="1597" s="1"/>
  <c r="M101" i="1597"/>
  <c r="M98" i="1597" s="1"/>
  <c r="W95" i="1597"/>
  <c r="V95" i="1597"/>
  <c r="U95" i="1597"/>
  <c r="T95" i="1597"/>
  <c r="S95" i="1597"/>
  <c r="R95" i="1597"/>
  <c r="Q95" i="1597"/>
  <c r="P95" i="1597"/>
  <c r="O95" i="1597"/>
  <c r="N95" i="1597"/>
  <c r="M95" i="1597"/>
  <c r="W93" i="1597"/>
  <c r="V93" i="1597"/>
  <c r="U93" i="1597"/>
  <c r="T93" i="1597"/>
  <c r="S93" i="1597"/>
  <c r="R93" i="1597"/>
  <c r="Q93" i="1597"/>
  <c r="P93" i="1597"/>
  <c r="O93" i="1597"/>
  <c r="N93" i="1597"/>
  <c r="M93" i="1597"/>
  <c r="W91" i="1597"/>
  <c r="V91" i="1597"/>
  <c r="U91" i="1597"/>
  <c r="T91" i="1597"/>
  <c r="S91" i="1597"/>
  <c r="R91" i="1597"/>
  <c r="Q91" i="1597"/>
  <c r="P91" i="1597"/>
  <c r="O91" i="1597"/>
  <c r="N91" i="1597"/>
  <c r="M91" i="1597"/>
  <c r="AK89" i="1597"/>
  <c r="AL89" i="1597" s="1"/>
  <c r="AH89" i="1597"/>
  <c r="AG89" i="1597"/>
  <c r="AA89" i="1597"/>
  <c r="J89" i="1597"/>
  <c r="B89" i="1597"/>
  <c r="AH88" i="1597"/>
  <c r="AG88" i="1597"/>
  <c r="AA88" i="1597"/>
  <c r="I88" i="1597"/>
  <c r="E88" i="1597"/>
  <c r="E89" i="1597" s="1"/>
  <c r="B88" i="1597"/>
  <c r="AA87" i="1597"/>
  <c r="G87" i="1597"/>
  <c r="G88" i="1597" s="1"/>
  <c r="G89" i="1597" s="1"/>
  <c r="C87" i="1597"/>
  <c r="AH86" i="1597"/>
  <c r="AG86" i="1597"/>
  <c r="AA86" i="1597"/>
  <c r="AB86" i="1597" s="1"/>
  <c r="B86" i="1597"/>
  <c r="AK85" i="1597"/>
  <c r="AL85" i="1597" s="1"/>
  <c r="AH85" i="1597"/>
  <c r="AG85" i="1597"/>
  <c r="AA85" i="1597"/>
  <c r="J85" i="1597"/>
  <c r="B85" i="1597"/>
  <c r="AH84" i="1597"/>
  <c r="AG84" i="1597"/>
  <c r="AA84" i="1597"/>
  <c r="I84" i="1597"/>
  <c r="E84" i="1597"/>
  <c r="E85" i="1597" s="1"/>
  <c r="B84" i="1597"/>
  <c r="AA83" i="1597"/>
  <c r="AI83" i="1597" s="1"/>
  <c r="G83" i="1597"/>
  <c r="G84" i="1597" s="1"/>
  <c r="G85" i="1597" s="1"/>
  <c r="C83" i="1597"/>
  <c r="AH82" i="1597"/>
  <c r="AG82" i="1597"/>
  <c r="AA82" i="1597"/>
  <c r="AB82" i="1597" s="1"/>
  <c r="B82" i="1597"/>
  <c r="AK81" i="1597"/>
  <c r="AL80" i="1597" s="1"/>
  <c r="AH81" i="1597"/>
  <c r="AG81" i="1597"/>
  <c r="AA81" i="1597"/>
  <c r="J81" i="1597"/>
  <c r="B81" i="1597"/>
  <c r="AH80" i="1597"/>
  <c r="AG80" i="1597"/>
  <c r="AA80" i="1597"/>
  <c r="I80" i="1597"/>
  <c r="E80" i="1597"/>
  <c r="E81" i="1597" s="1"/>
  <c r="B80" i="1597"/>
  <c r="AA79" i="1597"/>
  <c r="Z81" i="1597" s="1"/>
  <c r="G79" i="1597"/>
  <c r="G80" i="1597" s="1"/>
  <c r="G81" i="1597" s="1"/>
  <c r="C79" i="1597"/>
  <c r="AH78" i="1597"/>
  <c r="AG78" i="1597"/>
  <c r="AA78" i="1597"/>
  <c r="AQ79" i="1597" s="1"/>
  <c r="B78" i="1597"/>
  <c r="AK77" i="1597"/>
  <c r="AH77" i="1597"/>
  <c r="AG77" i="1597"/>
  <c r="AA77" i="1597"/>
  <c r="J77" i="1597"/>
  <c r="G77" i="1597"/>
  <c r="B77" i="1597"/>
  <c r="AH76" i="1597"/>
  <c r="AG76" i="1597"/>
  <c r="AA76" i="1597"/>
  <c r="I76" i="1597"/>
  <c r="G76" i="1597"/>
  <c r="E76" i="1597"/>
  <c r="E77" i="1597" s="1"/>
  <c r="B76" i="1597"/>
  <c r="AA75" i="1597"/>
  <c r="Z77" i="1597" s="1"/>
  <c r="G75" i="1597"/>
  <c r="C75" i="1597"/>
  <c r="AH74" i="1597"/>
  <c r="AG74" i="1597"/>
  <c r="AA74" i="1597"/>
  <c r="AQ75" i="1597" s="1"/>
  <c r="B74" i="1597"/>
  <c r="AK73" i="1597"/>
  <c r="AL73" i="1597" s="1"/>
  <c r="AH73" i="1597"/>
  <c r="AG73" i="1597"/>
  <c r="AA73" i="1597"/>
  <c r="J73" i="1597"/>
  <c r="B73" i="1597"/>
  <c r="AH72" i="1597"/>
  <c r="AG72" i="1597"/>
  <c r="AA72" i="1597"/>
  <c r="I72" i="1597"/>
  <c r="E72" i="1597"/>
  <c r="E73" i="1597" s="1"/>
  <c r="B72" i="1597"/>
  <c r="AA71" i="1597"/>
  <c r="AB71" i="1597" s="1"/>
  <c r="G71" i="1597"/>
  <c r="G72" i="1597" s="1"/>
  <c r="G73" i="1597" s="1"/>
  <c r="C71" i="1597"/>
  <c r="AH70" i="1597"/>
  <c r="AG70" i="1597"/>
  <c r="AA70" i="1597"/>
  <c r="AQ71" i="1597" s="1"/>
  <c r="B70" i="1597"/>
  <c r="AK69" i="1597"/>
  <c r="AL68" i="1597" s="1"/>
  <c r="AH69" i="1597"/>
  <c r="AG69" i="1597"/>
  <c r="AA69" i="1597"/>
  <c r="J69" i="1597"/>
  <c r="B69" i="1597"/>
  <c r="AH68" i="1597"/>
  <c r="AG68" i="1597"/>
  <c r="AA68" i="1597"/>
  <c r="X68" i="1597"/>
  <c r="Z66" i="1597" s="1"/>
  <c r="I68" i="1597"/>
  <c r="E68" i="1597"/>
  <c r="E69" i="1597" s="1"/>
  <c r="B68" i="1597"/>
  <c r="X66" i="1597"/>
  <c r="AA67" i="1597"/>
  <c r="AI67" i="1597" s="1"/>
  <c r="X67" i="1597"/>
  <c r="G67" i="1597"/>
  <c r="G68" i="1597" s="1"/>
  <c r="G69" i="1597" s="1"/>
  <c r="C67" i="1597"/>
  <c r="AH66" i="1597"/>
  <c r="AG66" i="1597"/>
  <c r="AA66" i="1597"/>
  <c r="AB66" i="1597" s="1"/>
  <c r="B66" i="1597"/>
  <c r="AK65" i="1597"/>
  <c r="AL65" i="1597" s="1"/>
  <c r="AH65" i="1597"/>
  <c r="AG65" i="1597"/>
  <c r="AA65" i="1597"/>
  <c r="J65" i="1597"/>
  <c r="B65" i="1597"/>
  <c r="AH64" i="1597"/>
  <c r="AG64" i="1597"/>
  <c r="AA64" i="1597"/>
  <c r="I64" i="1597"/>
  <c r="E64" i="1597"/>
  <c r="E65" i="1597" s="1"/>
  <c r="B64" i="1597"/>
  <c r="AA63" i="1597"/>
  <c r="G63" i="1597"/>
  <c r="G64" i="1597" s="1"/>
  <c r="G65" i="1597" s="1"/>
  <c r="C63" i="1597"/>
  <c r="AH62" i="1597"/>
  <c r="AG62" i="1597"/>
  <c r="AA62" i="1597"/>
  <c r="B62" i="1597"/>
  <c r="AK61" i="1597"/>
  <c r="AA61" i="1597"/>
  <c r="J61" i="1597"/>
  <c r="B61" i="1597"/>
  <c r="AA60" i="1597"/>
  <c r="I60" i="1597"/>
  <c r="E60" i="1597"/>
  <c r="E61" i="1597" s="1"/>
  <c r="B60" i="1597"/>
  <c r="AA59" i="1597"/>
  <c r="AA58" i="1597"/>
  <c r="AB58" i="1597" s="1"/>
  <c r="B58" i="1597"/>
  <c r="AK57" i="1597"/>
  <c r="AL57" i="1597" s="1"/>
  <c r="AH57" i="1597"/>
  <c r="AG57" i="1597"/>
  <c r="AA57" i="1597"/>
  <c r="J57" i="1597"/>
  <c r="B57" i="1597"/>
  <c r="AH56" i="1597"/>
  <c r="AG56" i="1597"/>
  <c r="AA56" i="1597"/>
  <c r="I56" i="1597"/>
  <c r="E56" i="1597"/>
  <c r="E57" i="1597" s="1"/>
  <c r="B56" i="1597"/>
  <c r="AA55" i="1597"/>
  <c r="AI55" i="1597" s="1"/>
  <c r="G55" i="1597"/>
  <c r="G56" i="1597" s="1"/>
  <c r="G57" i="1597" s="1"/>
  <c r="C55" i="1597"/>
  <c r="AH54" i="1597"/>
  <c r="AG54" i="1597"/>
  <c r="AA54" i="1597"/>
  <c r="AQ55" i="1597" s="1"/>
  <c r="B54" i="1597"/>
  <c r="AK53" i="1597"/>
  <c r="AL53" i="1597" s="1"/>
  <c r="AH53" i="1597"/>
  <c r="AG53" i="1597"/>
  <c r="AA53" i="1597"/>
  <c r="J53" i="1597"/>
  <c r="B53" i="1597"/>
  <c r="AH52" i="1597"/>
  <c r="AG52" i="1597"/>
  <c r="AA52" i="1597"/>
  <c r="I52" i="1597"/>
  <c r="E52" i="1597"/>
  <c r="E53" i="1597" s="1"/>
  <c r="B52" i="1597"/>
  <c r="AA51" i="1597"/>
  <c r="G51" i="1597"/>
  <c r="G52" i="1597" s="1"/>
  <c r="G53" i="1597" s="1"/>
  <c r="C51" i="1597"/>
  <c r="AH50" i="1597"/>
  <c r="AG50" i="1597"/>
  <c r="AA50" i="1597"/>
  <c r="AQ51" i="1597" s="1"/>
  <c r="B50" i="1597"/>
  <c r="AK49" i="1597"/>
  <c r="AH49" i="1597"/>
  <c r="AG49" i="1597"/>
  <c r="AA49" i="1597"/>
  <c r="J49" i="1597"/>
  <c r="B49" i="1597"/>
  <c r="AH48" i="1597"/>
  <c r="AG48" i="1597"/>
  <c r="AA48" i="1597"/>
  <c r="I48" i="1597"/>
  <c r="E48" i="1597"/>
  <c r="E49" i="1597" s="1"/>
  <c r="B48" i="1597"/>
  <c r="AA47" i="1597"/>
  <c r="AB47" i="1597" s="1"/>
  <c r="G47" i="1597"/>
  <c r="G48" i="1597" s="1"/>
  <c r="G49" i="1597" s="1"/>
  <c r="C47" i="1597"/>
  <c r="AH46" i="1597"/>
  <c r="AG46" i="1597"/>
  <c r="AA46" i="1597"/>
  <c r="B46" i="1597"/>
  <c r="AK45" i="1597"/>
  <c r="AL45" i="1597" s="1"/>
  <c r="AH45" i="1597"/>
  <c r="AG45" i="1597"/>
  <c r="AA45" i="1597"/>
  <c r="J45" i="1597"/>
  <c r="B45" i="1597"/>
  <c r="AH44" i="1597"/>
  <c r="AG44" i="1597"/>
  <c r="AA44" i="1597"/>
  <c r="I44" i="1597"/>
  <c r="E44" i="1597"/>
  <c r="E45" i="1597" s="1"/>
  <c r="B44" i="1597"/>
  <c r="AA43" i="1597"/>
  <c r="G43" i="1597"/>
  <c r="G44" i="1597" s="1"/>
  <c r="G45" i="1597" s="1"/>
  <c r="C43" i="1597"/>
  <c r="AH42" i="1597"/>
  <c r="AG42" i="1597"/>
  <c r="AA42" i="1597"/>
  <c r="B42" i="1597"/>
  <c r="AK41" i="1597"/>
  <c r="AH41" i="1597"/>
  <c r="AG41" i="1597"/>
  <c r="AA41" i="1597"/>
  <c r="J41" i="1597"/>
  <c r="B41" i="1597"/>
  <c r="AH40" i="1597"/>
  <c r="AG40" i="1597"/>
  <c r="AA40" i="1597"/>
  <c r="I40" i="1597"/>
  <c r="E40" i="1597"/>
  <c r="E41" i="1597" s="1"/>
  <c r="B40" i="1597"/>
  <c r="AA39" i="1597"/>
  <c r="Z41" i="1597" s="1"/>
  <c r="G39" i="1597"/>
  <c r="G40" i="1597" s="1"/>
  <c r="G41" i="1597" s="1"/>
  <c r="C39" i="1597"/>
  <c r="AH38" i="1597"/>
  <c r="AG38" i="1597"/>
  <c r="AA38" i="1597"/>
  <c r="B38" i="1597"/>
  <c r="AK37" i="1597"/>
  <c r="AH37" i="1597"/>
  <c r="AG37" i="1597"/>
  <c r="AA37" i="1597"/>
  <c r="J37" i="1597"/>
  <c r="B37" i="1597"/>
  <c r="AH36" i="1597"/>
  <c r="AG36" i="1597"/>
  <c r="AA36" i="1597"/>
  <c r="X36" i="1597"/>
  <c r="Z34" i="1597" s="1"/>
  <c r="I36" i="1597"/>
  <c r="E36" i="1597"/>
  <c r="E37" i="1597" s="1"/>
  <c r="B36" i="1597"/>
  <c r="AA35" i="1597"/>
  <c r="AB35" i="1597" s="1"/>
  <c r="X35" i="1597"/>
  <c r="G35" i="1597"/>
  <c r="G36" i="1597" s="1"/>
  <c r="G37" i="1597" s="1"/>
  <c r="C35" i="1597"/>
  <c r="AH34" i="1597"/>
  <c r="AG34" i="1597"/>
  <c r="AA34" i="1597"/>
  <c r="AB34" i="1597" s="1"/>
  <c r="B34" i="1597"/>
  <c r="AK33" i="1597"/>
  <c r="AL32" i="1597" s="1"/>
  <c r="AH33" i="1597"/>
  <c r="AG33" i="1597"/>
  <c r="AA33" i="1597"/>
  <c r="J33" i="1597"/>
  <c r="B33" i="1597"/>
  <c r="AH32" i="1597"/>
  <c r="AG32" i="1597"/>
  <c r="AA32" i="1597"/>
  <c r="I32" i="1597"/>
  <c r="E32" i="1597"/>
  <c r="E33" i="1597" s="1"/>
  <c r="B32" i="1597"/>
  <c r="AA31" i="1597"/>
  <c r="G31" i="1597"/>
  <c r="G32" i="1597" s="1"/>
  <c r="G33" i="1597" s="1"/>
  <c r="C31" i="1597"/>
  <c r="AH30" i="1597"/>
  <c r="AG30" i="1597"/>
  <c r="AA30" i="1597"/>
  <c r="AQ31" i="1597" s="1"/>
  <c r="B30" i="1597"/>
  <c r="AK29" i="1597"/>
  <c r="AL29" i="1597" s="1"/>
  <c r="AH29" i="1597"/>
  <c r="AG29" i="1597"/>
  <c r="AA29" i="1597"/>
  <c r="J29" i="1597"/>
  <c r="B29" i="1597"/>
  <c r="AH28" i="1597"/>
  <c r="AG28" i="1597"/>
  <c r="AA28" i="1597"/>
  <c r="X28" i="1597"/>
  <c r="Z26" i="1597" s="1"/>
  <c r="I28" i="1597"/>
  <c r="E28" i="1597"/>
  <c r="E29" i="1597" s="1"/>
  <c r="B28" i="1597"/>
  <c r="AA27" i="1597"/>
  <c r="X27" i="1597"/>
  <c r="G27" i="1597"/>
  <c r="G28" i="1597" s="1"/>
  <c r="G29" i="1597" s="1"/>
  <c r="C27" i="1597"/>
  <c r="AH26" i="1597"/>
  <c r="AG26" i="1597"/>
  <c r="AA26" i="1597"/>
  <c r="AB26" i="1597" s="1"/>
  <c r="B26" i="1597"/>
  <c r="AK25" i="1597"/>
  <c r="AA25" i="1597"/>
  <c r="J25" i="1597"/>
  <c r="G25" i="1597"/>
  <c r="B25" i="1597"/>
  <c r="AA24" i="1597"/>
  <c r="X24" i="1597"/>
  <c r="Z22" i="1597" s="1"/>
  <c r="I24" i="1597"/>
  <c r="G24" i="1597"/>
  <c r="E24" i="1597"/>
  <c r="E25" i="1597" s="1"/>
  <c r="B24" i="1597"/>
  <c r="AA23" i="1597"/>
  <c r="AB23" i="1597" s="1"/>
  <c r="X23" i="1597"/>
  <c r="G23" i="1597"/>
  <c r="AA22" i="1597"/>
  <c r="AQ23" i="1597" s="1"/>
  <c r="B22" i="1597"/>
  <c r="AK21" i="1597"/>
  <c r="AH21" i="1597"/>
  <c r="AG21" i="1597"/>
  <c r="AA21" i="1597"/>
  <c r="J21" i="1597"/>
  <c r="B21" i="1597"/>
  <c r="AH20" i="1597"/>
  <c r="AG20" i="1597"/>
  <c r="AA20" i="1597"/>
  <c r="I20" i="1597"/>
  <c r="B20" i="1597"/>
  <c r="AA19" i="1597"/>
  <c r="AB19" i="1597" s="1"/>
  <c r="G19" i="1597"/>
  <c r="G20" i="1597" s="1"/>
  <c r="G21" i="1597" s="1"/>
  <c r="C19" i="1597"/>
  <c r="AH18" i="1597"/>
  <c r="AG18" i="1597"/>
  <c r="AA18" i="1597"/>
  <c r="AB18" i="1597" s="1"/>
  <c r="B18" i="1597"/>
  <c r="AK17" i="1597"/>
  <c r="AL17" i="1597" s="1"/>
  <c r="AH17" i="1597"/>
  <c r="AG17" i="1597"/>
  <c r="AA17" i="1597"/>
  <c r="J17" i="1597"/>
  <c r="B17" i="1597"/>
  <c r="AH16" i="1597"/>
  <c r="AG16" i="1597"/>
  <c r="AA16" i="1597"/>
  <c r="X16" i="1597"/>
  <c r="Z14" i="1597" s="1"/>
  <c r="I16" i="1597"/>
  <c r="E16" i="1597"/>
  <c r="E17" i="1597" s="1"/>
  <c r="B16" i="1597"/>
  <c r="AQ15" i="1597"/>
  <c r="X14" i="1597" s="1"/>
  <c r="AA15" i="1597"/>
  <c r="X15" i="1597"/>
  <c r="G15" i="1597"/>
  <c r="G16" i="1597" s="1"/>
  <c r="G17" i="1597" s="1"/>
  <c r="C15" i="1597"/>
  <c r="AH14" i="1597"/>
  <c r="AG14" i="1597"/>
  <c r="AA14" i="1597"/>
  <c r="AB14" i="1597" s="1"/>
  <c r="B14" i="1597"/>
  <c r="AK9" i="1597"/>
  <c r="AL9" i="1597" s="1"/>
  <c r="AH9" i="1597"/>
  <c r="AG9" i="1597"/>
  <c r="AA9" i="1597"/>
  <c r="J9" i="1597"/>
  <c r="G9" i="1597"/>
  <c r="B9" i="1597"/>
  <c r="AH8" i="1597"/>
  <c r="AG8" i="1597"/>
  <c r="AA8" i="1597"/>
  <c r="I8" i="1597"/>
  <c r="G8" i="1597"/>
  <c r="E8" i="1597"/>
  <c r="E9" i="1597" s="1"/>
  <c r="B8" i="1597"/>
  <c r="AA7" i="1597"/>
  <c r="AI7" i="1597" s="1"/>
  <c r="G7" i="1597"/>
  <c r="C7" i="1597"/>
  <c r="AH6" i="1597"/>
  <c r="AG6" i="1597"/>
  <c r="AA6" i="1597"/>
  <c r="AB6" i="1597" s="1"/>
  <c r="B6" i="1597"/>
  <c r="AD4" i="1597"/>
  <c r="AV67" i="1598" l="1"/>
  <c r="AD17" i="1598"/>
  <c r="AV83" i="1598"/>
  <c r="AD37" i="1598"/>
  <c r="AV27" i="1598"/>
  <c r="AV59" i="1598"/>
  <c r="AD89" i="1598"/>
  <c r="AV43" i="1598"/>
  <c r="AV51" i="1598"/>
  <c r="AV11" i="1598"/>
  <c r="AV47" i="1598"/>
  <c r="AD21" i="1598"/>
  <c r="AV19" i="1598"/>
  <c r="AH2" i="1598"/>
  <c r="AD2" i="1598" s="1"/>
  <c r="AL52" i="1597"/>
  <c r="AM52" i="1597" s="1"/>
  <c r="AL8" i="1597"/>
  <c r="AM8" i="1597" s="1"/>
  <c r="AL33" i="1597"/>
  <c r="AE27" i="1597"/>
  <c r="AM65" i="1597"/>
  <c r="AM53" i="1597"/>
  <c r="AM89" i="1597"/>
  <c r="AF11" i="1597"/>
  <c r="AH11" i="1597" s="1"/>
  <c r="AE11" i="1597"/>
  <c r="AF71" i="1597"/>
  <c r="AJ71" i="1597" s="1"/>
  <c r="AB74" i="1597"/>
  <c r="AB10" i="1597"/>
  <c r="AB22" i="1597"/>
  <c r="AD23" i="1597" s="1"/>
  <c r="AV23" i="1597" s="1"/>
  <c r="AQ39" i="1597"/>
  <c r="X38" i="1597" s="1"/>
  <c r="X78" i="1597"/>
  <c r="AL13" i="1597"/>
  <c r="AM13" i="1597" s="1"/>
  <c r="AL28" i="1597"/>
  <c r="AM28" i="1597" s="1"/>
  <c r="AL44" i="1597"/>
  <c r="AM44" i="1597" s="1"/>
  <c r="X70" i="1597"/>
  <c r="AL72" i="1597"/>
  <c r="AM72" i="1597" s="1"/>
  <c r="X74" i="1597"/>
  <c r="AB78" i="1597"/>
  <c r="AL84" i="1597"/>
  <c r="AM84" i="1597" s="1"/>
  <c r="AF87" i="1597"/>
  <c r="AH87" i="1597" s="1"/>
  <c r="AL88" i="1597"/>
  <c r="AM88" i="1597" s="1"/>
  <c r="AQ43" i="1597"/>
  <c r="X42" i="1597" s="1"/>
  <c r="AQ83" i="1597"/>
  <c r="X30" i="1597"/>
  <c r="X44" i="1597"/>
  <c r="Z42" i="1597" s="1"/>
  <c r="X50" i="1597"/>
  <c r="X54" i="1597"/>
  <c r="AB62" i="1597"/>
  <c r="AQ63" i="1597"/>
  <c r="X62" i="1597" s="1"/>
  <c r="Z13" i="1597"/>
  <c r="AQ47" i="1597"/>
  <c r="X46" i="1597" s="1"/>
  <c r="AQ87" i="1597"/>
  <c r="X86" i="1597" s="1"/>
  <c r="AM73" i="1597"/>
  <c r="X10" i="1597"/>
  <c r="AM12" i="1597"/>
  <c r="AB11" i="1597"/>
  <c r="X11" i="1597"/>
  <c r="X12" i="1597"/>
  <c r="Z10" i="1597" s="1"/>
  <c r="AM33" i="1597"/>
  <c r="AA4" i="1597"/>
  <c r="AF15" i="1597"/>
  <c r="AH15" i="1597" s="1"/>
  <c r="Z37" i="1597"/>
  <c r="AM85" i="1597"/>
  <c r="AF35" i="1597"/>
  <c r="AH35" i="1597" s="1"/>
  <c r="AM45" i="1597"/>
  <c r="AF51" i="1597"/>
  <c r="AJ51" i="1597" s="1"/>
  <c r="AE39" i="1597"/>
  <c r="AM57" i="1597"/>
  <c r="AE7" i="1597"/>
  <c r="X8" i="1597"/>
  <c r="Z6" i="1597" s="1"/>
  <c r="AB54" i="1597"/>
  <c r="AE59" i="1597"/>
  <c r="AE23" i="1597"/>
  <c r="AF27" i="1597"/>
  <c r="AG27" i="1597" s="1"/>
  <c r="AM80" i="1597"/>
  <c r="AF83" i="1597"/>
  <c r="AH83" i="1597" s="1"/>
  <c r="AI19" i="1597"/>
  <c r="AE19" i="1597"/>
  <c r="AF31" i="1597"/>
  <c r="AJ31" i="1597" s="1"/>
  <c r="AB38" i="1597"/>
  <c r="AF43" i="1597"/>
  <c r="AJ43" i="1597" s="1"/>
  <c r="AB46" i="1597"/>
  <c r="AD47" i="1597" s="1"/>
  <c r="AF79" i="1597"/>
  <c r="AG79" i="1597" s="1"/>
  <c r="AF7" i="1597"/>
  <c r="AJ7" i="1597" s="1"/>
  <c r="AD19" i="1597"/>
  <c r="AV19" i="1597" s="1"/>
  <c r="AB15" i="1597"/>
  <c r="AD15" i="1597" s="1"/>
  <c r="AB50" i="1597"/>
  <c r="AE79" i="1597"/>
  <c r="M104" i="1597"/>
  <c r="Q104" i="1597"/>
  <c r="U104" i="1597"/>
  <c r="AB7" i="1597"/>
  <c r="AD7" i="1597" s="1"/>
  <c r="AE15" i="1597"/>
  <c r="AM17" i="1597"/>
  <c r="AM29" i="1597"/>
  <c r="AF39" i="1597"/>
  <c r="AH39" i="1597" s="1"/>
  <c r="AB55" i="1597"/>
  <c r="AB67" i="1597"/>
  <c r="AD67" i="1597" s="1"/>
  <c r="AM68" i="1597"/>
  <c r="AB70" i="1597"/>
  <c r="AD71" i="1597" s="1"/>
  <c r="AD73" i="1597" s="1"/>
  <c r="AB75" i="1597"/>
  <c r="AI79" i="1597"/>
  <c r="AE87" i="1597"/>
  <c r="AB30" i="1597"/>
  <c r="AB39" i="1597"/>
  <c r="AB42" i="1597"/>
  <c r="X6" i="1597"/>
  <c r="AM9" i="1597"/>
  <c r="AI15" i="1597"/>
  <c r="Z25" i="1597"/>
  <c r="AE31" i="1597"/>
  <c r="AD35" i="1597"/>
  <c r="AV35" i="1597" s="1"/>
  <c r="AI39" i="1597"/>
  <c r="AI75" i="1597"/>
  <c r="AE83" i="1597"/>
  <c r="Z91" i="1597"/>
  <c r="P104" i="1597"/>
  <c r="X83" i="1597"/>
  <c r="AL16" i="1597"/>
  <c r="AM16" i="1597" s="1"/>
  <c r="AF19" i="1597"/>
  <c r="AJ19" i="1597" s="1"/>
  <c r="AI27" i="1597"/>
  <c r="AB27" i="1597"/>
  <c r="AD27" i="1597" s="1"/>
  <c r="AM32" i="1597"/>
  <c r="AL41" i="1597"/>
  <c r="AM41" i="1597" s="1"/>
  <c r="AL40" i="1597"/>
  <c r="AM40" i="1597" s="1"/>
  <c r="X40" i="1597"/>
  <c r="Z38" i="1597" s="1"/>
  <c r="AB51" i="1597"/>
  <c r="AI51" i="1597"/>
  <c r="X51" i="1597"/>
  <c r="AE51" i="1597"/>
  <c r="AL20" i="1597"/>
  <c r="AM20" i="1597" s="1"/>
  <c r="X20" i="1597"/>
  <c r="Z18" i="1597" s="1"/>
  <c r="AL21" i="1597"/>
  <c r="AM21" i="1597" s="1"/>
  <c r="X7" i="1597"/>
  <c r="AQ19" i="1597"/>
  <c r="AB31" i="1597"/>
  <c r="AI31" i="1597"/>
  <c r="X32" i="1597"/>
  <c r="Z30" i="1597" s="1"/>
  <c r="X31" i="1597"/>
  <c r="AB43" i="1597"/>
  <c r="AE43" i="1597"/>
  <c r="AI43" i="1597"/>
  <c r="X43" i="1597"/>
  <c r="X39" i="1597"/>
  <c r="AL48" i="1597"/>
  <c r="AM48" i="1597" s="1"/>
  <c r="X48" i="1597"/>
  <c r="Z46" i="1597" s="1"/>
  <c r="X47" i="1597"/>
  <c r="AL49" i="1597"/>
  <c r="AM49" i="1597" s="1"/>
  <c r="X52" i="1597"/>
  <c r="Z50" i="1597" s="1"/>
  <c r="X60" i="1597"/>
  <c r="Z58" i="1597" s="1"/>
  <c r="X64" i="1597"/>
  <c r="Z62" i="1597" s="1"/>
  <c r="AI63" i="1597"/>
  <c r="X63" i="1597"/>
  <c r="AB63" i="1597"/>
  <c r="AE63" i="1597"/>
  <c r="X19" i="1597"/>
  <c r="X22" i="1597"/>
  <c r="AF47" i="1597"/>
  <c r="AJ47" i="1597" s="1"/>
  <c r="AE47" i="1597"/>
  <c r="AB59" i="1597"/>
  <c r="AD59" i="1597" s="1"/>
  <c r="X59" i="1597"/>
  <c r="AF63" i="1597"/>
  <c r="AJ63" i="1597" s="1"/>
  <c r="Z65" i="1597"/>
  <c r="AF67" i="1597"/>
  <c r="AJ67" i="1597" s="1"/>
  <c r="AE67" i="1597"/>
  <c r="X72" i="1597"/>
  <c r="Z70" i="1597" s="1"/>
  <c r="AL77" i="1597"/>
  <c r="AM77" i="1597" s="1"/>
  <c r="AL76" i="1597"/>
  <c r="AM76" i="1597" s="1"/>
  <c r="X76" i="1597"/>
  <c r="Z74" i="1597" s="1"/>
  <c r="X75" i="1597"/>
  <c r="AL37" i="1597"/>
  <c r="AM37" i="1597" s="1"/>
  <c r="AL36" i="1597"/>
  <c r="AM36" i="1597" s="1"/>
  <c r="AL69" i="1597"/>
  <c r="AM69" i="1597" s="1"/>
  <c r="AE71" i="1597"/>
  <c r="AF75" i="1597"/>
  <c r="AJ75" i="1597" s="1"/>
  <c r="AE75" i="1597"/>
  <c r="X79" i="1597"/>
  <c r="AL81" i="1597"/>
  <c r="AM81" i="1597" s="1"/>
  <c r="X88" i="1597"/>
  <c r="Z86" i="1597" s="1"/>
  <c r="Z93" i="1597"/>
  <c r="N104" i="1597"/>
  <c r="R104" i="1597"/>
  <c r="V104" i="1597"/>
  <c r="AI87" i="1597"/>
  <c r="X87" i="1597"/>
  <c r="O104" i="1597"/>
  <c r="S104" i="1597"/>
  <c r="W104" i="1597"/>
  <c r="T104" i="1597"/>
  <c r="AE35" i="1597"/>
  <c r="AF55" i="1597"/>
  <c r="AJ55" i="1597" s="1"/>
  <c r="AE55" i="1597"/>
  <c r="AL56" i="1597"/>
  <c r="AM56" i="1597" s="1"/>
  <c r="X56" i="1597"/>
  <c r="Z54" i="1597" s="1"/>
  <c r="X55" i="1597"/>
  <c r="X71" i="1597"/>
  <c r="AI71" i="1597"/>
  <c r="X80" i="1597"/>
  <c r="Z78" i="1597" s="1"/>
  <c r="AB83" i="1597"/>
  <c r="AD83" i="1597" s="1"/>
  <c r="X84" i="1597"/>
  <c r="Z82" i="1597" s="1"/>
  <c r="AB87" i="1597"/>
  <c r="AD87" i="1597" s="1"/>
  <c r="AI35" i="1597"/>
  <c r="AI47" i="1597"/>
  <c r="X82" i="1597"/>
  <c r="AL64" i="1597"/>
  <c r="AM64" i="1597" s="1"/>
  <c r="AB79" i="1597"/>
  <c r="AD79" i="1597" s="1"/>
  <c r="I16" i="1596"/>
  <c r="AJ35" i="1597" l="1"/>
  <c r="AD75" i="1597"/>
  <c r="AD77" i="1597" s="1"/>
  <c r="AG15" i="1597"/>
  <c r="AJ11" i="1597"/>
  <c r="AG51" i="1597"/>
  <c r="AD55" i="1597"/>
  <c r="AD57" i="1597" s="1"/>
  <c r="AG71" i="1597"/>
  <c r="AH71" i="1597"/>
  <c r="AG35" i="1597"/>
  <c r="AJ27" i="1597"/>
  <c r="AG11" i="1597"/>
  <c r="AJ87" i="1597"/>
  <c r="AG87" i="1597"/>
  <c r="AH51" i="1597"/>
  <c r="AD11" i="1597"/>
  <c r="AD13" i="1597" s="1"/>
  <c r="AD63" i="1597"/>
  <c r="AD65" i="1597" s="1"/>
  <c r="AD31" i="1597"/>
  <c r="AD33" i="1597" s="1"/>
  <c r="X18" i="1597"/>
  <c r="AJ79" i="1597"/>
  <c r="AH79" i="1597"/>
  <c r="AG39" i="1597"/>
  <c r="AH43" i="1597"/>
  <c r="AD21" i="1597"/>
  <c r="AJ83" i="1597"/>
  <c r="AH27" i="1597"/>
  <c r="AV71" i="1597"/>
  <c r="AD37" i="1597"/>
  <c r="AJ15" i="1597"/>
  <c r="AV67" i="1597"/>
  <c r="AD69" i="1597"/>
  <c r="AD51" i="1597"/>
  <c r="AD53" i="1597" s="1"/>
  <c r="AD43" i="1597"/>
  <c r="AD45" i="1597" s="1"/>
  <c r="AG83" i="1597"/>
  <c r="AD25" i="1597"/>
  <c r="AG31" i="1597"/>
  <c r="AH31" i="1597"/>
  <c r="AG43" i="1597"/>
  <c r="AD39" i="1597"/>
  <c r="AV39" i="1597" s="1"/>
  <c r="AD9" i="1597"/>
  <c r="AV7" i="1597"/>
  <c r="AH7" i="1597"/>
  <c r="AG7" i="1597"/>
  <c r="AJ39" i="1597"/>
  <c r="AF4" i="1597"/>
  <c r="AD89" i="1597"/>
  <c r="AV87" i="1597"/>
  <c r="AV59" i="1597"/>
  <c r="AD61" i="1597"/>
  <c r="AV79" i="1597"/>
  <c r="AD81" i="1597"/>
  <c r="AV27" i="1597"/>
  <c r="AD29" i="1597"/>
  <c r="AV83" i="1597"/>
  <c r="AD85" i="1597"/>
  <c r="AD49" i="1597"/>
  <c r="AV47" i="1597"/>
  <c r="AI2" i="1597"/>
  <c r="AQ4" i="1597"/>
  <c r="AD17" i="1597"/>
  <c r="AV15" i="1597"/>
  <c r="AH75" i="1597"/>
  <c r="AG75" i="1597"/>
  <c r="AH63" i="1597"/>
  <c r="AG63" i="1597"/>
  <c r="AH19" i="1597"/>
  <c r="AG19" i="1597"/>
  <c r="AH55" i="1597"/>
  <c r="AG55" i="1597"/>
  <c r="AH67" i="1597"/>
  <c r="AG67" i="1597"/>
  <c r="AH47" i="1597"/>
  <c r="AG47" i="1597"/>
  <c r="J37" i="1596"/>
  <c r="AV75" i="1597" l="1"/>
  <c r="AV31" i="1597"/>
  <c r="AV55" i="1597"/>
  <c r="AV11" i="1597"/>
  <c r="AV63" i="1597"/>
  <c r="AV43" i="1597"/>
  <c r="AV51" i="1597"/>
  <c r="AD41" i="1597"/>
  <c r="AH2" i="1597"/>
  <c r="AD2" i="1597" s="1"/>
  <c r="W97" i="1596"/>
  <c r="V97" i="1596"/>
  <c r="V94" i="1596" s="1"/>
  <c r="U97" i="1596"/>
  <c r="U94" i="1596" s="1"/>
  <c r="T97" i="1596"/>
  <c r="T94" i="1596" s="1"/>
  <c r="S97" i="1596"/>
  <c r="R97" i="1596"/>
  <c r="R94" i="1596" s="1"/>
  <c r="Q97" i="1596"/>
  <c r="Q94" i="1596" s="1"/>
  <c r="P97" i="1596"/>
  <c r="P94" i="1596" s="1"/>
  <c r="O97" i="1596"/>
  <c r="N97" i="1596"/>
  <c r="N94" i="1596" s="1"/>
  <c r="M97" i="1596"/>
  <c r="M94" i="1596" s="1"/>
  <c r="W91" i="1596"/>
  <c r="V91" i="1596"/>
  <c r="U91" i="1596"/>
  <c r="T91" i="1596"/>
  <c r="S91" i="1596"/>
  <c r="R91" i="1596"/>
  <c r="Q91" i="1596"/>
  <c r="P91" i="1596"/>
  <c r="O91" i="1596"/>
  <c r="N91" i="1596"/>
  <c r="M91" i="1596"/>
  <c r="W89" i="1596"/>
  <c r="V89" i="1596"/>
  <c r="U89" i="1596"/>
  <c r="T89" i="1596"/>
  <c r="S89" i="1596"/>
  <c r="R89" i="1596"/>
  <c r="Q89" i="1596"/>
  <c r="P89" i="1596"/>
  <c r="O89" i="1596"/>
  <c r="N89" i="1596"/>
  <c r="M89" i="1596"/>
  <c r="W87" i="1596"/>
  <c r="V87" i="1596"/>
  <c r="U87" i="1596"/>
  <c r="T87" i="1596"/>
  <c r="S87" i="1596"/>
  <c r="R87" i="1596"/>
  <c r="Q87" i="1596"/>
  <c r="P87" i="1596"/>
  <c r="O87" i="1596"/>
  <c r="N87" i="1596"/>
  <c r="M87" i="1596"/>
  <c r="AK85" i="1596"/>
  <c r="AH85" i="1596"/>
  <c r="AG85" i="1596"/>
  <c r="AA85" i="1596"/>
  <c r="J85" i="1596"/>
  <c r="B85" i="1596"/>
  <c r="AH84" i="1596"/>
  <c r="AG84" i="1596"/>
  <c r="AA84" i="1596"/>
  <c r="I84" i="1596"/>
  <c r="E84" i="1596"/>
  <c r="E85" i="1596" s="1"/>
  <c r="B84" i="1596"/>
  <c r="AA83" i="1596"/>
  <c r="AI83" i="1596" s="1"/>
  <c r="G83" i="1596"/>
  <c r="G84" i="1596" s="1"/>
  <c r="G85" i="1596" s="1"/>
  <c r="C83" i="1596"/>
  <c r="AH82" i="1596"/>
  <c r="AG82" i="1596"/>
  <c r="AA82" i="1596"/>
  <c r="AQ83" i="1596" s="1"/>
  <c r="X82" i="1596" s="1"/>
  <c r="B82" i="1596"/>
  <c r="AK81" i="1596"/>
  <c r="AL81" i="1596" s="1"/>
  <c r="AH81" i="1596"/>
  <c r="AG81" i="1596"/>
  <c r="AA81" i="1596"/>
  <c r="J81" i="1596"/>
  <c r="B81" i="1596"/>
  <c r="AH80" i="1596"/>
  <c r="AG80" i="1596"/>
  <c r="AA80" i="1596"/>
  <c r="I80" i="1596"/>
  <c r="E80" i="1596"/>
  <c r="E81" i="1596" s="1"/>
  <c r="B80" i="1596"/>
  <c r="AA79" i="1596"/>
  <c r="G79" i="1596"/>
  <c r="G80" i="1596" s="1"/>
  <c r="G81" i="1596" s="1"/>
  <c r="C79" i="1596"/>
  <c r="AH78" i="1596"/>
  <c r="AG78" i="1596"/>
  <c r="AA78" i="1596"/>
  <c r="B78" i="1596"/>
  <c r="AK77" i="1596"/>
  <c r="AL76" i="1596" s="1"/>
  <c r="AH77" i="1596"/>
  <c r="AG77" i="1596"/>
  <c r="AA77" i="1596"/>
  <c r="J77" i="1596"/>
  <c r="B77" i="1596"/>
  <c r="AH76" i="1596"/>
  <c r="AG76" i="1596"/>
  <c r="AA76" i="1596"/>
  <c r="I76" i="1596"/>
  <c r="E76" i="1596"/>
  <c r="E77" i="1596" s="1"/>
  <c r="B76" i="1596"/>
  <c r="AA75" i="1596"/>
  <c r="G75" i="1596"/>
  <c r="G76" i="1596" s="1"/>
  <c r="G77" i="1596" s="1"/>
  <c r="C75" i="1596"/>
  <c r="AH74" i="1596"/>
  <c r="AG74" i="1596"/>
  <c r="AA74" i="1596"/>
  <c r="AQ75" i="1596" s="1"/>
  <c r="B74" i="1596"/>
  <c r="AK73" i="1596"/>
  <c r="AL73" i="1596" s="1"/>
  <c r="AH73" i="1596"/>
  <c r="AG73" i="1596"/>
  <c r="AA73" i="1596"/>
  <c r="J73" i="1596"/>
  <c r="G73" i="1596"/>
  <c r="B73" i="1596"/>
  <c r="AH72" i="1596"/>
  <c r="AG72" i="1596"/>
  <c r="AA72" i="1596"/>
  <c r="I72" i="1596"/>
  <c r="G72" i="1596"/>
  <c r="E72" i="1596"/>
  <c r="E73" i="1596" s="1"/>
  <c r="B72" i="1596"/>
  <c r="AA71" i="1596"/>
  <c r="Z73" i="1596" s="1"/>
  <c r="G71" i="1596"/>
  <c r="C71" i="1596"/>
  <c r="AH70" i="1596"/>
  <c r="AG70" i="1596"/>
  <c r="AA70" i="1596"/>
  <c r="B70" i="1596"/>
  <c r="AK69" i="1596"/>
  <c r="AH69" i="1596"/>
  <c r="AG69" i="1596"/>
  <c r="AA69" i="1596"/>
  <c r="J69" i="1596"/>
  <c r="B69" i="1596"/>
  <c r="AH68" i="1596"/>
  <c r="AG68" i="1596"/>
  <c r="AA68" i="1596"/>
  <c r="I68" i="1596"/>
  <c r="E68" i="1596"/>
  <c r="E69" i="1596" s="1"/>
  <c r="B68" i="1596"/>
  <c r="AA67" i="1596"/>
  <c r="G67" i="1596"/>
  <c r="G68" i="1596" s="1"/>
  <c r="G69" i="1596" s="1"/>
  <c r="C67" i="1596"/>
  <c r="AH66" i="1596"/>
  <c r="AG66" i="1596"/>
  <c r="AA66" i="1596"/>
  <c r="AB66" i="1596" s="1"/>
  <c r="B66" i="1596"/>
  <c r="AK65" i="1596"/>
  <c r="AL65" i="1596" s="1"/>
  <c r="AH65" i="1596"/>
  <c r="AG65" i="1596"/>
  <c r="AA65" i="1596"/>
  <c r="J65" i="1596"/>
  <c r="B65" i="1596"/>
  <c r="AH64" i="1596"/>
  <c r="AG64" i="1596"/>
  <c r="AA64" i="1596"/>
  <c r="X64" i="1596"/>
  <c r="Z62" i="1596" s="1"/>
  <c r="I64" i="1596"/>
  <c r="E64" i="1596"/>
  <c r="E65" i="1596" s="1"/>
  <c r="B64" i="1596"/>
  <c r="AQ63" i="1596"/>
  <c r="X62" i="1596" s="1"/>
  <c r="AA63" i="1596"/>
  <c r="AB63" i="1596" s="1"/>
  <c r="X63" i="1596"/>
  <c r="G63" i="1596"/>
  <c r="G64" i="1596" s="1"/>
  <c r="G65" i="1596" s="1"/>
  <c r="C63" i="1596"/>
  <c r="AH62" i="1596"/>
  <c r="AG62" i="1596"/>
  <c r="AA62" i="1596"/>
  <c r="AB62" i="1596" s="1"/>
  <c r="B62" i="1596"/>
  <c r="AK61" i="1596"/>
  <c r="AL60" i="1596" s="1"/>
  <c r="AH61" i="1596"/>
  <c r="AG61" i="1596"/>
  <c r="AA61" i="1596"/>
  <c r="J61" i="1596"/>
  <c r="B61" i="1596"/>
  <c r="AH60" i="1596"/>
  <c r="AG60" i="1596"/>
  <c r="AA60" i="1596"/>
  <c r="I60" i="1596"/>
  <c r="E60" i="1596"/>
  <c r="E61" i="1596" s="1"/>
  <c r="B60" i="1596"/>
  <c r="AA59" i="1596"/>
  <c r="Z61" i="1596" s="1"/>
  <c r="G59" i="1596"/>
  <c r="G60" i="1596" s="1"/>
  <c r="G61" i="1596" s="1"/>
  <c r="C59" i="1596"/>
  <c r="AH58" i="1596"/>
  <c r="AG58" i="1596"/>
  <c r="AA58" i="1596"/>
  <c r="B58" i="1596"/>
  <c r="AK57" i="1596"/>
  <c r="AA57" i="1596"/>
  <c r="J57" i="1596"/>
  <c r="B57" i="1596"/>
  <c r="AA56" i="1596"/>
  <c r="I56" i="1596"/>
  <c r="E56" i="1596"/>
  <c r="E57" i="1596" s="1"/>
  <c r="B56" i="1596"/>
  <c r="AQ55" i="1596"/>
  <c r="X54" i="1596" s="1"/>
  <c r="AA55" i="1596"/>
  <c r="AB55" i="1596" s="1"/>
  <c r="AA54" i="1596"/>
  <c r="AB54" i="1596" s="1"/>
  <c r="B54" i="1596"/>
  <c r="AK53" i="1596"/>
  <c r="AL52" i="1596" s="1"/>
  <c r="AH53" i="1596"/>
  <c r="AG53" i="1596"/>
  <c r="AA53" i="1596"/>
  <c r="J53" i="1596"/>
  <c r="B53" i="1596"/>
  <c r="AH52" i="1596"/>
  <c r="AG52" i="1596"/>
  <c r="AA52" i="1596"/>
  <c r="I52" i="1596"/>
  <c r="E52" i="1596"/>
  <c r="E53" i="1596" s="1"/>
  <c r="B52" i="1596"/>
  <c r="AA51" i="1596"/>
  <c r="G51" i="1596"/>
  <c r="G52" i="1596" s="1"/>
  <c r="G53" i="1596" s="1"/>
  <c r="C51" i="1596"/>
  <c r="AH50" i="1596"/>
  <c r="AG50" i="1596"/>
  <c r="AA50" i="1596"/>
  <c r="AQ51" i="1596" s="1"/>
  <c r="X50" i="1596" s="1"/>
  <c r="B50" i="1596"/>
  <c r="AK49" i="1596"/>
  <c r="AL49" i="1596" s="1"/>
  <c r="AH49" i="1596"/>
  <c r="AG49" i="1596"/>
  <c r="AA49" i="1596"/>
  <c r="J49" i="1596"/>
  <c r="B49" i="1596"/>
  <c r="AH48" i="1596"/>
  <c r="AG48" i="1596"/>
  <c r="AA48" i="1596"/>
  <c r="I48" i="1596"/>
  <c r="E48" i="1596"/>
  <c r="E49" i="1596" s="1"/>
  <c r="B48" i="1596"/>
  <c r="AA47" i="1596"/>
  <c r="AB47" i="1596" s="1"/>
  <c r="G47" i="1596"/>
  <c r="G48" i="1596" s="1"/>
  <c r="G49" i="1596" s="1"/>
  <c r="C47" i="1596"/>
  <c r="AH46" i="1596"/>
  <c r="AG46" i="1596"/>
  <c r="AA46" i="1596"/>
  <c r="AB46" i="1596" s="1"/>
  <c r="B46" i="1596"/>
  <c r="AK45" i="1596"/>
  <c r="AL44" i="1596" s="1"/>
  <c r="AH45" i="1596"/>
  <c r="AG45" i="1596"/>
  <c r="AA45" i="1596"/>
  <c r="J45" i="1596"/>
  <c r="B45" i="1596"/>
  <c r="AH44" i="1596"/>
  <c r="AG44" i="1596"/>
  <c r="AA44" i="1596"/>
  <c r="I44" i="1596"/>
  <c r="E44" i="1596"/>
  <c r="E45" i="1596" s="1"/>
  <c r="B44" i="1596"/>
  <c r="AA43" i="1596"/>
  <c r="G43" i="1596"/>
  <c r="G44" i="1596" s="1"/>
  <c r="G45" i="1596" s="1"/>
  <c r="C43" i="1596"/>
  <c r="AH42" i="1596"/>
  <c r="AG42" i="1596"/>
  <c r="AA42" i="1596"/>
  <c r="AQ43" i="1596" s="1"/>
  <c r="X42" i="1596" s="1"/>
  <c r="B42" i="1596"/>
  <c r="AK41" i="1596"/>
  <c r="AH41" i="1596"/>
  <c r="AG41" i="1596"/>
  <c r="AA41" i="1596"/>
  <c r="J41" i="1596"/>
  <c r="B41" i="1596"/>
  <c r="AH40" i="1596"/>
  <c r="AG40" i="1596"/>
  <c r="AA40" i="1596"/>
  <c r="I40" i="1596"/>
  <c r="E40" i="1596"/>
  <c r="E41" i="1596" s="1"/>
  <c r="B40" i="1596"/>
  <c r="AA39" i="1596"/>
  <c r="G39" i="1596"/>
  <c r="G40" i="1596" s="1"/>
  <c r="G41" i="1596" s="1"/>
  <c r="C39" i="1596"/>
  <c r="AH38" i="1596"/>
  <c r="AG38" i="1596"/>
  <c r="AA38" i="1596"/>
  <c r="AQ39" i="1596" s="1"/>
  <c r="X38" i="1596" s="1"/>
  <c r="B38" i="1596"/>
  <c r="AK37" i="1596"/>
  <c r="AL37" i="1596" s="1"/>
  <c r="AH37" i="1596"/>
  <c r="AG37" i="1596"/>
  <c r="AA37" i="1596"/>
  <c r="B37" i="1596"/>
  <c r="AH36" i="1596"/>
  <c r="AG36" i="1596"/>
  <c r="AA36" i="1596"/>
  <c r="I36" i="1596"/>
  <c r="E36" i="1596"/>
  <c r="E37" i="1596" s="1"/>
  <c r="B36" i="1596"/>
  <c r="AA35" i="1596"/>
  <c r="G35" i="1596"/>
  <c r="G36" i="1596" s="1"/>
  <c r="G37" i="1596" s="1"/>
  <c r="C35" i="1596"/>
  <c r="AH34" i="1596"/>
  <c r="AG34" i="1596"/>
  <c r="AA34" i="1596"/>
  <c r="B34" i="1596"/>
  <c r="AK33" i="1596"/>
  <c r="AL33" i="1596" s="1"/>
  <c r="AH33" i="1596"/>
  <c r="AG33" i="1596"/>
  <c r="AA33" i="1596"/>
  <c r="J33" i="1596"/>
  <c r="B33" i="1596"/>
  <c r="AH32" i="1596"/>
  <c r="AG32" i="1596"/>
  <c r="AA32" i="1596"/>
  <c r="I32" i="1596"/>
  <c r="E32" i="1596"/>
  <c r="E33" i="1596" s="1"/>
  <c r="B32" i="1596"/>
  <c r="AQ31" i="1596"/>
  <c r="X30" i="1596" s="1"/>
  <c r="AA31" i="1596"/>
  <c r="Z33" i="1596" s="1"/>
  <c r="G31" i="1596"/>
  <c r="G32" i="1596" s="1"/>
  <c r="G33" i="1596" s="1"/>
  <c r="C31" i="1596"/>
  <c r="AH30" i="1596"/>
  <c r="AG30" i="1596"/>
  <c r="AA30" i="1596"/>
  <c r="AB30" i="1596" s="1"/>
  <c r="B30" i="1596"/>
  <c r="AK29" i="1596"/>
  <c r="AL28" i="1596" s="1"/>
  <c r="AH29" i="1596"/>
  <c r="AG29" i="1596"/>
  <c r="AA29" i="1596"/>
  <c r="J29" i="1596"/>
  <c r="B29" i="1596"/>
  <c r="AH28" i="1596"/>
  <c r="AG28" i="1596"/>
  <c r="AA28" i="1596"/>
  <c r="I28" i="1596"/>
  <c r="E28" i="1596"/>
  <c r="E29" i="1596" s="1"/>
  <c r="B28" i="1596"/>
  <c r="AA27" i="1596"/>
  <c r="AI27" i="1596" s="1"/>
  <c r="G27" i="1596"/>
  <c r="G28" i="1596" s="1"/>
  <c r="G29" i="1596" s="1"/>
  <c r="C27" i="1596"/>
  <c r="AH26" i="1596"/>
  <c r="AG26" i="1596"/>
  <c r="AA26" i="1596"/>
  <c r="AQ27" i="1596" s="1"/>
  <c r="X26" i="1596" s="1"/>
  <c r="B26" i="1596"/>
  <c r="AK25" i="1596"/>
  <c r="AL25" i="1596" s="1"/>
  <c r="AH25" i="1596"/>
  <c r="AG25" i="1596"/>
  <c r="AA25" i="1596"/>
  <c r="J25" i="1596"/>
  <c r="B25" i="1596"/>
  <c r="AH24" i="1596"/>
  <c r="AG24" i="1596"/>
  <c r="AA24" i="1596"/>
  <c r="X24" i="1596"/>
  <c r="Z22" i="1596" s="1"/>
  <c r="I24" i="1596"/>
  <c r="E24" i="1596"/>
  <c r="E25" i="1596" s="1"/>
  <c r="B24" i="1596"/>
  <c r="AQ23" i="1596"/>
  <c r="X22" i="1596" s="1"/>
  <c r="AA23" i="1596"/>
  <c r="AB23" i="1596" s="1"/>
  <c r="X23" i="1596"/>
  <c r="G23" i="1596"/>
  <c r="G24" i="1596" s="1"/>
  <c r="G25" i="1596" s="1"/>
  <c r="C23" i="1596"/>
  <c r="AH22" i="1596"/>
  <c r="AG22" i="1596"/>
  <c r="AA22" i="1596"/>
  <c r="AB22" i="1596" s="1"/>
  <c r="B22" i="1596"/>
  <c r="AK21" i="1596"/>
  <c r="AA21" i="1596"/>
  <c r="J21" i="1596"/>
  <c r="G21" i="1596"/>
  <c r="B21" i="1596"/>
  <c r="AA20" i="1596"/>
  <c r="X20" i="1596"/>
  <c r="Z18" i="1596" s="1"/>
  <c r="I20" i="1596"/>
  <c r="G20" i="1596"/>
  <c r="E20" i="1596"/>
  <c r="E21" i="1596" s="1"/>
  <c r="B20" i="1596"/>
  <c r="AA19" i="1596"/>
  <c r="AB19" i="1596" s="1"/>
  <c r="X19" i="1596"/>
  <c r="G19" i="1596"/>
  <c r="AA18" i="1596"/>
  <c r="B18" i="1596"/>
  <c r="AK17" i="1596"/>
  <c r="AL17" i="1596" s="1"/>
  <c r="AH17" i="1596"/>
  <c r="AG17" i="1596"/>
  <c r="AA17" i="1596"/>
  <c r="J17" i="1596"/>
  <c r="B17" i="1596"/>
  <c r="AH16" i="1596"/>
  <c r="AG16" i="1596"/>
  <c r="AA16" i="1596"/>
  <c r="B16" i="1596"/>
  <c r="AA15" i="1596"/>
  <c r="G15" i="1596"/>
  <c r="G16" i="1596" s="1"/>
  <c r="G17" i="1596" s="1"/>
  <c r="C15" i="1596"/>
  <c r="AH14" i="1596"/>
  <c r="AG14" i="1596"/>
  <c r="AA14" i="1596"/>
  <c r="B14" i="1596"/>
  <c r="AK13" i="1596"/>
  <c r="AL13" i="1596" s="1"/>
  <c r="AH13" i="1596"/>
  <c r="AG13" i="1596"/>
  <c r="AA13" i="1596"/>
  <c r="J13" i="1596"/>
  <c r="B13" i="1596"/>
  <c r="AH12" i="1596"/>
  <c r="AG12" i="1596"/>
  <c r="AA12" i="1596"/>
  <c r="X12" i="1596"/>
  <c r="Z10" i="1596" s="1"/>
  <c r="I12" i="1596"/>
  <c r="E12" i="1596"/>
  <c r="E13" i="1596" s="1"/>
  <c r="B12" i="1596"/>
  <c r="AQ11" i="1596"/>
  <c r="X10" i="1596" s="1"/>
  <c r="AA11" i="1596"/>
  <c r="AB11" i="1596" s="1"/>
  <c r="X11" i="1596"/>
  <c r="G11" i="1596"/>
  <c r="G12" i="1596" s="1"/>
  <c r="G13" i="1596" s="1"/>
  <c r="C11" i="1596"/>
  <c r="AH10" i="1596"/>
  <c r="AG10" i="1596"/>
  <c r="AA10" i="1596"/>
  <c r="AB10" i="1596" s="1"/>
  <c r="B10" i="1596"/>
  <c r="AK9" i="1596"/>
  <c r="AH9" i="1596"/>
  <c r="AG9" i="1596"/>
  <c r="AA9" i="1596"/>
  <c r="J9" i="1596"/>
  <c r="G9" i="1596"/>
  <c r="B9" i="1596"/>
  <c r="AH8" i="1596"/>
  <c r="AG8" i="1596"/>
  <c r="AA8" i="1596"/>
  <c r="I8" i="1596"/>
  <c r="G8" i="1596"/>
  <c r="E8" i="1596"/>
  <c r="E9" i="1596" s="1"/>
  <c r="B8" i="1596"/>
  <c r="AA7" i="1596"/>
  <c r="AB7" i="1596" s="1"/>
  <c r="G7" i="1596"/>
  <c r="C7" i="1596"/>
  <c r="AH6" i="1596"/>
  <c r="AG6" i="1596"/>
  <c r="AA6" i="1596"/>
  <c r="B6" i="1596"/>
  <c r="AD4" i="1596"/>
  <c r="AB14" i="1596" l="1"/>
  <c r="AQ15" i="1596"/>
  <c r="X14" i="1596" s="1"/>
  <c r="AB18" i="1596"/>
  <c r="AD19" i="1596" s="1"/>
  <c r="AQ19" i="1596"/>
  <c r="AQ59" i="1596"/>
  <c r="X58" i="1596" s="1"/>
  <c r="AQ71" i="1596"/>
  <c r="X70" i="1596" s="1"/>
  <c r="AB78" i="1596"/>
  <c r="AQ79" i="1596"/>
  <c r="X78" i="1596" s="1"/>
  <c r="AL85" i="1596"/>
  <c r="AM85" i="1596" s="1"/>
  <c r="AL84" i="1596"/>
  <c r="AM84" i="1596" s="1"/>
  <c r="AL48" i="1596"/>
  <c r="AM48" i="1596" s="1"/>
  <c r="AF23" i="1596"/>
  <c r="AG23" i="1596" s="1"/>
  <c r="AE63" i="1596"/>
  <c r="AF47" i="1596"/>
  <c r="AG47" i="1596" s="1"/>
  <c r="AB82" i="1596"/>
  <c r="X36" i="1596"/>
  <c r="Z34" i="1596" s="1"/>
  <c r="AL12" i="1596"/>
  <c r="AM12" i="1596" s="1"/>
  <c r="AE11" i="1596"/>
  <c r="X16" i="1596"/>
  <c r="Z14" i="1596" s="1"/>
  <c r="AB6" i="1596"/>
  <c r="AD7" i="1596" s="1"/>
  <c r="AD9" i="1596" s="1"/>
  <c r="AQ7" i="1596"/>
  <c r="X6" i="1596" s="1"/>
  <c r="P100" i="1596"/>
  <c r="T100" i="1596"/>
  <c r="AM13" i="1596"/>
  <c r="AL72" i="1596"/>
  <c r="AM72" i="1596" s="1"/>
  <c r="AL77" i="1596"/>
  <c r="AM77" i="1596" s="1"/>
  <c r="AB34" i="1596"/>
  <c r="AQ35" i="1596"/>
  <c r="X34" i="1596" s="1"/>
  <c r="AE71" i="1596"/>
  <c r="AB74" i="1596"/>
  <c r="X74" i="1596"/>
  <c r="AE51" i="1596"/>
  <c r="X55" i="1596"/>
  <c r="AE55" i="1596"/>
  <c r="Q100" i="1596"/>
  <c r="U100" i="1596"/>
  <c r="AM60" i="1596"/>
  <c r="AF79" i="1596"/>
  <c r="AH79" i="1596" s="1"/>
  <c r="AF75" i="1596"/>
  <c r="AJ75" i="1596" s="1"/>
  <c r="AB83" i="1596"/>
  <c r="AM44" i="1596"/>
  <c r="X71" i="1596"/>
  <c r="M100" i="1596"/>
  <c r="AF35" i="1596"/>
  <c r="AH35" i="1596" s="1"/>
  <c r="AF43" i="1596"/>
  <c r="AH43" i="1596" s="1"/>
  <c r="AL45" i="1596"/>
  <c r="AM45" i="1596" s="1"/>
  <c r="AE59" i="1596"/>
  <c r="AL61" i="1596"/>
  <c r="AM61" i="1596" s="1"/>
  <c r="AI63" i="1596"/>
  <c r="AF63" i="1596"/>
  <c r="AG63" i="1596" s="1"/>
  <c r="AL64" i="1596"/>
  <c r="AM64" i="1596" s="1"/>
  <c r="AF15" i="1596"/>
  <c r="AJ15" i="1596" s="1"/>
  <c r="AM17" i="1596"/>
  <c r="AF31" i="1596"/>
  <c r="AG31" i="1596" s="1"/>
  <c r="X44" i="1596"/>
  <c r="Z42" i="1596" s="1"/>
  <c r="AM49" i="1596"/>
  <c r="AB15" i="1596"/>
  <c r="AD15" i="1596" s="1"/>
  <c r="AD17" i="1596" s="1"/>
  <c r="AL24" i="1596"/>
  <c r="AM24" i="1596" s="1"/>
  <c r="AF27" i="1596"/>
  <c r="AH27" i="1596" s="1"/>
  <c r="AL29" i="1596"/>
  <c r="AM29" i="1596" s="1"/>
  <c r="AB42" i="1596"/>
  <c r="AB50" i="1596"/>
  <c r="AM52" i="1596"/>
  <c r="AI59" i="1596"/>
  <c r="AI67" i="1596"/>
  <c r="AI71" i="1596"/>
  <c r="AI15" i="1596"/>
  <c r="AE19" i="1596"/>
  <c r="AF51" i="1596"/>
  <c r="AG51" i="1596" s="1"/>
  <c r="X59" i="1596"/>
  <c r="X48" i="1596"/>
  <c r="Z46" i="1596" s="1"/>
  <c r="AL16" i="1596"/>
  <c r="AM16" i="1596" s="1"/>
  <c r="AE35" i="1596"/>
  <c r="AL36" i="1596"/>
  <c r="AM36" i="1596" s="1"/>
  <c r="AA4" i="1596"/>
  <c r="X7" i="1596"/>
  <c r="AF11" i="1596"/>
  <c r="AH11" i="1596" s="1"/>
  <c r="AE15" i="1596"/>
  <c r="AB26" i="1596"/>
  <c r="AI35" i="1596"/>
  <c r="Z37" i="1596"/>
  <c r="AE47" i="1596"/>
  <c r="AI51" i="1596"/>
  <c r="AD55" i="1596"/>
  <c r="AV55" i="1596" s="1"/>
  <c r="AB58" i="1596"/>
  <c r="AF59" i="1596"/>
  <c r="AJ59" i="1596" s="1"/>
  <c r="X72" i="1596"/>
  <c r="Z70" i="1596" s="1"/>
  <c r="AM81" i="1596"/>
  <c r="AM25" i="1596"/>
  <c r="AM37" i="1596"/>
  <c r="AE43" i="1596"/>
  <c r="AF71" i="1596"/>
  <c r="AJ71" i="1596" s="1"/>
  <c r="AM73" i="1596"/>
  <c r="AI7" i="1596"/>
  <c r="X8" i="1596"/>
  <c r="Z6" i="1596" s="1"/>
  <c r="AI11" i="1596"/>
  <c r="AE27" i="1596"/>
  <c r="AM28" i="1596"/>
  <c r="AE31" i="1596"/>
  <c r="AM33" i="1596"/>
  <c r="AB35" i="1596"/>
  <c r="AM65" i="1596"/>
  <c r="AB67" i="1596"/>
  <c r="AD67" i="1596" s="1"/>
  <c r="AB70" i="1596"/>
  <c r="AM76" i="1596"/>
  <c r="AD11" i="1596"/>
  <c r="AD13" i="1596" s="1"/>
  <c r="AD63" i="1596"/>
  <c r="AD65" i="1596" s="1"/>
  <c r="AF7" i="1596"/>
  <c r="AJ7" i="1596" s="1"/>
  <c r="Z89" i="1596"/>
  <c r="AD23" i="1596"/>
  <c r="Z21" i="1596"/>
  <c r="X35" i="1596"/>
  <c r="AI39" i="1596"/>
  <c r="X39" i="1596"/>
  <c r="AL40" i="1596"/>
  <c r="AM40" i="1596" s="1"/>
  <c r="X40" i="1596"/>
  <c r="Z38" i="1596" s="1"/>
  <c r="AB43" i="1596"/>
  <c r="AD47" i="1596"/>
  <c r="AQ67" i="1596"/>
  <c r="X66" i="1596" s="1"/>
  <c r="AL69" i="1596"/>
  <c r="AM69" i="1596" s="1"/>
  <c r="AL68" i="1596"/>
  <c r="AM68" i="1596" s="1"/>
  <c r="X68" i="1596"/>
  <c r="Z66" i="1596" s="1"/>
  <c r="X67" i="1596"/>
  <c r="Z77" i="1596"/>
  <c r="AB75" i="1596"/>
  <c r="AI79" i="1596"/>
  <c r="X79" i="1596"/>
  <c r="Z81" i="1596"/>
  <c r="AF83" i="1596"/>
  <c r="AJ83" i="1596" s="1"/>
  <c r="AE83" i="1596"/>
  <c r="Z87" i="1596"/>
  <c r="N100" i="1596"/>
  <c r="R100" i="1596"/>
  <c r="V100" i="1596"/>
  <c r="AL9" i="1596"/>
  <c r="AM9" i="1596" s="1"/>
  <c r="AE23" i="1596"/>
  <c r="AI23" i="1596"/>
  <c r="AB27" i="1596"/>
  <c r="X31" i="1596"/>
  <c r="AI31" i="1596"/>
  <c r="X32" i="1596"/>
  <c r="Z30" i="1596" s="1"/>
  <c r="AL32" i="1596"/>
  <c r="AM32" i="1596" s="1"/>
  <c r="AB39" i="1596"/>
  <c r="AE39" i="1596"/>
  <c r="AL41" i="1596"/>
  <c r="AM41" i="1596" s="1"/>
  <c r="AI43" i="1596"/>
  <c r="X47" i="1596"/>
  <c r="AI47" i="1596"/>
  <c r="X51" i="1596"/>
  <c r="AL53" i="1596"/>
  <c r="AM53" i="1596" s="1"/>
  <c r="AH63" i="1596"/>
  <c r="AF67" i="1596"/>
  <c r="AE67" i="1596"/>
  <c r="AE75" i="1596"/>
  <c r="X76" i="1596"/>
  <c r="Z74" i="1596" s="1"/>
  <c r="AB79" i="1596"/>
  <c r="O94" i="1596"/>
  <c r="O100" i="1596" s="1"/>
  <c r="S94" i="1596"/>
  <c r="S100" i="1596" s="1"/>
  <c r="W94" i="1596"/>
  <c r="W100" i="1596" s="1"/>
  <c r="AE7" i="1596"/>
  <c r="AL8" i="1596"/>
  <c r="AM8" i="1596" s="1"/>
  <c r="AJ47" i="1596"/>
  <c r="AH75" i="1596"/>
  <c r="AE79" i="1596"/>
  <c r="X15" i="1596"/>
  <c r="X27" i="1596"/>
  <c r="X28" i="1596"/>
  <c r="Z26" i="1596" s="1"/>
  <c r="AB31" i="1596"/>
  <c r="AD31" i="1596" s="1"/>
  <c r="AB38" i="1596"/>
  <c r="AF39" i="1596"/>
  <c r="X43" i="1596"/>
  <c r="X52" i="1596"/>
  <c r="Z50" i="1596" s="1"/>
  <c r="X56" i="1596"/>
  <c r="Z54" i="1596" s="1"/>
  <c r="X60" i="1596"/>
  <c r="Z58" i="1596" s="1"/>
  <c r="X75" i="1596"/>
  <c r="AI75" i="1596"/>
  <c r="AG79" i="1596"/>
  <c r="X84" i="1596"/>
  <c r="Z82" i="1596" s="1"/>
  <c r="X83" i="1596"/>
  <c r="AQ47" i="1596"/>
  <c r="X46" i="1596" s="1"/>
  <c r="AB51" i="1596"/>
  <c r="AD51" i="1596" s="1"/>
  <c r="AB59" i="1596"/>
  <c r="AB71" i="1596"/>
  <c r="X80" i="1596"/>
  <c r="Z78" i="1596" s="1"/>
  <c r="AL80" i="1596"/>
  <c r="AM80" i="1596" s="1"/>
  <c r="J17" i="1595"/>
  <c r="J93" i="1595"/>
  <c r="J77" i="1595"/>
  <c r="AD75" i="1596" l="1"/>
  <c r="AD79" i="1596"/>
  <c r="AV79" i="1596" s="1"/>
  <c r="AD35" i="1596"/>
  <c r="AJ23" i="1596"/>
  <c r="AD83" i="1596"/>
  <c r="AD85" i="1596" s="1"/>
  <c r="AD43" i="1596"/>
  <c r="AV43" i="1596" s="1"/>
  <c r="AH23" i="1596"/>
  <c r="AG15" i="1596"/>
  <c r="AJ31" i="1596"/>
  <c r="AD27" i="1596"/>
  <c r="AD29" i="1596" s="1"/>
  <c r="AH31" i="1596"/>
  <c r="AG11" i="1596"/>
  <c r="AD57" i="1596"/>
  <c r="AH47" i="1596"/>
  <c r="AJ79" i="1596"/>
  <c r="AJ43" i="1596"/>
  <c r="AV83" i="1596"/>
  <c r="AG43" i="1596"/>
  <c r="AJ27" i="1596"/>
  <c r="AG7" i="1596"/>
  <c r="AD39" i="1596"/>
  <c r="AV39" i="1596" s="1"/>
  <c r="AV11" i="1596"/>
  <c r="AJ11" i="1596"/>
  <c r="AG75" i="1596"/>
  <c r="AD59" i="1596"/>
  <c r="AD61" i="1596" s="1"/>
  <c r="AG35" i="1596"/>
  <c r="AJ35" i="1596"/>
  <c r="AJ63" i="1596"/>
  <c r="AH15" i="1596"/>
  <c r="AJ51" i="1596"/>
  <c r="AH51" i="1596"/>
  <c r="AG27" i="1596"/>
  <c r="AV7" i="1596"/>
  <c r="AD37" i="1596"/>
  <c r="AV35" i="1596"/>
  <c r="AV63" i="1596"/>
  <c r="AV15" i="1596"/>
  <c r="AV67" i="1596"/>
  <c r="AD69" i="1596"/>
  <c r="AH7" i="1596"/>
  <c r="AG59" i="1596"/>
  <c r="AH59" i="1596"/>
  <c r="AD71" i="1596"/>
  <c r="AD73" i="1596" s="1"/>
  <c r="AG71" i="1596"/>
  <c r="AH71" i="1596"/>
  <c r="AD81" i="1596"/>
  <c r="AV51" i="1596"/>
  <c r="AD53" i="1596"/>
  <c r="AD33" i="1596"/>
  <c r="AV31" i="1596"/>
  <c r="AV75" i="1596"/>
  <c r="AD77" i="1596"/>
  <c r="AI2" i="1596"/>
  <c r="AH83" i="1596"/>
  <c r="AG83" i="1596"/>
  <c r="AD21" i="1596"/>
  <c r="AV19" i="1596"/>
  <c r="AH67" i="1596"/>
  <c r="AG67" i="1596"/>
  <c r="AJ67" i="1596"/>
  <c r="AD49" i="1596"/>
  <c r="AV47" i="1596"/>
  <c r="AJ39" i="1596"/>
  <c r="AH39" i="1596"/>
  <c r="AG39" i="1596"/>
  <c r="X18" i="1596"/>
  <c r="AQ4" i="1596"/>
  <c r="AD25" i="1596"/>
  <c r="AV23" i="1596"/>
  <c r="AF4" i="1596"/>
  <c r="AQ71" i="1595"/>
  <c r="X70" i="1595" s="1"/>
  <c r="AQ63" i="1595"/>
  <c r="X62" i="1595" s="1"/>
  <c r="AQ59" i="1595"/>
  <c r="X58" i="1595" s="1"/>
  <c r="AQ51" i="1595"/>
  <c r="X50" i="1595" s="1"/>
  <c r="AQ31" i="1595"/>
  <c r="X30" i="1595" s="1"/>
  <c r="AQ23" i="1595"/>
  <c r="X22" i="1595" s="1"/>
  <c r="AQ11" i="1595"/>
  <c r="X10" i="1595" s="1"/>
  <c r="W105" i="1595"/>
  <c r="V105" i="1595"/>
  <c r="V102" i="1595" s="1"/>
  <c r="U105" i="1595"/>
  <c r="U102" i="1595" s="1"/>
  <c r="T105" i="1595"/>
  <c r="T102" i="1595" s="1"/>
  <c r="S105" i="1595"/>
  <c r="R105" i="1595"/>
  <c r="R102" i="1595" s="1"/>
  <c r="Q105" i="1595"/>
  <c r="Q102" i="1595" s="1"/>
  <c r="W99" i="1595"/>
  <c r="V99" i="1595"/>
  <c r="U99" i="1595"/>
  <c r="T99" i="1595"/>
  <c r="S99" i="1595"/>
  <c r="R99" i="1595"/>
  <c r="Q99" i="1595"/>
  <c r="P99" i="1595"/>
  <c r="O99" i="1595"/>
  <c r="N99" i="1595"/>
  <c r="M99" i="1595"/>
  <c r="W97" i="1595"/>
  <c r="V97" i="1595"/>
  <c r="U97" i="1595"/>
  <c r="T97" i="1595"/>
  <c r="S97" i="1595"/>
  <c r="R97" i="1595"/>
  <c r="Q97" i="1595"/>
  <c r="P97" i="1595"/>
  <c r="O97" i="1595"/>
  <c r="N97" i="1595"/>
  <c r="M97" i="1595"/>
  <c r="W95" i="1595"/>
  <c r="V95" i="1595"/>
  <c r="U95" i="1595"/>
  <c r="T95" i="1595"/>
  <c r="S95" i="1595"/>
  <c r="R95" i="1595"/>
  <c r="Q95" i="1595"/>
  <c r="P95" i="1595"/>
  <c r="O95" i="1595"/>
  <c r="N95" i="1595"/>
  <c r="M95" i="1595"/>
  <c r="AK93" i="1595"/>
  <c r="AL93" i="1595" s="1"/>
  <c r="AH93" i="1595"/>
  <c r="AG93" i="1595"/>
  <c r="AA93" i="1595"/>
  <c r="B93" i="1595"/>
  <c r="AH92" i="1595"/>
  <c r="AG92" i="1595"/>
  <c r="AA92" i="1595"/>
  <c r="I92" i="1595"/>
  <c r="E92" i="1595"/>
  <c r="E93" i="1595" s="1"/>
  <c r="B92" i="1595"/>
  <c r="AA91" i="1595"/>
  <c r="Z93" i="1595" s="1"/>
  <c r="G91" i="1595"/>
  <c r="G92" i="1595" s="1"/>
  <c r="G93" i="1595" s="1"/>
  <c r="C91" i="1595"/>
  <c r="AH90" i="1595"/>
  <c r="AG90" i="1595"/>
  <c r="AA90" i="1595"/>
  <c r="AB90" i="1595" s="1"/>
  <c r="B90" i="1595"/>
  <c r="AK89" i="1595"/>
  <c r="AL89" i="1595" s="1"/>
  <c r="AH89" i="1595"/>
  <c r="AG89" i="1595"/>
  <c r="AA89" i="1595"/>
  <c r="J89" i="1595"/>
  <c r="B89" i="1595"/>
  <c r="AH88" i="1595"/>
  <c r="AG88" i="1595"/>
  <c r="AA88" i="1595"/>
  <c r="I88" i="1595"/>
  <c r="E88" i="1595"/>
  <c r="E89" i="1595" s="1"/>
  <c r="B88" i="1595"/>
  <c r="AA87" i="1595"/>
  <c r="AI87" i="1595" s="1"/>
  <c r="G87" i="1595"/>
  <c r="G88" i="1595" s="1"/>
  <c r="G89" i="1595" s="1"/>
  <c r="C87" i="1595"/>
  <c r="AH86" i="1595"/>
  <c r="AG86" i="1595"/>
  <c r="AA86" i="1595"/>
  <c r="AQ87" i="1595" s="1"/>
  <c r="B86" i="1595"/>
  <c r="AK85" i="1595"/>
  <c r="AL84" i="1595" s="1"/>
  <c r="AH85" i="1595"/>
  <c r="AG85" i="1595"/>
  <c r="AA85" i="1595"/>
  <c r="J85" i="1595"/>
  <c r="B85" i="1595"/>
  <c r="AH84" i="1595"/>
  <c r="AG84" i="1595"/>
  <c r="AA84" i="1595"/>
  <c r="I84" i="1595"/>
  <c r="E84" i="1595"/>
  <c r="E85" i="1595" s="1"/>
  <c r="B84" i="1595"/>
  <c r="AA83" i="1595"/>
  <c r="Z85" i="1595" s="1"/>
  <c r="G83" i="1595"/>
  <c r="G84" i="1595" s="1"/>
  <c r="G85" i="1595" s="1"/>
  <c r="C83" i="1595"/>
  <c r="AH82" i="1595"/>
  <c r="AG82" i="1595"/>
  <c r="AA82" i="1595"/>
  <c r="AQ83" i="1595" s="1"/>
  <c r="B82" i="1595"/>
  <c r="AK81" i="1595"/>
  <c r="AH81" i="1595"/>
  <c r="AG81" i="1595"/>
  <c r="AA81" i="1595"/>
  <c r="J81" i="1595"/>
  <c r="G81" i="1595"/>
  <c r="B81" i="1595"/>
  <c r="AH80" i="1595"/>
  <c r="AG80" i="1595"/>
  <c r="AA80" i="1595"/>
  <c r="I80" i="1595"/>
  <c r="G80" i="1595"/>
  <c r="E80" i="1595"/>
  <c r="E81" i="1595" s="1"/>
  <c r="B80" i="1595"/>
  <c r="AA79" i="1595"/>
  <c r="Z81" i="1595" s="1"/>
  <c r="G79" i="1595"/>
  <c r="C79" i="1595"/>
  <c r="AH78" i="1595"/>
  <c r="AG78" i="1595"/>
  <c r="AA78" i="1595"/>
  <c r="AQ79" i="1595" s="1"/>
  <c r="B78" i="1595"/>
  <c r="AK77" i="1595"/>
  <c r="AL77" i="1595" s="1"/>
  <c r="AH77" i="1595"/>
  <c r="AG77" i="1595"/>
  <c r="AA77" i="1595"/>
  <c r="B77" i="1595"/>
  <c r="AH76" i="1595"/>
  <c r="AG76" i="1595"/>
  <c r="AA76" i="1595"/>
  <c r="I76" i="1595"/>
  <c r="E76" i="1595"/>
  <c r="E77" i="1595" s="1"/>
  <c r="B76" i="1595"/>
  <c r="AA75" i="1595"/>
  <c r="AB75" i="1595" s="1"/>
  <c r="G75" i="1595"/>
  <c r="G76" i="1595" s="1"/>
  <c r="G77" i="1595" s="1"/>
  <c r="C75" i="1595"/>
  <c r="AH74" i="1595"/>
  <c r="AG74" i="1595"/>
  <c r="AA74" i="1595"/>
  <c r="B74" i="1595"/>
  <c r="AK73" i="1595"/>
  <c r="AH73" i="1595"/>
  <c r="AG73" i="1595"/>
  <c r="AA73" i="1595"/>
  <c r="J73" i="1595"/>
  <c r="B73" i="1595"/>
  <c r="AH72" i="1595"/>
  <c r="AG72" i="1595"/>
  <c r="AA72" i="1595"/>
  <c r="X72" i="1595"/>
  <c r="Z70" i="1595" s="1"/>
  <c r="I72" i="1595"/>
  <c r="E72" i="1595"/>
  <c r="E73" i="1595" s="1"/>
  <c r="B72" i="1595"/>
  <c r="AA71" i="1595"/>
  <c r="AB71" i="1595" s="1"/>
  <c r="X71" i="1595"/>
  <c r="G71" i="1595"/>
  <c r="G72" i="1595" s="1"/>
  <c r="G73" i="1595" s="1"/>
  <c r="C71" i="1595"/>
  <c r="AH70" i="1595"/>
  <c r="AG70" i="1595"/>
  <c r="AA70" i="1595"/>
  <c r="AB70" i="1595" s="1"/>
  <c r="B70" i="1595"/>
  <c r="AK69" i="1595"/>
  <c r="AL68" i="1595" s="1"/>
  <c r="AH69" i="1595"/>
  <c r="AG69" i="1595"/>
  <c r="AA69" i="1595"/>
  <c r="J69" i="1595"/>
  <c r="B69" i="1595"/>
  <c r="AH68" i="1595"/>
  <c r="AG68" i="1595"/>
  <c r="AA68" i="1595"/>
  <c r="I68" i="1595"/>
  <c r="E68" i="1595"/>
  <c r="E69" i="1595" s="1"/>
  <c r="B68" i="1595"/>
  <c r="AA67" i="1595"/>
  <c r="X67" i="1595" s="1"/>
  <c r="G67" i="1595"/>
  <c r="G68" i="1595" s="1"/>
  <c r="G69" i="1595" s="1"/>
  <c r="C67" i="1595"/>
  <c r="AH66" i="1595"/>
  <c r="AG66" i="1595"/>
  <c r="AA66" i="1595"/>
  <c r="AQ67" i="1595" s="1"/>
  <c r="B66" i="1595"/>
  <c r="AK65" i="1595"/>
  <c r="AH65" i="1595"/>
  <c r="AG65" i="1595"/>
  <c r="AA65" i="1595"/>
  <c r="J65" i="1595"/>
  <c r="B65" i="1595"/>
  <c r="AH64" i="1595"/>
  <c r="AG64" i="1595"/>
  <c r="AA64" i="1595"/>
  <c r="I64" i="1595"/>
  <c r="E64" i="1595"/>
  <c r="E65" i="1595" s="1"/>
  <c r="B64" i="1595"/>
  <c r="AA63" i="1595"/>
  <c r="AB63" i="1595" s="1"/>
  <c r="G63" i="1595"/>
  <c r="G64" i="1595" s="1"/>
  <c r="G65" i="1595" s="1"/>
  <c r="C63" i="1595"/>
  <c r="AH62" i="1595"/>
  <c r="AG62" i="1595"/>
  <c r="AA62" i="1595"/>
  <c r="AB62" i="1595" s="1"/>
  <c r="B62" i="1595"/>
  <c r="AK61" i="1595"/>
  <c r="AA61" i="1595"/>
  <c r="J61" i="1595"/>
  <c r="B61" i="1595"/>
  <c r="AA60" i="1595"/>
  <c r="I60" i="1595"/>
  <c r="E60" i="1595"/>
  <c r="E61" i="1595" s="1"/>
  <c r="B60" i="1595"/>
  <c r="AA59" i="1595"/>
  <c r="AB59" i="1595" s="1"/>
  <c r="AA58" i="1595"/>
  <c r="AB58" i="1595" s="1"/>
  <c r="B58" i="1595"/>
  <c r="AK57" i="1595"/>
  <c r="AH57" i="1595"/>
  <c r="AG57" i="1595"/>
  <c r="AA57" i="1595"/>
  <c r="J57" i="1595"/>
  <c r="B57" i="1595"/>
  <c r="AH56" i="1595"/>
  <c r="AG56" i="1595"/>
  <c r="AA56" i="1595"/>
  <c r="I56" i="1595"/>
  <c r="E56" i="1595"/>
  <c r="E57" i="1595" s="1"/>
  <c r="B56" i="1595"/>
  <c r="AA55" i="1595"/>
  <c r="AI55" i="1595" s="1"/>
  <c r="G55" i="1595"/>
  <c r="G56" i="1595" s="1"/>
  <c r="G57" i="1595" s="1"/>
  <c r="C55" i="1595"/>
  <c r="AH54" i="1595"/>
  <c r="AG54" i="1595"/>
  <c r="AA54" i="1595"/>
  <c r="B54" i="1595"/>
  <c r="AK53" i="1595"/>
  <c r="AH53" i="1595"/>
  <c r="AG53" i="1595"/>
  <c r="AA53" i="1595"/>
  <c r="J53" i="1595"/>
  <c r="B53" i="1595"/>
  <c r="AH52" i="1595"/>
  <c r="AG52" i="1595"/>
  <c r="AA52" i="1595"/>
  <c r="X52" i="1595"/>
  <c r="Z50" i="1595" s="1"/>
  <c r="I52" i="1595"/>
  <c r="E52" i="1595"/>
  <c r="E53" i="1595" s="1"/>
  <c r="B52" i="1595"/>
  <c r="AA51" i="1595"/>
  <c r="AI51" i="1595" s="1"/>
  <c r="X51" i="1595"/>
  <c r="G51" i="1595"/>
  <c r="G52" i="1595" s="1"/>
  <c r="G53" i="1595" s="1"/>
  <c r="C51" i="1595"/>
  <c r="AH50" i="1595"/>
  <c r="AG50" i="1595"/>
  <c r="AA50" i="1595"/>
  <c r="AB50" i="1595" s="1"/>
  <c r="B50" i="1595"/>
  <c r="AK49" i="1595"/>
  <c r="AL48" i="1595" s="1"/>
  <c r="AH49" i="1595"/>
  <c r="AG49" i="1595"/>
  <c r="AA49" i="1595"/>
  <c r="J49" i="1595"/>
  <c r="B49" i="1595"/>
  <c r="AH48" i="1595"/>
  <c r="AG48" i="1595"/>
  <c r="AA48" i="1595"/>
  <c r="I48" i="1595"/>
  <c r="E48" i="1595"/>
  <c r="E49" i="1595" s="1"/>
  <c r="B48" i="1595"/>
  <c r="AA47" i="1595"/>
  <c r="AB47" i="1595" s="1"/>
  <c r="G47" i="1595"/>
  <c r="G48" i="1595" s="1"/>
  <c r="G49" i="1595" s="1"/>
  <c r="C47" i="1595"/>
  <c r="AH46" i="1595"/>
  <c r="AG46" i="1595"/>
  <c r="AA46" i="1595"/>
  <c r="AQ47" i="1595" s="1"/>
  <c r="B46" i="1595"/>
  <c r="AK45" i="1595"/>
  <c r="AL45" i="1595" s="1"/>
  <c r="AH45" i="1595"/>
  <c r="AG45" i="1595"/>
  <c r="AA45" i="1595"/>
  <c r="J45" i="1595"/>
  <c r="B45" i="1595"/>
  <c r="AH44" i="1595"/>
  <c r="AG44" i="1595"/>
  <c r="AA44" i="1595"/>
  <c r="I44" i="1595"/>
  <c r="E44" i="1595"/>
  <c r="E45" i="1595" s="1"/>
  <c r="B44" i="1595"/>
  <c r="AA43" i="1595"/>
  <c r="G43" i="1595"/>
  <c r="G44" i="1595" s="1"/>
  <c r="G45" i="1595" s="1"/>
  <c r="C43" i="1595"/>
  <c r="AH42" i="1595"/>
  <c r="AG42" i="1595"/>
  <c r="AA42" i="1595"/>
  <c r="B42" i="1595"/>
  <c r="AK41" i="1595"/>
  <c r="AL41" i="1595" s="1"/>
  <c r="AH41" i="1595"/>
  <c r="AG41" i="1595"/>
  <c r="AA41" i="1595"/>
  <c r="J41" i="1595"/>
  <c r="B41" i="1595"/>
  <c r="AH40" i="1595"/>
  <c r="AG40" i="1595"/>
  <c r="AA40" i="1595"/>
  <c r="I40" i="1595"/>
  <c r="E40" i="1595"/>
  <c r="E41" i="1595" s="1"/>
  <c r="B40" i="1595"/>
  <c r="AA39" i="1595"/>
  <c r="G39" i="1595"/>
  <c r="G40" i="1595" s="1"/>
  <c r="G41" i="1595" s="1"/>
  <c r="C39" i="1595"/>
  <c r="AH38" i="1595"/>
  <c r="AG38" i="1595"/>
  <c r="AA38" i="1595"/>
  <c r="AB38" i="1595" s="1"/>
  <c r="B38" i="1595"/>
  <c r="AK37" i="1595"/>
  <c r="AL37" i="1595" s="1"/>
  <c r="AH37" i="1595"/>
  <c r="AG37" i="1595"/>
  <c r="AA37" i="1595"/>
  <c r="J37" i="1595"/>
  <c r="B37" i="1595"/>
  <c r="AH36" i="1595"/>
  <c r="AG36" i="1595"/>
  <c r="P105" i="1595"/>
  <c r="P102" i="1595" s="1"/>
  <c r="O105" i="1595"/>
  <c r="N105" i="1595"/>
  <c r="M105" i="1595"/>
  <c r="I36" i="1595"/>
  <c r="E36" i="1595"/>
  <c r="E37" i="1595" s="1"/>
  <c r="B36" i="1595"/>
  <c r="AA35" i="1595"/>
  <c r="Z37" i="1595" s="1"/>
  <c r="G35" i="1595"/>
  <c r="G36" i="1595" s="1"/>
  <c r="G37" i="1595" s="1"/>
  <c r="C35" i="1595"/>
  <c r="AH34" i="1595"/>
  <c r="AG34" i="1595"/>
  <c r="AA34" i="1595"/>
  <c r="AQ35" i="1595" s="1"/>
  <c r="B34" i="1595"/>
  <c r="AK33" i="1595"/>
  <c r="AL33" i="1595" s="1"/>
  <c r="AH33" i="1595"/>
  <c r="AG33" i="1595"/>
  <c r="AA33" i="1595"/>
  <c r="J33" i="1595"/>
  <c r="B33" i="1595"/>
  <c r="AH32" i="1595"/>
  <c r="AG32" i="1595"/>
  <c r="AA32" i="1595"/>
  <c r="I32" i="1595"/>
  <c r="E32" i="1595"/>
  <c r="E33" i="1595" s="1"/>
  <c r="B32" i="1595"/>
  <c r="AA31" i="1595"/>
  <c r="AI31" i="1595" s="1"/>
  <c r="G31" i="1595"/>
  <c r="G32" i="1595" s="1"/>
  <c r="G33" i="1595" s="1"/>
  <c r="C31" i="1595"/>
  <c r="AH30" i="1595"/>
  <c r="AG30" i="1595"/>
  <c r="AA30" i="1595"/>
  <c r="AB30" i="1595" s="1"/>
  <c r="B30" i="1595"/>
  <c r="AK29" i="1595"/>
  <c r="AL29" i="1595" s="1"/>
  <c r="AH29" i="1595"/>
  <c r="AG29" i="1595"/>
  <c r="AA29" i="1595"/>
  <c r="J29" i="1595"/>
  <c r="B29" i="1595"/>
  <c r="AH28" i="1595"/>
  <c r="AG28" i="1595"/>
  <c r="AA28" i="1595"/>
  <c r="I28" i="1595"/>
  <c r="E28" i="1595"/>
  <c r="E29" i="1595" s="1"/>
  <c r="B28" i="1595"/>
  <c r="AA27" i="1595"/>
  <c r="G27" i="1595"/>
  <c r="G28" i="1595" s="1"/>
  <c r="G29" i="1595" s="1"/>
  <c r="C27" i="1595"/>
  <c r="AH26" i="1595"/>
  <c r="AG26" i="1595"/>
  <c r="AA26" i="1595"/>
  <c r="AB26" i="1595" s="1"/>
  <c r="B26" i="1595"/>
  <c r="AK25" i="1595"/>
  <c r="AL24" i="1595" s="1"/>
  <c r="AH25" i="1595"/>
  <c r="AG25" i="1595"/>
  <c r="AA25" i="1595"/>
  <c r="J25" i="1595"/>
  <c r="B25" i="1595"/>
  <c r="AH24" i="1595"/>
  <c r="AG24" i="1595"/>
  <c r="AA24" i="1595"/>
  <c r="X24" i="1595"/>
  <c r="Z22" i="1595" s="1"/>
  <c r="I24" i="1595"/>
  <c r="E24" i="1595"/>
  <c r="E25" i="1595" s="1"/>
  <c r="B24" i="1595"/>
  <c r="AA23" i="1595"/>
  <c r="AI23" i="1595" s="1"/>
  <c r="X23" i="1595"/>
  <c r="G23" i="1595"/>
  <c r="G24" i="1595" s="1"/>
  <c r="G25" i="1595" s="1"/>
  <c r="C23" i="1595"/>
  <c r="AH22" i="1595"/>
  <c r="AG22" i="1595"/>
  <c r="AA22" i="1595"/>
  <c r="AB22" i="1595" s="1"/>
  <c r="B22" i="1595"/>
  <c r="AK21" i="1595"/>
  <c r="AA21" i="1595"/>
  <c r="J21" i="1595"/>
  <c r="G21" i="1595"/>
  <c r="B21" i="1595"/>
  <c r="AA20" i="1595"/>
  <c r="AE19" i="1595" s="1"/>
  <c r="X20" i="1595"/>
  <c r="Z18" i="1595" s="1"/>
  <c r="I20" i="1595"/>
  <c r="G20" i="1595"/>
  <c r="E20" i="1595"/>
  <c r="E21" i="1595" s="1"/>
  <c r="B20" i="1595"/>
  <c r="AA19" i="1595"/>
  <c r="AB19" i="1595" s="1"/>
  <c r="X19" i="1595"/>
  <c r="G19" i="1595"/>
  <c r="AA18" i="1595"/>
  <c r="AQ19" i="1595" s="1"/>
  <c r="B18" i="1595"/>
  <c r="AK17" i="1595"/>
  <c r="AL16" i="1595" s="1"/>
  <c r="AH17" i="1595"/>
  <c r="AG17" i="1595"/>
  <c r="AA17" i="1595"/>
  <c r="B17" i="1595"/>
  <c r="AH16" i="1595"/>
  <c r="AG16" i="1595"/>
  <c r="AA16" i="1595"/>
  <c r="B16" i="1595"/>
  <c r="AA15" i="1595"/>
  <c r="G15" i="1595"/>
  <c r="G16" i="1595" s="1"/>
  <c r="G17" i="1595" s="1"/>
  <c r="C15" i="1595"/>
  <c r="AH14" i="1595"/>
  <c r="AG14" i="1595"/>
  <c r="AA14" i="1595"/>
  <c r="AB14" i="1595" s="1"/>
  <c r="B14" i="1595"/>
  <c r="AK13" i="1595"/>
  <c r="AL12" i="1595" s="1"/>
  <c r="AH13" i="1595"/>
  <c r="AG13" i="1595"/>
  <c r="AA13" i="1595"/>
  <c r="J13" i="1595"/>
  <c r="B13" i="1595"/>
  <c r="AH12" i="1595"/>
  <c r="AG12" i="1595"/>
  <c r="AA12" i="1595"/>
  <c r="X12" i="1595"/>
  <c r="Z10" i="1595" s="1"/>
  <c r="I12" i="1595"/>
  <c r="E12" i="1595"/>
  <c r="E13" i="1595" s="1"/>
  <c r="B12" i="1595"/>
  <c r="AA11" i="1595"/>
  <c r="AI11" i="1595" s="1"/>
  <c r="X11" i="1595"/>
  <c r="G11" i="1595"/>
  <c r="G12" i="1595" s="1"/>
  <c r="G13" i="1595" s="1"/>
  <c r="C11" i="1595"/>
  <c r="AH10" i="1595"/>
  <c r="AG10" i="1595"/>
  <c r="AA10" i="1595"/>
  <c r="AB10" i="1595" s="1"/>
  <c r="B10" i="1595"/>
  <c r="AK9" i="1595"/>
  <c r="AL9" i="1595" s="1"/>
  <c r="AH9" i="1595"/>
  <c r="AG9" i="1595"/>
  <c r="AA9" i="1595"/>
  <c r="J9" i="1595"/>
  <c r="G9" i="1595"/>
  <c r="B9" i="1595"/>
  <c r="AH8" i="1595"/>
  <c r="AG8" i="1595"/>
  <c r="AA8" i="1595"/>
  <c r="I8" i="1595"/>
  <c r="G8" i="1595"/>
  <c r="E8" i="1595"/>
  <c r="E9" i="1595" s="1"/>
  <c r="B8" i="1595"/>
  <c r="AA7" i="1595"/>
  <c r="G7" i="1595"/>
  <c r="C7" i="1595"/>
  <c r="AH6" i="1595"/>
  <c r="AG6" i="1595"/>
  <c r="AA6" i="1595"/>
  <c r="AB6" i="1595" s="1"/>
  <c r="B6" i="1595"/>
  <c r="AD4" i="1595"/>
  <c r="AF15" i="1595" l="1"/>
  <c r="AH15" i="1595" s="1"/>
  <c r="AD45" i="1596"/>
  <c r="AV27" i="1596"/>
  <c r="AD41" i="1596"/>
  <c r="AV59" i="1596"/>
  <c r="AV71" i="1596"/>
  <c r="AL44" i="1595"/>
  <c r="AM44" i="1595" s="1"/>
  <c r="X44" i="1595"/>
  <c r="Z42" i="1595" s="1"/>
  <c r="AH2" i="1596"/>
  <c r="AD2" i="1596" s="1"/>
  <c r="AL76" i="1595"/>
  <c r="AM76" i="1595" s="1"/>
  <c r="AF27" i="1595"/>
  <c r="AH27" i="1595" s="1"/>
  <c r="AF91" i="1595"/>
  <c r="AH91" i="1595" s="1"/>
  <c r="AB34" i="1595"/>
  <c r="AL28" i="1595"/>
  <c r="AB11" i="1595"/>
  <c r="AD11" i="1595" s="1"/>
  <c r="AL25" i="1595"/>
  <c r="AM25" i="1595" s="1"/>
  <c r="AE79" i="1595"/>
  <c r="AL92" i="1595"/>
  <c r="AM92" i="1595" s="1"/>
  <c r="X87" i="1595"/>
  <c r="AF11" i="1595"/>
  <c r="AJ11" i="1595" s="1"/>
  <c r="AF51" i="1595"/>
  <c r="AH51" i="1595" s="1"/>
  <c r="AQ75" i="1595"/>
  <c r="X74" i="1595" s="1"/>
  <c r="AQ39" i="1595"/>
  <c r="X38" i="1595" s="1"/>
  <c r="AQ55" i="1595"/>
  <c r="X54" i="1595" s="1"/>
  <c r="AM12" i="1595"/>
  <c r="AE59" i="1595"/>
  <c r="AB66" i="1595"/>
  <c r="AI71" i="1595"/>
  <c r="AQ15" i="1595"/>
  <c r="X14" i="1595" s="1"/>
  <c r="AQ27" i="1595"/>
  <c r="X26" i="1595" s="1"/>
  <c r="AQ43" i="1595"/>
  <c r="X42" i="1595" s="1"/>
  <c r="AB18" i="1595"/>
  <c r="AD19" i="1595" s="1"/>
  <c r="AD21" i="1595" s="1"/>
  <c r="X18" i="1595"/>
  <c r="AE83" i="1595"/>
  <c r="X86" i="1595"/>
  <c r="AF87" i="1595"/>
  <c r="AG87" i="1595" s="1"/>
  <c r="AM89" i="1595"/>
  <c r="AM93" i="1595"/>
  <c r="AQ91" i="1595"/>
  <c r="X90" i="1595" s="1"/>
  <c r="AB43" i="1595"/>
  <c r="AE75" i="1595"/>
  <c r="AB67" i="1595"/>
  <c r="AB55" i="1595"/>
  <c r="Z21" i="1595"/>
  <c r="AE67" i="1595"/>
  <c r="AB83" i="1595"/>
  <c r="AE43" i="1595"/>
  <c r="AB31" i="1595"/>
  <c r="AD31" i="1595" s="1"/>
  <c r="AV31" i="1595" s="1"/>
  <c r="X82" i="1595"/>
  <c r="X78" i="1595"/>
  <c r="X34" i="1595"/>
  <c r="X46" i="1595"/>
  <c r="X66" i="1595"/>
  <c r="AE7" i="1595"/>
  <c r="AM9" i="1595"/>
  <c r="X8" i="1595"/>
  <c r="Z6" i="1595" s="1"/>
  <c r="AL8" i="1595"/>
  <c r="AM8" i="1595" s="1"/>
  <c r="AB23" i="1595"/>
  <c r="AD23" i="1595" s="1"/>
  <c r="AM24" i="1595"/>
  <c r="Z33" i="1595"/>
  <c r="AM33" i="1595"/>
  <c r="X35" i="1595"/>
  <c r="AI43" i="1595"/>
  <c r="AL49" i="1595"/>
  <c r="AM49" i="1595" s="1"/>
  <c r="Z69" i="1595"/>
  <c r="AM68" i="1595"/>
  <c r="AB78" i="1595"/>
  <c r="AB82" i="1595"/>
  <c r="AF23" i="1595"/>
  <c r="AH23" i="1595" s="1"/>
  <c r="AL13" i="1595"/>
  <c r="AM13" i="1595" s="1"/>
  <c r="AL17" i="1595"/>
  <c r="AM17" i="1595" s="1"/>
  <c r="AI35" i="1595"/>
  <c r="AL40" i="1595"/>
  <c r="AM40" i="1595" s="1"/>
  <c r="AF39" i="1595"/>
  <c r="AH39" i="1595" s="1"/>
  <c r="AF43" i="1595"/>
  <c r="AJ43" i="1595" s="1"/>
  <c r="AI47" i="1595"/>
  <c r="AM48" i="1595"/>
  <c r="Z57" i="1595"/>
  <c r="X55" i="1595"/>
  <c r="AF71" i="1595"/>
  <c r="AH71" i="1595" s="1"/>
  <c r="AL88" i="1595"/>
  <c r="AM88" i="1595" s="1"/>
  <c r="AM28" i="1595"/>
  <c r="AF31" i="1595"/>
  <c r="AG31" i="1595" s="1"/>
  <c r="Z45" i="1595"/>
  <c r="AB46" i="1595"/>
  <c r="AD47" i="1595" s="1"/>
  <c r="AV47" i="1595" s="1"/>
  <c r="AE51" i="1595"/>
  <c r="AF55" i="1595"/>
  <c r="AJ55" i="1595" s="1"/>
  <c r="AF63" i="1595"/>
  <c r="AH63" i="1595" s="1"/>
  <c r="AF67" i="1595"/>
  <c r="AJ67" i="1595" s="1"/>
  <c r="AB74" i="1595"/>
  <c r="AD75" i="1595" s="1"/>
  <c r="AD77" i="1595" s="1"/>
  <c r="AB79" i="1595"/>
  <c r="AM84" i="1595"/>
  <c r="AB86" i="1595"/>
  <c r="AJ15" i="1595"/>
  <c r="AM16" i="1595"/>
  <c r="X36" i="1595"/>
  <c r="Z34" i="1595" s="1"/>
  <c r="AM45" i="1595"/>
  <c r="AI67" i="1595"/>
  <c r="AE71" i="1595"/>
  <c r="AI75" i="1595"/>
  <c r="X76" i="1595"/>
  <c r="Z74" i="1595" s="1"/>
  <c r="Z77" i="1595"/>
  <c r="AF83" i="1595"/>
  <c r="Z97" i="1595"/>
  <c r="R108" i="1595"/>
  <c r="T108" i="1595"/>
  <c r="AM29" i="1595"/>
  <c r="AM37" i="1595"/>
  <c r="AM41" i="1595"/>
  <c r="AE47" i="1595"/>
  <c r="AF75" i="1595"/>
  <c r="AJ75" i="1595" s="1"/>
  <c r="AM77" i="1595"/>
  <c r="AF79" i="1595"/>
  <c r="AI83" i="1595"/>
  <c r="Z95" i="1595"/>
  <c r="O102" i="1595"/>
  <c r="O108" i="1595" s="1"/>
  <c r="N102" i="1595"/>
  <c r="N108" i="1595" s="1"/>
  <c r="AF7" i="1595"/>
  <c r="AJ7" i="1595" s="1"/>
  <c r="AL36" i="1595"/>
  <c r="AB7" i="1595"/>
  <c r="AD7" i="1595" s="1"/>
  <c r="AQ7" i="1595"/>
  <c r="AE11" i="1595"/>
  <c r="AB15" i="1595"/>
  <c r="AD15" i="1595" s="1"/>
  <c r="AG15" i="1595"/>
  <c r="X16" i="1595"/>
  <c r="Z14" i="1595" s="1"/>
  <c r="AE23" i="1595"/>
  <c r="AB27" i="1595"/>
  <c r="AD27" i="1595" s="1"/>
  <c r="X31" i="1595"/>
  <c r="AE31" i="1595"/>
  <c r="X32" i="1595"/>
  <c r="Z30" i="1595" s="1"/>
  <c r="AL32" i="1595"/>
  <c r="AM32" i="1595" s="1"/>
  <c r="AA36" i="1595"/>
  <c r="AB39" i="1595"/>
  <c r="AD39" i="1595" s="1"/>
  <c r="X40" i="1595"/>
  <c r="Z38" i="1595" s="1"/>
  <c r="AB51" i="1595"/>
  <c r="AD51" i="1595" s="1"/>
  <c r="Z53" i="1595"/>
  <c r="AL53" i="1595"/>
  <c r="AM53" i="1595" s="1"/>
  <c r="AL52" i="1595"/>
  <c r="AM52" i="1595" s="1"/>
  <c r="AL57" i="1595"/>
  <c r="AM57" i="1595" s="1"/>
  <c r="X75" i="1595"/>
  <c r="Z89" i="1595"/>
  <c r="AB87" i="1595"/>
  <c r="X88" i="1595"/>
  <c r="Z86" i="1595" s="1"/>
  <c r="AB91" i="1595"/>
  <c r="AD91" i="1595" s="1"/>
  <c r="V108" i="1595"/>
  <c r="AA4" i="1595"/>
  <c r="Z17" i="1595"/>
  <c r="AB35" i="1595"/>
  <c r="AI39" i="1595"/>
  <c r="AB42" i="1595"/>
  <c r="X47" i="1595"/>
  <c r="AF47" i="1595"/>
  <c r="X48" i="1595"/>
  <c r="Z46" i="1595" s="1"/>
  <c r="AB54" i="1595"/>
  <c r="X56" i="1595"/>
  <c r="Z54" i="1595" s="1"/>
  <c r="AL56" i="1595"/>
  <c r="AM56" i="1595" s="1"/>
  <c r="AD59" i="1595"/>
  <c r="AE63" i="1595"/>
  <c r="AL69" i="1595"/>
  <c r="AM69" i="1595" s="1"/>
  <c r="AL85" i="1595"/>
  <c r="AM85" i="1595" s="1"/>
  <c r="AE87" i="1595"/>
  <c r="AE91" i="1595"/>
  <c r="S102" i="1595"/>
  <c r="S108" i="1595" s="1"/>
  <c r="W102" i="1595"/>
  <c r="W108" i="1595" s="1"/>
  <c r="X7" i="1595"/>
  <c r="AI7" i="1595"/>
  <c r="X15" i="1595"/>
  <c r="AE15" i="1595"/>
  <c r="AI15" i="1595"/>
  <c r="X27" i="1595"/>
  <c r="AE27" i="1595"/>
  <c r="AI27" i="1595"/>
  <c r="X28" i="1595"/>
  <c r="Z26" i="1595" s="1"/>
  <c r="X39" i="1595"/>
  <c r="AE39" i="1595"/>
  <c r="X43" i="1595"/>
  <c r="AE55" i="1595"/>
  <c r="X59" i="1595"/>
  <c r="AD63" i="1595"/>
  <c r="AL64" i="1595"/>
  <c r="AM64" i="1595" s="1"/>
  <c r="X64" i="1595"/>
  <c r="Z62" i="1595" s="1"/>
  <c r="AL65" i="1595"/>
  <c r="AM65" i="1595" s="1"/>
  <c r="X68" i="1595"/>
  <c r="Z66" i="1595" s="1"/>
  <c r="AD71" i="1595"/>
  <c r="AL81" i="1595"/>
  <c r="AM81" i="1595" s="1"/>
  <c r="AL80" i="1595"/>
  <c r="AM80" i="1595" s="1"/>
  <c r="X80" i="1595"/>
  <c r="Z78" i="1595" s="1"/>
  <c r="X84" i="1595"/>
  <c r="Z82" i="1595" s="1"/>
  <c r="M102" i="1595"/>
  <c r="M108" i="1595" s="1"/>
  <c r="P108" i="1595"/>
  <c r="X60" i="1595"/>
  <c r="Z58" i="1595" s="1"/>
  <c r="AI63" i="1595"/>
  <c r="X63" i="1595"/>
  <c r="AL72" i="1595"/>
  <c r="AM72" i="1595" s="1"/>
  <c r="AL73" i="1595"/>
  <c r="AM73" i="1595" s="1"/>
  <c r="X83" i="1595"/>
  <c r="X92" i="1595"/>
  <c r="Z90" i="1595" s="1"/>
  <c r="AI91" i="1595"/>
  <c r="X91" i="1595"/>
  <c r="AJ91" i="1595"/>
  <c r="Q108" i="1595"/>
  <c r="U108" i="1595"/>
  <c r="X79" i="1595"/>
  <c r="AI79" i="1595"/>
  <c r="M36" i="1594"/>
  <c r="AH11" i="1595" l="1"/>
  <c r="AJ51" i="1595"/>
  <c r="AJ87" i="1595"/>
  <c r="AG51" i="1595"/>
  <c r="AD35" i="1595"/>
  <c r="AV35" i="1595" s="1"/>
  <c r="AG71" i="1595"/>
  <c r="AG91" i="1595"/>
  <c r="AD87" i="1595"/>
  <c r="AD89" i="1595" s="1"/>
  <c r="AJ71" i="1595"/>
  <c r="AD67" i="1595"/>
  <c r="AD69" i="1595" s="1"/>
  <c r="AG27" i="1595"/>
  <c r="AJ27" i="1595"/>
  <c r="AH87" i="1595"/>
  <c r="AV11" i="1595"/>
  <c r="AD13" i="1595"/>
  <c r="AD43" i="1595"/>
  <c r="AD45" i="1595" s="1"/>
  <c r="AG23" i="1595"/>
  <c r="AH31" i="1595"/>
  <c r="AD55" i="1595"/>
  <c r="AD57" i="1595" s="1"/>
  <c r="AG11" i="1595"/>
  <c r="AD79" i="1595"/>
  <c r="AD81" i="1595" s="1"/>
  <c r="AD83" i="1595"/>
  <c r="AV83" i="1595" s="1"/>
  <c r="AD25" i="1595"/>
  <c r="AV23" i="1595"/>
  <c r="AJ31" i="1595"/>
  <c r="AD85" i="1595"/>
  <c r="AD33" i="1595"/>
  <c r="AV75" i="1595"/>
  <c r="AG39" i="1595"/>
  <c r="AM36" i="1595"/>
  <c r="AJ23" i="1595"/>
  <c r="AG63" i="1595"/>
  <c r="AJ39" i="1595"/>
  <c r="AG43" i="1595"/>
  <c r="AH43" i="1595"/>
  <c r="AJ63" i="1595"/>
  <c r="AH79" i="1595"/>
  <c r="AG79" i="1595"/>
  <c r="AG83" i="1595"/>
  <c r="AH83" i="1595"/>
  <c r="AV19" i="1595"/>
  <c r="AG55" i="1595"/>
  <c r="AH55" i="1595"/>
  <c r="AJ79" i="1595"/>
  <c r="AD49" i="1595"/>
  <c r="AG75" i="1595"/>
  <c r="AH75" i="1595"/>
  <c r="AJ83" i="1595"/>
  <c r="AG67" i="1595"/>
  <c r="AH67" i="1595"/>
  <c r="AD93" i="1595"/>
  <c r="AV91" i="1595"/>
  <c r="AD53" i="1595"/>
  <c r="AV51" i="1595"/>
  <c r="AD41" i="1595"/>
  <c r="AV39" i="1595"/>
  <c r="AD9" i="1595"/>
  <c r="AV7" i="1595"/>
  <c r="AD17" i="1595"/>
  <c r="AV15" i="1595"/>
  <c r="AV59" i="1595"/>
  <c r="AD61" i="1595"/>
  <c r="AD65" i="1595"/>
  <c r="AV63" i="1595"/>
  <c r="AG47" i="1595"/>
  <c r="AH47" i="1595"/>
  <c r="AJ47" i="1595"/>
  <c r="AV87" i="1595"/>
  <c r="AD73" i="1595"/>
  <c r="AV71" i="1595"/>
  <c r="AH7" i="1595"/>
  <c r="AG7" i="1595"/>
  <c r="AD29" i="1595"/>
  <c r="AV27" i="1595"/>
  <c r="AI2" i="1595"/>
  <c r="AE35" i="1595"/>
  <c r="AF35" i="1595"/>
  <c r="AF4" i="1595" s="1"/>
  <c r="X6" i="1595"/>
  <c r="AQ4" i="1595"/>
  <c r="P36" i="1594"/>
  <c r="AD37" i="1595" l="1"/>
  <c r="AV67" i="1595"/>
  <c r="AV55" i="1595"/>
  <c r="AV43" i="1595"/>
  <c r="AV79" i="1595"/>
  <c r="AH35" i="1595"/>
  <c r="AH2" i="1595" s="1"/>
  <c r="AD2" i="1595" s="1"/>
  <c r="AG35" i="1595"/>
  <c r="AJ35" i="1595"/>
  <c r="O36" i="1594"/>
  <c r="N36" i="1594" l="1"/>
  <c r="G21" i="1594" l="1"/>
  <c r="G20" i="1594"/>
  <c r="G19" i="1594"/>
  <c r="G85" i="1594" l="1"/>
  <c r="G84" i="1594"/>
  <c r="G83" i="1594"/>
  <c r="J37" i="1594" l="1"/>
  <c r="AQ79" i="1594" l="1"/>
  <c r="X70" i="1594"/>
  <c r="AQ63" i="1594"/>
  <c r="X62" i="1594" s="1"/>
  <c r="AQ59" i="1594"/>
  <c r="X58" i="1594" s="1"/>
  <c r="AQ51" i="1594"/>
  <c r="X50" i="1594" s="1"/>
  <c r="AQ31" i="1594"/>
  <c r="AQ23" i="1594"/>
  <c r="X22" i="1594" s="1"/>
  <c r="AQ11" i="1594"/>
  <c r="X10" i="1594" s="1"/>
  <c r="AA97" i="1594"/>
  <c r="AA96" i="1594"/>
  <c r="AA95" i="1594"/>
  <c r="AA94" i="1594"/>
  <c r="AQ95" i="1594" s="1"/>
  <c r="AA93" i="1594"/>
  <c r="AA92" i="1594"/>
  <c r="AA91" i="1594"/>
  <c r="AA90" i="1594"/>
  <c r="AA89" i="1594"/>
  <c r="AA88" i="1594"/>
  <c r="AA87" i="1594"/>
  <c r="AA86" i="1594"/>
  <c r="AQ87" i="1594" s="1"/>
  <c r="AA85" i="1594"/>
  <c r="AA84" i="1594"/>
  <c r="AA83" i="1594"/>
  <c r="X83" i="1594" s="1"/>
  <c r="AA82" i="1594"/>
  <c r="AA81" i="1594"/>
  <c r="AA80" i="1594"/>
  <c r="AA79" i="1594"/>
  <c r="AA78" i="1594"/>
  <c r="AB78" i="1594" s="1"/>
  <c r="AA77" i="1594"/>
  <c r="AA76" i="1594"/>
  <c r="AA75" i="1594"/>
  <c r="AA74" i="1594"/>
  <c r="AQ75" i="1594" s="1"/>
  <c r="X74" i="1594" s="1"/>
  <c r="AA73" i="1594"/>
  <c r="AA72" i="1594"/>
  <c r="AA71" i="1594"/>
  <c r="AB71" i="1594" s="1"/>
  <c r="AA70" i="1594"/>
  <c r="AB70" i="1594" s="1"/>
  <c r="AA69" i="1594"/>
  <c r="AA68" i="1594"/>
  <c r="AA67" i="1594"/>
  <c r="X67" i="1594" s="1"/>
  <c r="AA66" i="1594"/>
  <c r="AQ67" i="1594" s="1"/>
  <c r="X66" i="1594" s="1"/>
  <c r="AA65" i="1594"/>
  <c r="AA64" i="1594"/>
  <c r="AA63" i="1594"/>
  <c r="AA62" i="1594"/>
  <c r="AB62" i="1594" s="1"/>
  <c r="AA61" i="1594"/>
  <c r="AA60" i="1594"/>
  <c r="AA59" i="1594"/>
  <c r="X59" i="1594" s="1"/>
  <c r="AA58" i="1594"/>
  <c r="AB58" i="1594" s="1"/>
  <c r="AA57" i="1594"/>
  <c r="AA56" i="1594"/>
  <c r="AA55" i="1594"/>
  <c r="AA54" i="1594"/>
  <c r="AQ55" i="1594" s="1"/>
  <c r="AA53" i="1594"/>
  <c r="AA52" i="1594"/>
  <c r="AA51" i="1594"/>
  <c r="Z53" i="1594" s="1"/>
  <c r="AA50" i="1594"/>
  <c r="AB50" i="1594" s="1"/>
  <c r="AA49" i="1594"/>
  <c r="AA48" i="1594"/>
  <c r="AA47" i="1594"/>
  <c r="AI47" i="1594" s="1"/>
  <c r="AA46" i="1594"/>
  <c r="AQ47" i="1594" s="1"/>
  <c r="X46" i="1594" s="1"/>
  <c r="AA45" i="1594"/>
  <c r="AA44" i="1594"/>
  <c r="AA43" i="1594"/>
  <c r="AB43" i="1594" s="1"/>
  <c r="AA42" i="1594"/>
  <c r="AA41" i="1594"/>
  <c r="AA40" i="1594"/>
  <c r="AA39" i="1594"/>
  <c r="AA38" i="1594"/>
  <c r="AA37" i="1594"/>
  <c r="AA36" i="1594"/>
  <c r="AA35" i="1594"/>
  <c r="AA34" i="1594"/>
  <c r="AQ35" i="1594" s="1"/>
  <c r="AA33" i="1594"/>
  <c r="AA32" i="1594"/>
  <c r="AA31" i="1594"/>
  <c r="AA30" i="1594"/>
  <c r="AB30" i="1594" s="1"/>
  <c r="AA29" i="1594"/>
  <c r="AA28" i="1594"/>
  <c r="AA27" i="1594"/>
  <c r="AA26" i="1594"/>
  <c r="AQ27" i="1594" s="1"/>
  <c r="AA25" i="1594"/>
  <c r="AA24" i="1594"/>
  <c r="AA23" i="1594"/>
  <c r="AI23" i="1594" s="1"/>
  <c r="AA22" i="1594"/>
  <c r="AB22" i="1594" s="1"/>
  <c r="AA21" i="1594"/>
  <c r="AA20" i="1594"/>
  <c r="AA19" i="1594"/>
  <c r="AB19" i="1594" s="1"/>
  <c r="AA18" i="1594"/>
  <c r="AA17" i="1594"/>
  <c r="AA16" i="1594"/>
  <c r="AA15" i="1594"/>
  <c r="Z17" i="1594" s="1"/>
  <c r="AA14" i="1594"/>
  <c r="AB14" i="1594" s="1"/>
  <c r="AA13" i="1594"/>
  <c r="AA12" i="1594"/>
  <c r="AA11" i="1594"/>
  <c r="AI11" i="1594" s="1"/>
  <c r="AA10" i="1594"/>
  <c r="AB10" i="1594" s="1"/>
  <c r="AA9" i="1594"/>
  <c r="AA8" i="1594"/>
  <c r="AA7" i="1594"/>
  <c r="AA6" i="1594"/>
  <c r="AQ7" i="1594" s="1"/>
  <c r="X78" i="1594"/>
  <c r="X72" i="1594"/>
  <c r="Z70" i="1594" s="1"/>
  <c r="X71" i="1594"/>
  <c r="X52" i="1594"/>
  <c r="Z50" i="1594" s="1"/>
  <c r="X51" i="1594"/>
  <c r="X30" i="1594"/>
  <c r="X24" i="1594"/>
  <c r="Z22" i="1594" s="1"/>
  <c r="X23" i="1594"/>
  <c r="X20" i="1594"/>
  <c r="Z18" i="1594" s="1"/>
  <c r="X19" i="1594"/>
  <c r="X12" i="1594"/>
  <c r="Z10" i="1594" s="1"/>
  <c r="X11" i="1594"/>
  <c r="W109" i="1594"/>
  <c r="V109" i="1594"/>
  <c r="V106" i="1594" s="1"/>
  <c r="U109" i="1594"/>
  <c r="U106" i="1594" s="1"/>
  <c r="W103" i="1594"/>
  <c r="V103" i="1594"/>
  <c r="U103" i="1594"/>
  <c r="T103" i="1594"/>
  <c r="S103" i="1594"/>
  <c r="R103" i="1594"/>
  <c r="Q103" i="1594"/>
  <c r="P103" i="1594"/>
  <c r="O103" i="1594"/>
  <c r="N103" i="1594"/>
  <c r="M103" i="1594"/>
  <c r="W101" i="1594"/>
  <c r="V101" i="1594"/>
  <c r="U101" i="1594"/>
  <c r="T101" i="1594"/>
  <c r="S101" i="1594"/>
  <c r="R101" i="1594"/>
  <c r="Q101" i="1594"/>
  <c r="P101" i="1594"/>
  <c r="O101" i="1594"/>
  <c r="N101" i="1594"/>
  <c r="M101" i="1594"/>
  <c r="W99" i="1594"/>
  <c r="V99" i="1594"/>
  <c r="U99" i="1594"/>
  <c r="T99" i="1594"/>
  <c r="S99" i="1594"/>
  <c r="R99" i="1594"/>
  <c r="Q99" i="1594"/>
  <c r="P99" i="1594"/>
  <c r="O99" i="1594"/>
  <c r="N99" i="1594"/>
  <c r="M99" i="1594"/>
  <c r="AK97" i="1594"/>
  <c r="AL97" i="1594" s="1"/>
  <c r="AH97" i="1594"/>
  <c r="AG97" i="1594"/>
  <c r="J97" i="1594"/>
  <c r="B97" i="1594"/>
  <c r="AH96" i="1594"/>
  <c r="AG96" i="1594"/>
  <c r="I96" i="1594"/>
  <c r="E96" i="1594"/>
  <c r="E97" i="1594" s="1"/>
  <c r="B96" i="1594"/>
  <c r="G95" i="1594"/>
  <c r="G96" i="1594" s="1"/>
  <c r="G97" i="1594" s="1"/>
  <c r="C95" i="1594"/>
  <c r="AH94" i="1594"/>
  <c r="AG94" i="1594"/>
  <c r="B94" i="1594"/>
  <c r="AK93" i="1594"/>
  <c r="AL93" i="1594" s="1"/>
  <c r="AH93" i="1594"/>
  <c r="AG93" i="1594"/>
  <c r="J93" i="1594"/>
  <c r="B93" i="1594"/>
  <c r="AH92" i="1594"/>
  <c r="AG92" i="1594"/>
  <c r="I92" i="1594"/>
  <c r="E92" i="1594"/>
  <c r="E93" i="1594" s="1"/>
  <c r="B92" i="1594"/>
  <c r="G91" i="1594"/>
  <c r="G92" i="1594" s="1"/>
  <c r="G93" i="1594" s="1"/>
  <c r="C91" i="1594"/>
  <c r="AH90" i="1594"/>
  <c r="AG90" i="1594"/>
  <c r="B90" i="1594"/>
  <c r="AK89" i="1594"/>
  <c r="AL89" i="1594" s="1"/>
  <c r="AH89" i="1594"/>
  <c r="AG89" i="1594"/>
  <c r="J89" i="1594"/>
  <c r="B89" i="1594"/>
  <c r="AH88" i="1594"/>
  <c r="AG88" i="1594"/>
  <c r="I88" i="1594"/>
  <c r="E88" i="1594"/>
  <c r="E89" i="1594" s="1"/>
  <c r="B88" i="1594"/>
  <c r="G87" i="1594"/>
  <c r="G88" i="1594" s="1"/>
  <c r="G89" i="1594" s="1"/>
  <c r="C87" i="1594"/>
  <c r="AH86" i="1594"/>
  <c r="AG86" i="1594"/>
  <c r="B86" i="1594"/>
  <c r="AK85" i="1594"/>
  <c r="AL85" i="1594" s="1"/>
  <c r="AH85" i="1594"/>
  <c r="AG85" i="1594"/>
  <c r="J85" i="1594"/>
  <c r="B85" i="1594"/>
  <c r="AH84" i="1594"/>
  <c r="AG84" i="1594"/>
  <c r="I84" i="1594"/>
  <c r="E84" i="1594"/>
  <c r="E85" i="1594" s="1"/>
  <c r="B84" i="1594"/>
  <c r="C83" i="1594"/>
  <c r="AH82" i="1594"/>
  <c r="AG82" i="1594"/>
  <c r="B82" i="1594"/>
  <c r="AK81" i="1594"/>
  <c r="AL80" i="1594" s="1"/>
  <c r="AH81" i="1594"/>
  <c r="AG81" i="1594"/>
  <c r="J81" i="1594"/>
  <c r="B81" i="1594"/>
  <c r="AH80" i="1594"/>
  <c r="AG80" i="1594"/>
  <c r="I80" i="1594"/>
  <c r="E80" i="1594"/>
  <c r="E81" i="1594" s="1"/>
  <c r="B80" i="1594"/>
  <c r="G79" i="1594"/>
  <c r="G80" i="1594" s="1"/>
  <c r="G81" i="1594" s="1"/>
  <c r="C79" i="1594"/>
  <c r="AH78" i="1594"/>
  <c r="AG78" i="1594"/>
  <c r="B78" i="1594"/>
  <c r="AK77" i="1594"/>
  <c r="AH77" i="1594"/>
  <c r="AG77" i="1594"/>
  <c r="J77" i="1594"/>
  <c r="B77" i="1594"/>
  <c r="AH76" i="1594"/>
  <c r="AG76" i="1594"/>
  <c r="I76" i="1594"/>
  <c r="E76" i="1594"/>
  <c r="E77" i="1594" s="1"/>
  <c r="B76" i="1594"/>
  <c r="G75" i="1594"/>
  <c r="G76" i="1594" s="1"/>
  <c r="G77" i="1594" s="1"/>
  <c r="C75" i="1594"/>
  <c r="AH74" i="1594"/>
  <c r="AG74" i="1594"/>
  <c r="B74" i="1594"/>
  <c r="AK73" i="1594"/>
  <c r="AL72" i="1594" s="1"/>
  <c r="AH73" i="1594"/>
  <c r="AG73" i="1594"/>
  <c r="J73" i="1594"/>
  <c r="B73" i="1594"/>
  <c r="AH72" i="1594"/>
  <c r="AG72" i="1594"/>
  <c r="I72" i="1594"/>
  <c r="E72" i="1594"/>
  <c r="E73" i="1594" s="1"/>
  <c r="B72" i="1594"/>
  <c r="G71" i="1594"/>
  <c r="G72" i="1594" s="1"/>
  <c r="G73" i="1594" s="1"/>
  <c r="C71" i="1594"/>
  <c r="AH70" i="1594"/>
  <c r="AG70" i="1594"/>
  <c r="B70" i="1594"/>
  <c r="AK69" i="1594"/>
  <c r="AH69" i="1594"/>
  <c r="AG69" i="1594"/>
  <c r="J69" i="1594"/>
  <c r="B69" i="1594"/>
  <c r="AH68" i="1594"/>
  <c r="AG68" i="1594"/>
  <c r="I68" i="1594"/>
  <c r="E68" i="1594"/>
  <c r="E69" i="1594" s="1"/>
  <c r="B68" i="1594"/>
  <c r="G67" i="1594"/>
  <c r="G68" i="1594" s="1"/>
  <c r="G69" i="1594" s="1"/>
  <c r="C67" i="1594"/>
  <c r="AH66" i="1594"/>
  <c r="AG66" i="1594"/>
  <c r="B66" i="1594"/>
  <c r="AK65" i="1594"/>
  <c r="AL64" i="1594" s="1"/>
  <c r="AH65" i="1594"/>
  <c r="AG65" i="1594"/>
  <c r="J65" i="1594"/>
  <c r="B65" i="1594"/>
  <c r="AH64" i="1594"/>
  <c r="AG64" i="1594"/>
  <c r="I64" i="1594"/>
  <c r="E64" i="1594"/>
  <c r="E65" i="1594" s="1"/>
  <c r="B64" i="1594"/>
  <c r="G63" i="1594"/>
  <c r="G64" i="1594" s="1"/>
  <c r="G65" i="1594" s="1"/>
  <c r="C63" i="1594"/>
  <c r="AH62" i="1594"/>
  <c r="AG62" i="1594"/>
  <c r="B62" i="1594"/>
  <c r="AK61" i="1594"/>
  <c r="J61" i="1594"/>
  <c r="B61" i="1594"/>
  <c r="AE59" i="1594"/>
  <c r="I60" i="1594"/>
  <c r="E60" i="1594"/>
  <c r="E61" i="1594" s="1"/>
  <c r="B60" i="1594"/>
  <c r="B58" i="1594"/>
  <c r="AK57" i="1594"/>
  <c r="AL57" i="1594" s="1"/>
  <c r="AH57" i="1594"/>
  <c r="AG57" i="1594"/>
  <c r="J57" i="1594"/>
  <c r="B57" i="1594"/>
  <c r="AH56" i="1594"/>
  <c r="AG56" i="1594"/>
  <c r="I56" i="1594"/>
  <c r="E56" i="1594"/>
  <c r="E57" i="1594" s="1"/>
  <c r="B56" i="1594"/>
  <c r="G55" i="1594"/>
  <c r="G56" i="1594" s="1"/>
  <c r="G57" i="1594" s="1"/>
  <c r="C55" i="1594"/>
  <c r="AH54" i="1594"/>
  <c r="AG54" i="1594"/>
  <c r="B54" i="1594"/>
  <c r="AK53" i="1594"/>
  <c r="AH53" i="1594"/>
  <c r="AG53" i="1594"/>
  <c r="J53" i="1594"/>
  <c r="B53" i="1594"/>
  <c r="AH52" i="1594"/>
  <c r="AG52" i="1594"/>
  <c r="I52" i="1594"/>
  <c r="E52" i="1594"/>
  <c r="E53" i="1594" s="1"/>
  <c r="B52" i="1594"/>
  <c r="G51" i="1594"/>
  <c r="G52" i="1594" s="1"/>
  <c r="G53" i="1594" s="1"/>
  <c r="C51" i="1594"/>
  <c r="AH50" i="1594"/>
  <c r="AG50" i="1594"/>
  <c r="B50" i="1594"/>
  <c r="AK49" i="1594"/>
  <c r="AL48" i="1594" s="1"/>
  <c r="AH49" i="1594"/>
  <c r="AG49" i="1594"/>
  <c r="J49" i="1594"/>
  <c r="B49" i="1594"/>
  <c r="AH48" i="1594"/>
  <c r="AG48" i="1594"/>
  <c r="I48" i="1594"/>
  <c r="E48" i="1594"/>
  <c r="E49" i="1594" s="1"/>
  <c r="B48" i="1594"/>
  <c r="G47" i="1594"/>
  <c r="G48" i="1594" s="1"/>
  <c r="G49" i="1594" s="1"/>
  <c r="C47" i="1594"/>
  <c r="AH46" i="1594"/>
  <c r="AG46" i="1594"/>
  <c r="B46" i="1594"/>
  <c r="AK45" i="1594"/>
  <c r="AH45" i="1594"/>
  <c r="AG45" i="1594"/>
  <c r="J45" i="1594"/>
  <c r="B45" i="1594"/>
  <c r="AH44" i="1594"/>
  <c r="AG44" i="1594"/>
  <c r="I44" i="1594"/>
  <c r="E44" i="1594"/>
  <c r="E45" i="1594" s="1"/>
  <c r="B44" i="1594"/>
  <c r="G43" i="1594"/>
  <c r="G44" i="1594" s="1"/>
  <c r="G45" i="1594" s="1"/>
  <c r="C43" i="1594"/>
  <c r="AH42" i="1594"/>
  <c r="AG42" i="1594"/>
  <c r="B42" i="1594"/>
  <c r="AK41" i="1594"/>
  <c r="AL40" i="1594" s="1"/>
  <c r="AH41" i="1594"/>
  <c r="AG41" i="1594"/>
  <c r="J41" i="1594"/>
  <c r="B41" i="1594"/>
  <c r="AH40" i="1594"/>
  <c r="AG40" i="1594"/>
  <c r="I40" i="1594"/>
  <c r="E40" i="1594"/>
  <c r="E41" i="1594" s="1"/>
  <c r="B40" i="1594"/>
  <c r="G39" i="1594"/>
  <c r="G40" i="1594" s="1"/>
  <c r="G41" i="1594" s="1"/>
  <c r="C39" i="1594"/>
  <c r="AH38" i="1594"/>
  <c r="AG38" i="1594"/>
  <c r="B38" i="1594"/>
  <c r="AK37" i="1594"/>
  <c r="AL37" i="1594" s="1"/>
  <c r="AH37" i="1594"/>
  <c r="AG37" i="1594"/>
  <c r="B37" i="1594"/>
  <c r="AH36" i="1594"/>
  <c r="AG36" i="1594"/>
  <c r="T109" i="1594"/>
  <c r="S109" i="1594"/>
  <c r="R109" i="1594"/>
  <c r="Q109" i="1594"/>
  <c r="P109" i="1594"/>
  <c r="O109" i="1594"/>
  <c r="N109" i="1594"/>
  <c r="M109" i="1594"/>
  <c r="I36" i="1594"/>
  <c r="E36" i="1594"/>
  <c r="E37" i="1594" s="1"/>
  <c r="B36" i="1594"/>
  <c r="G35" i="1594"/>
  <c r="G36" i="1594" s="1"/>
  <c r="G37" i="1594" s="1"/>
  <c r="C35" i="1594"/>
  <c r="AH34" i="1594"/>
  <c r="AG34" i="1594"/>
  <c r="B34" i="1594"/>
  <c r="AK33" i="1594"/>
  <c r="AL32" i="1594" s="1"/>
  <c r="AH33" i="1594"/>
  <c r="AG33" i="1594"/>
  <c r="J33" i="1594"/>
  <c r="B33" i="1594"/>
  <c r="AH32" i="1594"/>
  <c r="AG32" i="1594"/>
  <c r="I32" i="1594"/>
  <c r="E32" i="1594"/>
  <c r="E33" i="1594" s="1"/>
  <c r="B32" i="1594"/>
  <c r="G31" i="1594"/>
  <c r="G32" i="1594" s="1"/>
  <c r="G33" i="1594" s="1"/>
  <c r="C31" i="1594"/>
  <c r="AH30" i="1594"/>
  <c r="AG30" i="1594"/>
  <c r="B30" i="1594"/>
  <c r="AK29" i="1594"/>
  <c r="AL28" i="1594" s="1"/>
  <c r="AH29" i="1594"/>
  <c r="AG29" i="1594"/>
  <c r="J29" i="1594"/>
  <c r="B29" i="1594"/>
  <c r="AH28" i="1594"/>
  <c r="AG28" i="1594"/>
  <c r="I28" i="1594"/>
  <c r="E28" i="1594"/>
  <c r="E29" i="1594" s="1"/>
  <c r="B28" i="1594"/>
  <c r="G27" i="1594"/>
  <c r="G28" i="1594" s="1"/>
  <c r="G29" i="1594" s="1"/>
  <c r="C27" i="1594"/>
  <c r="AH26" i="1594"/>
  <c r="AG26" i="1594"/>
  <c r="B26" i="1594"/>
  <c r="AK25" i="1594"/>
  <c r="AL24" i="1594" s="1"/>
  <c r="AM24" i="1594" s="1"/>
  <c r="AH25" i="1594"/>
  <c r="AG25" i="1594"/>
  <c r="J25" i="1594"/>
  <c r="B25" i="1594"/>
  <c r="AH24" i="1594"/>
  <c r="AG24" i="1594"/>
  <c r="I24" i="1594"/>
  <c r="E24" i="1594"/>
  <c r="E25" i="1594" s="1"/>
  <c r="B24" i="1594"/>
  <c r="G23" i="1594"/>
  <c r="G24" i="1594" s="1"/>
  <c r="G25" i="1594" s="1"/>
  <c r="C23" i="1594"/>
  <c r="AH22" i="1594"/>
  <c r="AG22" i="1594"/>
  <c r="B22" i="1594"/>
  <c r="AK21" i="1594"/>
  <c r="J21" i="1594"/>
  <c r="B21" i="1594"/>
  <c r="I20" i="1594"/>
  <c r="E20" i="1594"/>
  <c r="E21" i="1594" s="1"/>
  <c r="B20" i="1594"/>
  <c r="B18" i="1594"/>
  <c r="AK17" i="1594"/>
  <c r="AL16" i="1594" s="1"/>
  <c r="AH17" i="1594"/>
  <c r="AG17" i="1594"/>
  <c r="J17" i="1594"/>
  <c r="B17" i="1594"/>
  <c r="AH16" i="1594"/>
  <c r="AG16" i="1594"/>
  <c r="B16" i="1594"/>
  <c r="G15" i="1594"/>
  <c r="G16" i="1594" s="1"/>
  <c r="G17" i="1594" s="1"/>
  <c r="C15" i="1594"/>
  <c r="AH14" i="1594"/>
  <c r="AG14" i="1594"/>
  <c r="B14" i="1594"/>
  <c r="AK13" i="1594"/>
  <c r="AL13" i="1594" s="1"/>
  <c r="AH13" i="1594"/>
  <c r="AG13" i="1594"/>
  <c r="J13" i="1594"/>
  <c r="B13" i="1594"/>
  <c r="AH12" i="1594"/>
  <c r="AG12" i="1594"/>
  <c r="I12" i="1594"/>
  <c r="E12" i="1594"/>
  <c r="E13" i="1594" s="1"/>
  <c r="B12" i="1594"/>
  <c r="G11" i="1594"/>
  <c r="G12" i="1594" s="1"/>
  <c r="G13" i="1594" s="1"/>
  <c r="C11" i="1594"/>
  <c r="AH10" i="1594"/>
  <c r="AG10" i="1594"/>
  <c r="B10" i="1594"/>
  <c r="AK9" i="1594"/>
  <c r="AL9" i="1594" s="1"/>
  <c r="AH9" i="1594"/>
  <c r="AG9" i="1594"/>
  <c r="J9" i="1594"/>
  <c r="G9" i="1594"/>
  <c r="B9" i="1594"/>
  <c r="AH8" i="1594"/>
  <c r="AG8" i="1594"/>
  <c r="I8" i="1594"/>
  <c r="G8" i="1594"/>
  <c r="E8" i="1594"/>
  <c r="E9" i="1594" s="1"/>
  <c r="B8" i="1594"/>
  <c r="G7" i="1594"/>
  <c r="C7" i="1594"/>
  <c r="AH6" i="1594"/>
  <c r="AG6" i="1594"/>
  <c r="B6" i="1594"/>
  <c r="AD4" i="1594"/>
  <c r="B9" i="1579"/>
  <c r="B10" i="1579"/>
  <c r="AB38" i="1594" l="1"/>
  <c r="AQ39" i="1594"/>
  <c r="AQ43" i="1594"/>
  <c r="X42" i="1594" s="1"/>
  <c r="AQ83" i="1594"/>
  <c r="X82" i="1594" s="1"/>
  <c r="AQ91" i="1594"/>
  <c r="X90" i="1594" s="1"/>
  <c r="AF63" i="1594"/>
  <c r="AH63" i="1594" s="1"/>
  <c r="AB94" i="1594"/>
  <c r="AL29" i="1594"/>
  <c r="AM29" i="1594" s="1"/>
  <c r="AF75" i="1594"/>
  <c r="AG75" i="1594" s="1"/>
  <c r="AL73" i="1594"/>
  <c r="AM73" i="1594" s="1"/>
  <c r="X6" i="1594"/>
  <c r="X68" i="1594"/>
  <c r="Z66" i="1594" s="1"/>
  <c r="X76" i="1594"/>
  <c r="Z74" i="1594" s="1"/>
  <c r="AB54" i="1594"/>
  <c r="X55" i="1594"/>
  <c r="AB82" i="1594"/>
  <c r="Z85" i="1594"/>
  <c r="X60" i="1594"/>
  <c r="Z58" i="1594" s="1"/>
  <c r="X15" i="1594"/>
  <c r="X8" i="1594"/>
  <c r="Z6" i="1594" s="1"/>
  <c r="X36" i="1594"/>
  <c r="Z34" i="1594" s="1"/>
  <c r="X75" i="1594"/>
  <c r="AB18" i="1594"/>
  <c r="AD19" i="1594" s="1"/>
  <c r="AQ19" i="1594"/>
  <c r="AL17" i="1594"/>
  <c r="AM17" i="1594" s="1"/>
  <c r="X27" i="1594"/>
  <c r="X40" i="1594"/>
  <c r="Z38" i="1594" s="1"/>
  <c r="X84" i="1594"/>
  <c r="Z82" i="1594" s="1"/>
  <c r="X7" i="1594"/>
  <c r="X16" i="1594"/>
  <c r="Z14" i="1594" s="1"/>
  <c r="X28" i="1594"/>
  <c r="Z26" i="1594" s="1"/>
  <c r="X31" i="1594"/>
  <c r="X39" i="1594"/>
  <c r="X44" i="1594"/>
  <c r="Z42" i="1594" s="1"/>
  <c r="X47" i="1594"/>
  <c r="X64" i="1594"/>
  <c r="Z62" i="1594" s="1"/>
  <c r="X79" i="1594"/>
  <c r="X87" i="1594"/>
  <c r="X92" i="1594"/>
  <c r="Z90" i="1594" s="1"/>
  <c r="X95" i="1594"/>
  <c r="AQ15" i="1594"/>
  <c r="AL8" i="1594"/>
  <c r="AM8" i="1594" s="1"/>
  <c r="X43" i="1594"/>
  <c r="X88" i="1594"/>
  <c r="Z86" i="1594" s="1"/>
  <c r="AL84" i="1594"/>
  <c r="AM84" i="1594" s="1"/>
  <c r="X35" i="1594"/>
  <c r="X48" i="1594"/>
  <c r="Z46" i="1594" s="1"/>
  <c r="X56" i="1594"/>
  <c r="Z54" i="1594" s="1"/>
  <c r="X63" i="1594"/>
  <c r="X80" i="1594"/>
  <c r="Z78" i="1594" s="1"/>
  <c r="X91" i="1594"/>
  <c r="AB7" i="1594"/>
  <c r="Z33" i="1594"/>
  <c r="X32" i="1594"/>
  <c r="Z30" i="1594" s="1"/>
  <c r="AE95" i="1594"/>
  <c r="AB79" i="1594"/>
  <c r="AD79" i="1594" s="1"/>
  <c r="AI63" i="1594"/>
  <c r="AB27" i="1594"/>
  <c r="X26" i="1594"/>
  <c r="X34" i="1594"/>
  <c r="X96" i="1594"/>
  <c r="Z94" i="1594" s="1"/>
  <c r="Z97" i="1594"/>
  <c r="AL41" i="1594"/>
  <c r="AM41" i="1594" s="1"/>
  <c r="AL96" i="1594"/>
  <c r="AM96" i="1594" s="1"/>
  <c r="AL56" i="1594"/>
  <c r="AM56" i="1594" s="1"/>
  <c r="AL65" i="1594"/>
  <c r="AM65" i="1594" s="1"/>
  <c r="AF71" i="1594"/>
  <c r="AH71" i="1594" s="1"/>
  <c r="AL88" i="1594"/>
  <c r="AM88" i="1594" s="1"/>
  <c r="AE87" i="1594"/>
  <c r="AL12" i="1594"/>
  <c r="AM12" i="1594" s="1"/>
  <c r="AE11" i="1594"/>
  <c r="AE43" i="1594"/>
  <c r="AL81" i="1594"/>
  <c r="AM81" i="1594" s="1"/>
  <c r="AM40" i="1594"/>
  <c r="AB47" i="1594"/>
  <c r="AF51" i="1594"/>
  <c r="AH51" i="1594" s="1"/>
  <c r="AF91" i="1594"/>
  <c r="AG91" i="1594" s="1"/>
  <c r="AF87" i="1594"/>
  <c r="AH87" i="1594" s="1"/>
  <c r="AE55" i="1594"/>
  <c r="AE19" i="1594"/>
  <c r="AF43" i="1594"/>
  <c r="AG43" i="1594" s="1"/>
  <c r="AB6" i="1594"/>
  <c r="AE51" i="1594"/>
  <c r="AE71" i="1594"/>
  <c r="AM72" i="1594"/>
  <c r="AB74" i="1594"/>
  <c r="AF79" i="1594"/>
  <c r="AH79" i="1594" s="1"/>
  <c r="AE91" i="1594"/>
  <c r="AM93" i="1594"/>
  <c r="AB95" i="1594"/>
  <c r="AM16" i="1594"/>
  <c r="AF15" i="1594"/>
  <c r="AH15" i="1594" s="1"/>
  <c r="AM32" i="1594"/>
  <c r="AF67" i="1594"/>
  <c r="AH67" i="1594" s="1"/>
  <c r="AE7" i="1594"/>
  <c r="AE27" i="1594"/>
  <c r="AF7" i="1594"/>
  <c r="AG7" i="1594" s="1"/>
  <c r="AE31" i="1594"/>
  <c r="AM48" i="1594"/>
  <c r="AB63" i="1594"/>
  <c r="AD63" i="1594" s="1"/>
  <c r="AB90" i="1594"/>
  <c r="AI55" i="1594"/>
  <c r="AA4" i="1594"/>
  <c r="AF27" i="1594"/>
  <c r="AG27" i="1594" s="1"/>
  <c r="AM28" i="1594"/>
  <c r="AE39" i="1594"/>
  <c r="AB42" i="1594"/>
  <c r="AD43" i="1594" s="1"/>
  <c r="AD45" i="1594" s="1"/>
  <c r="AB55" i="1594"/>
  <c r="Z57" i="1594"/>
  <c r="AM57" i="1594"/>
  <c r="AE63" i="1594"/>
  <c r="AB66" i="1594"/>
  <c r="AI71" i="1594"/>
  <c r="AE79" i="1594"/>
  <c r="AB83" i="1594"/>
  <c r="AM85" i="1594"/>
  <c r="AB87" i="1594"/>
  <c r="AI87" i="1594"/>
  <c r="AF95" i="1594"/>
  <c r="AJ95" i="1594" s="1"/>
  <c r="AM97" i="1594"/>
  <c r="Z101" i="1594"/>
  <c r="AF23" i="1594"/>
  <c r="AG23" i="1594" s="1"/>
  <c r="Z45" i="1594"/>
  <c r="AF55" i="1594"/>
  <c r="AG63" i="1594"/>
  <c r="AF83" i="1594"/>
  <c r="AJ83" i="1594" s="1"/>
  <c r="Z89" i="1594"/>
  <c r="Z99" i="1594"/>
  <c r="AM9" i="1594"/>
  <c r="AM13" i="1594"/>
  <c r="AB26" i="1594"/>
  <c r="AB34" i="1594"/>
  <c r="AM37" i="1594"/>
  <c r="AF39" i="1594"/>
  <c r="AH39" i="1594" s="1"/>
  <c r="AM64" i="1594"/>
  <c r="AD71" i="1594"/>
  <c r="AV71" i="1594" s="1"/>
  <c r="AI79" i="1594"/>
  <c r="AM80" i="1594"/>
  <c r="AI83" i="1594"/>
  <c r="AM89" i="1594"/>
  <c r="AI95" i="1594"/>
  <c r="AF11" i="1594"/>
  <c r="AJ11" i="1594" s="1"/>
  <c r="AE15" i="1594"/>
  <c r="AB31" i="1594"/>
  <c r="AD31" i="1594" s="1"/>
  <c r="M106" i="1594"/>
  <c r="M112" i="1594" s="1"/>
  <c r="Q106" i="1594"/>
  <c r="Q112" i="1594" s="1"/>
  <c r="AL36" i="1594"/>
  <c r="AI43" i="1594"/>
  <c r="AI51" i="1594"/>
  <c r="AB51" i="1594"/>
  <c r="AD51" i="1594" s="1"/>
  <c r="X54" i="1594"/>
  <c r="Z37" i="1594"/>
  <c r="AB35" i="1594"/>
  <c r="N106" i="1594"/>
  <c r="N112" i="1594" s="1"/>
  <c r="R106" i="1594"/>
  <c r="R112" i="1594" s="1"/>
  <c r="AL45" i="1594"/>
  <c r="AM45" i="1594" s="1"/>
  <c r="AL44" i="1594"/>
  <c r="AM44" i="1594" s="1"/>
  <c r="AL49" i="1594"/>
  <c r="AM49" i="1594" s="1"/>
  <c r="AB11" i="1594"/>
  <c r="AD11" i="1594" s="1"/>
  <c r="AB23" i="1594"/>
  <c r="AD23" i="1594" s="1"/>
  <c r="AF31" i="1594"/>
  <c r="AL33" i="1594"/>
  <c r="AM33" i="1594" s="1"/>
  <c r="AI35" i="1594"/>
  <c r="O106" i="1594"/>
  <c r="O112" i="1594" s="1"/>
  <c r="S106" i="1594"/>
  <c r="S112" i="1594" s="1"/>
  <c r="AB46" i="1594"/>
  <c r="AF47" i="1594"/>
  <c r="AJ47" i="1594" s="1"/>
  <c r="AE47" i="1594"/>
  <c r="AL53" i="1594"/>
  <c r="AM53" i="1594" s="1"/>
  <c r="AL52" i="1594"/>
  <c r="AM52" i="1594" s="1"/>
  <c r="AI7" i="1594"/>
  <c r="AB15" i="1594"/>
  <c r="AD15" i="1594" s="1"/>
  <c r="AI15" i="1594"/>
  <c r="AE23" i="1594"/>
  <c r="AL25" i="1594"/>
  <c r="AM25" i="1594" s="1"/>
  <c r="AI27" i="1594"/>
  <c r="AI31" i="1594"/>
  <c r="P106" i="1594"/>
  <c r="P112" i="1594" s="1"/>
  <c r="T106" i="1594"/>
  <c r="T112" i="1594" s="1"/>
  <c r="AB39" i="1594"/>
  <c r="AD39" i="1594" s="1"/>
  <c r="AI39" i="1594"/>
  <c r="V112" i="1594"/>
  <c r="Z69" i="1594"/>
  <c r="AB67" i="1594"/>
  <c r="AI67" i="1594"/>
  <c r="AB59" i="1594"/>
  <c r="AD59" i="1594" s="1"/>
  <c r="AJ63" i="1594"/>
  <c r="AE67" i="1594"/>
  <c r="AL77" i="1594"/>
  <c r="AM77" i="1594" s="1"/>
  <c r="AL76" i="1594"/>
  <c r="AM76" i="1594" s="1"/>
  <c r="AE83" i="1594"/>
  <c r="AI91" i="1594"/>
  <c r="Z93" i="1594"/>
  <c r="AB91" i="1594"/>
  <c r="X94" i="1594"/>
  <c r="W106" i="1594"/>
  <c r="W112" i="1594" s="1"/>
  <c r="Z77" i="1594"/>
  <c r="AB75" i="1594"/>
  <c r="AI75" i="1594"/>
  <c r="AB86" i="1594"/>
  <c r="X86" i="1594"/>
  <c r="AL69" i="1594"/>
  <c r="AM69" i="1594" s="1"/>
  <c r="AL68" i="1594"/>
  <c r="AM68" i="1594" s="1"/>
  <c r="AE75" i="1594"/>
  <c r="U112" i="1594"/>
  <c r="AL92" i="1594"/>
  <c r="AM92" i="1594" s="1"/>
  <c r="T36" i="1593"/>
  <c r="S36" i="1593"/>
  <c r="B7" i="1579"/>
  <c r="B8" i="1579"/>
  <c r="F9" i="1579"/>
  <c r="F10" i="1579"/>
  <c r="C10" i="1579" l="1"/>
  <c r="C9" i="1579"/>
  <c r="P9" i="1579"/>
  <c r="O9" i="1579"/>
  <c r="K10" i="1579"/>
  <c r="K9" i="1579"/>
  <c r="J10" i="1579"/>
  <c r="J9" i="1579"/>
  <c r="B15" i="1579"/>
  <c r="AD55" i="1594"/>
  <c r="AD57" i="1594" s="1"/>
  <c r="AD95" i="1594"/>
  <c r="AV95" i="1594" s="1"/>
  <c r="AQ4" i="1594"/>
  <c r="AJ75" i="1594"/>
  <c r="AH75" i="1594"/>
  <c r="X38" i="1594"/>
  <c r="X14" i="1594"/>
  <c r="X18" i="1594"/>
  <c r="AD83" i="1594"/>
  <c r="AD85" i="1594" s="1"/>
  <c r="AH91" i="1594"/>
  <c r="AJ51" i="1594"/>
  <c r="AJ91" i="1594"/>
  <c r="AJ67" i="1594"/>
  <c r="AD47" i="1594"/>
  <c r="AV47" i="1594" s="1"/>
  <c r="AJ27" i="1594"/>
  <c r="AG71" i="1594"/>
  <c r="AG15" i="1594"/>
  <c r="AJ71" i="1594"/>
  <c r="AD7" i="1594"/>
  <c r="AV7" i="1594" s="1"/>
  <c r="AH43" i="1594"/>
  <c r="AJ43" i="1594"/>
  <c r="AV43" i="1594"/>
  <c r="AD27" i="1594"/>
  <c r="AV27" i="1594" s="1"/>
  <c r="AG67" i="1594"/>
  <c r="AG51" i="1594"/>
  <c r="AD67" i="1594"/>
  <c r="AD69" i="1594" s="1"/>
  <c r="AJ79" i="1594"/>
  <c r="AG79" i="1594"/>
  <c r="AD73" i="1594"/>
  <c r="AJ87" i="1594"/>
  <c r="AG87" i="1594"/>
  <c r="AD75" i="1594"/>
  <c r="AD77" i="1594" s="1"/>
  <c r="AD35" i="1594"/>
  <c r="AV35" i="1594" s="1"/>
  <c r="AD91" i="1594"/>
  <c r="AD93" i="1594" s="1"/>
  <c r="AJ23" i="1594"/>
  <c r="AH7" i="1594"/>
  <c r="AJ7" i="1594"/>
  <c r="AH23" i="1594"/>
  <c r="AG39" i="1594"/>
  <c r="AJ39" i="1594"/>
  <c r="AJ15" i="1594"/>
  <c r="AG55" i="1594"/>
  <c r="AH55" i="1594"/>
  <c r="AD87" i="1594"/>
  <c r="AV87" i="1594" s="1"/>
  <c r="AH95" i="1594"/>
  <c r="AG95" i="1594"/>
  <c r="AH27" i="1594"/>
  <c r="AM36" i="1594"/>
  <c r="AH83" i="1594"/>
  <c r="AG83" i="1594"/>
  <c r="AJ55" i="1594"/>
  <c r="AV59" i="1594"/>
  <c r="AD61" i="1594"/>
  <c r="AV15" i="1594"/>
  <c r="AD17" i="1594"/>
  <c r="AD13" i="1594"/>
  <c r="AV11" i="1594"/>
  <c r="AD25" i="1594"/>
  <c r="AV23" i="1594"/>
  <c r="AV39" i="1594"/>
  <c r="AD41" i="1594"/>
  <c r="AD53" i="1594"/>
  <c r="AV51" i="1594"/>
  <c r="AG31" i="1594"/>
  <c r="AJ31" i="1594"/>
  <c r="AH31" i="1594"/>
  <c r="AE35" i="1594"/>
  <c r="AF35" i="1594"/>
  <c r="AD81" i="1594"/>
  <c r="AV79" i="1594"/>
  <c r="AD33" i="1594"/>
  <c r="AV31" i="1594"/>
  <c r="AD65" i="1594"/>
  <c r="AV63" i="1594"/>
  <c r="AI2" i="1594"/>
  <c r="AH47" i="1594"/>
  <c r="AG47" i="1594"/>
  <c r="AG11" i="1594"/>
  <c r="AH11" i="1594"/>
  <c r="AD21" i="1594"/>
  <c r="AV19" i="1594"/>
  <c r="R36" i="1593"/>
  <c r="F8" i="1579"/>
  <c r="F7" i="1579"/>
  <c r="C7" i="1579" l="1"/>
  <c r="C8" i="1579"/>
  <c r="P7" i="1579"/>
  <c r="O7" i="1579"/>
  <c r="K8" i="1579"/>
  <c r="K7" i="1579"/>
  <c r="J8" i="1579"/>
  <c r="J7" i="1579"/>
  <c r="F15" i="1579"/>
  <c r="AV55" i="1594"/>
  <c r="AD97" i="1594"/>
  <c r="AD9" i="1594"/>
  <c r="AV83" i="1594"/>
  <c r="AD37" i="1594"/>
  <c r="AD49" i="1594"/>
  <c r="AV67" i="1594"/>
  <c r="AD29" i="1594"/>
  <c r="AV91" i="1594"/>
  <c r="AD89" i="1594"/>
  <c r="AV75" i="1594"/>
  <c r="AG35" i="1594"/>
  <c r="AH35" i="1594"/>
  <c r="AH2" i="1594" s="1"/>
  <c r="AD2" i="1594" s="1"/>
  <c r="AJ35" i="1594"/>
  <c r="AF4" i="1594"/>
  <c r="Q36" i="1593"/>
  <c r="C15" i="1579" l="1"/>
  <c r="P36" i="1593"/>
  <c r="O36" i="1593" l="1"/>
  <c r="N36" i="1593"/>
  <c r="AK89" i="1593" l="1"/>
  <c r="AL88" i="1593" s="1"/>
  <c r="AH89" i="1593"/>
  <c r="AG89" i="1593"/>
  <c r="AA89" i="1593"/>
  <c r="J89" i="1593"/>
  <c r="B89" i="1593"/>
  <c r="AH88" i="1593"/>
  <c r="AG88" i="1593"/>
  <c r="AA88" i="1593"/>
  <c r="I88" i="1593"/>
  <c r="E88" i="1593"/>
  <c r="E89" i="1593" s="1"/>
  <c r="B88" i="1593"/>
  <c r="AA87" i="1593"/>
  <c r="AB87" i="1593" s="1"/>
  <c r="C87" i="1593"/>
  <c r="AH86" i="1593"/>
  <c r="AG86" i="1593"/>
  <c r="AA86" i="1593"/>
  <c r="AB86" i="1593" s="1"/>
  <c r="X86" i="1593"/>
  <c r="B86" i="1593"/>
  <c r="AD87" i="1593" l="1"/>
  <c r="AD89" i="1593" s="1"/>
  <c r="AF87" i="1593"/>
  <c r="AH87" i="1593" s="1"/>
  <c r="AI87" i="1593"/>
  <c r="Z89" i="1593"/>
  <c r="AM88" i="1593"/>
  <c r="AE87" i="1593"/>
  <c r="AL89" i="1593"/>
  <c r="AM89" i="1593" s="1"/>
  <c r="X88" i="1593"/>
  <c r="Z86" i="1593" s="1"/>
  <c r="J73" i="1593"/>
  <c r="AV87" i="1593" l="1"/>
  <c r="AJ87" i="1593"/>
  <c r="AG87" i="1593"/>
  <c r="M36" i="1593"/>
  <c r="J101" i="1593" l="1"/>
  <c r="J17" i="1593"/>
  <c r="J81" i="1593"/>
  <c r="J29" i="1593"/>
  <c r="AA101" i="1593" l="1"/>
  <c r="AA100" i="1593"/>
  <c r="AA99" i="1593"/>
  <c r="AA98" i="1593"/>
  <c r="AB98" i="1593" s="1"/>
  <c r="AA97" i="1593"/>
  <c r="AA96" i="1593"/>
  <c r="AA95" i="1593"/>
  <c r="AA94" i="1593"/>
  <c r="AB94" i="1593" s="1"/>
  <c r="AA93" i="1593"/>
  <c r="AA92" i="1593"/>
  <c r="AA91" i="1593"/>
  <c r="AA90" i="1593"/>
  <c r="AA85" i="1593"/>
  <c r="AA84" i="1593"/>
  <c r="AA83" i="1593"/>
  <c r="X87" i="1593" s="1"/>
  <c r="AA82" i="1593"/>
  <c r="AB82" i="1593" s="1"/>
  <c r="AA81" i="1593"/>
  <c r="AA80" i="1593"/>
  <c r="AA79" i="1593"/>
  <c r="AA78" i="1593"/>
  <c r="AQ79" i="1593" s="1"/>
  <c r="AA77" i="1593"/>
  <c r="AA76" i="1593"/>
  <c r="AA75" i="1593"/>
  <c r="X75" i="1593" s="1"/>
  <c r="AA74" i="1593"/>
  <c r="AB74" i="1593" s="1"/>
  <c r="AA73" i="1593"/>
  <c r="AA72" i="1593"/>
  <c r="AA71" i="1593"/>
  <c r="X71" i="1593" s="1"/>
  <c r="AA70" i="1593"/>
  <c r="AB70" i="1593" s="1"/>
  <c r="AA69" i="1593"/>
  <c r="AA68" i="1593"/>
  <c r="AA67" i="1593"/>
  <c r="AA66" i="1593"/>
  <c r="AB66" i="1593" s="1"/>
  <c r="AA65" i="1593"/>
  <c r="AA64" i="1593"/>
  <c r="AA63" i="1593"/>
  <c r="AB63" i="1593" s="1"/>
  <c r="AA62" i="1593"/>
  <c r="AB62" i="1593" s="1"/>
  <c r="AA61" i="1593"/>
  <c r="AA60" i="1593"/>
  <c r="AA59" i="1593"/>
  <c r="AA58" i="1593"/>
  <c r="AB58" i="1593" s="1"/>
  <c r="AA57" i="1593"/>
  <c r="AA56" i="1593"/>
  <c r="AA55" i="1593"/>
  <c r="AI55" i="1593" s="1"/>
  <c r="AA54" i="1593"/>
  <c r="AB54" i="1593" s="1"/>
  <c r="AA53" i="1593"/>
  <c r="AA52" i="1593"/>
  <c r="AA51" i="1593"/>
  <c r="AI51" i="1593" s="1"/>
  <c r="AA50" i="1593"/>
  <c r="AA49" i="1593"/>
  <c r="AA48" i="1593"/>
  <c r="AA47" i="1593"/>
  <c r="AA46" i="1593"/>
  <c r="AQ47" i="1593" s="1"/>
  <c r="X46" i="1593" s="1"/>
  <c r="AA45" i="1593"/>
  <c r="AA44" i="1593"/>
  <c r="AA43" i="1593"/>
  <c r="AA42" i="1593"/>
  <c r="AB42" i="1593" s="1"/>
  <c r="AA41" i="1593"/>
  <c r="AA40" i="1593"/>
  <c r="AA39" i="1593"/>
  <c r="AA38" i="1593"/>
  <c r="AB38" i="1593" s="1"/>
  <c r="AA37" i="1593"/>
  <c r="AA36" i="1593"/>
  <c r="AA35" i="1593"/>
  <c r="X35" i="1593" s="1"/>
  <c r="AA34" i="1593"/>
  <c r="AQ35" i="1593" s="1"/>
  <c r="X34" i="1593" s="1"/>
  <c r="AA33" i="1593"/>
  <c r="AA32" i="1593"/>
  <c r="AA31" i="1593"/>
  <c r="AB31" i="1593" s="1"/>
  <c r="AA30" i="1593"/>
  <c r="AB30" i="1593" s="1"/>
  <c r="AA29" i="1593"/>
  <c r="AA28" i="1593"/>
  <c r="AA27" i="1593"/>
  <c r="AI27" i="1593" s="1"/>
  <c r="AA26" i="1593"/>
  <c r="AB26" i="1593" s="1"/>
  <c r="AA25" i="1593"/>
  <c r="AA24" i="1593"/>
  <c r="AA23" i="1593"/>
  <c r="AB23" i="1593" s="1"/>
  <c r="AA22" i="1593"/>
  <c r="AB22" i="1593" s="1"/>
  <c r="AA21" i="1593"/>
  <c r="AA20" i="1593"/>
  <c r="AA19" i="1593"/>
  <c r="AB19" i="1593" s="1"/>
  <c r="AA18" i="1593"/>
  <c r="AB18" i="1593" s="1"/>
  <c r="AA17" i="1593"/>
  <c r="AA16" i="1593"/>
  <c r="AA15" i="1593"/>
  <c r="AA14" i="1593"/>
  <c r="AQ15" i="1593" s="1"/>
  <c r="X14" i="1593" s="1"/>
  <c r="AA13" i="1593"/>
  <c r="AA12" i="1593"/>
  <c r="AA11" i="1593"/>
  <c r="AA10" i="1593"/>
  <c r="AB10" i="1593" s="1"/>
  <c r="X82" i="1593"/>
  <c r="X74" i="1593"/>
  <c r="X66" i="1593"/>
  <c r="X56" i="1593"/>
  <c r="Z54" i="1593" s="1"/>
  <c r="X55" i="1593"/>
  <c r="X54" i="1593"/>
  <c r="X42" i="1593"/>
  <c r="X30" i="1593"/>
  <c r="X24" i="1593"/>
  <c r="Z22" i="1593" s="1"/>
  <c r="X23" i="1593"/>
  <c r="X20" i="1593"/>
  <c r="Z18" i="1593" s="1"/>
  <c r="X19" i="1593"/>
  <c r="X12" i="1593"/>
  <c r="Z10" i="1593" s="1"/>
  <c r="X11" i="1593"/>
  <c r="X10" i="1593"/>
  <c r="AA9" i="1593"/>
  <c r="AA8" i="1593"/>
  <c r="AA7" i="1593"/>
  <c r="AA6" i="1593"/>
  <c r="W113" i="1593"/>
  <c r="V113" i="1593"/>
  <c r="V110" i="1593" s="1"/>
  <c r="U113" i="1593"/>
  <c r="U110" i="1593" s="1"/>
  <c r="T113" i="1593"/>
  <c r="T110" i="1593" s="1"/>
  <c r="S113" i="1593"/>
  <c r="R113" i="1593"/>
  <c r="R110" i="1593" s="1"/>
  <c r="P113" i="1593"/>
  <c r="O113" i="1593"/>
  <c r="W107" i="1593"/>
  <c r="V107" i="1593"/>
  <c r="U107" i="1593"/>
  <c r="T107" i="1593"/>
  <c r="S107" i="1593"/>
  <c r="R107" i="1593"/>
  <c r="Q107" i="1593"/>
  <c r="P107" i="1593"/>
  <c r="O107" i="1593"/>
  <c r="N107" i="1593"/>
  <c r="M107" i="1593"/>
  <c r="W105" i="1593"/>
  <c r="V105" i="1593"/>
  <c r="U105" i="1593"/>
  <c r="T105" i="1593"/>
  <c r="S105" i="1593"/>
  <c r="R105" i="1593"/>
  <c r="Q105" i="1593"/>
  <c r="P105" i="1593"/>
  <c r="O105" i="1593"/>
  <c r="N105" i="1593"/>
  <c r="M105" i="1593"/>
  <c r="W103" i="1593"/>
  <c r="V103" i="1593"/>
  <c r="U103" i="1593"/>
  <c r="T103" i="1593"/>
  <c r="S103" i="1593"/>
  <c r="R103" i="1593"/>
  <c r="Q103" i="1593"/>
  <c r="P103" i="1593"/>
  <c r="O103" i="1593"/>
  <c r="N103" i="1593"/>
  <c r="M103" i="1593"/>
  <c r="AK101" i="1593"/>
  <c r="AL101" i="1593" s="1"/>
  <c r="AH101" i="1593"/>
  <c r="AG101" i="1593"/>
  <c r="B101" i="1593"/>
  <c r="AH100" i="1593"/>
  <c r="AG100" i="1593"/>
  <c r="I100" i="1593"/>
  <c r="E100" i="1593"/>
  <c r="E101" i="1593" s="1"/>
  <c r="B100" i="1593"/>
  <c r="G99" i="1593"/>
  <c r="G100" i="1593" s="1"/>
  <c r="G101" i="1593" s="1"/>
  <c r="C99" i="1593"/>
  <c r="AH98" i="1593"/>
  <c r="AG98" i="1593"/>
  <c r="B98" i="1593"/>
  <c r="AK97" i="1593"/>
  <c r="AL97" i="1593" s="1"/>
  <c r="AH97" i="1593"/>
  <c r="AG97" i="1593"/>
  <c r="J97" i="1593"/>
  <c r="B97" i="1593"/>
  <c r="AH96" i="1593"/>
  <c r="AG96" i="1593"/>
  <c r="I96" i="1593"/>
  <c r="E96" i="1593"/>
  <c r="E97" i="1593" s="1"/>
  <c r="B96" i="1593"/>
  <c r="G95" i="1593"/>
  <c r="G96" i="1593" s="1"/>
  <c r="G97" i="1593" s="1"/>
  <c r="C95" i="1593"/>
  <c r="AH94" i="1593"/>
  <c r="AG94" i="1593"/>
  <c r="B94" i="1593"/>
  <c r="AK93" i="1593"/>
  <c r="AH93" i="1593"/>
  <c r="AG93" i="1593"/>
  <c r="J93" i="1593"/>
  <c r="B93" i="1593"/>
  <c r="AH92" i="1593"/>
  <c r="AG92" i="1593"/>
  <c r="I92" i="1593"/>
  <c r="E92" i="1593"/>
  <c r="E93" i="1593" s="1"/>
  <c r="B92" i="1593"/>
  <c r="G91" i="1593"/>
  <c r="G92" i="1593" s="1"/>
  <c r="G93" i="1593" s="1"/>
  <c r="C91" i="1593"/>
  <c r="AH90" i="1593"/>
  <c r="AG90" i="1593"/>
  <c r="B90" i="1593"/>
  <c r="AK85" i="1593"/>
  <c r="AL84" i="1593" s="1"/>
  <c r="AH85" i="1593"/>
  <c r="AG85" i="1593"/>
  <c r="J85" i="1593"/>
  <c r="B85" i="1593"/>
  <c r="AH84" i="1593"/>
  <c r="AG84" i="1593"/>
  <c r="I84" i="1593"/>
  <c r="E84" i="1593"/>
  <c r="E85" i="1593" s="1"/>
  <c r="B84" i="1593"/>
  <c r="G83" i="1593"/>
  <c r="G84" i="1593" s="1"/>
  <c r="G85" i="1593" s="1"/>
  <c r="C83" i="1593"/>
  <c r="AH82" i="1593"/>
  <c r="AG82" i="1593"/>
  <c r="B82" i="1593"/>
  <c r="AK81" i="1593"/>
  <c r="AH81" i="1593"/>
  <c r="AG81" i="1593"/>
  <c r="B81" i="1593"/>
  <c r="AH80" i="1593"/>
  <c r="AG80" i="1593"/>
  <c r="Q113" i="1593"/>
  <c r="N113" i="1593"/>
  <c r="N110" i="1593" s="1"/>
  <c r="M113" i="1593"/>
  <c r="I80" i="1593"/>
  <c r="E80" i="1593"/>
  <c r="E81" i="1593" s="1"/>
  <c r="B80" i="1593"/>
  <c r="G79" i="1593"/>
  <c r="G80" i="1593" s="1"/>
  <c r="G81" i="1593" s="1"/>
  <c r="C79" i="1593"/>
  <c r="AH78" i="1593"/>
  <c r="AG78" i="1593"/>
  <c r="B78" i="1593"/>
  <c r="AK77" i="1593"/>
  <c r="AH77" i="1593"/>
  <c r="AG77" i="1593"/>
  <c r="AF75" i="1593"/>
  <c r="AG75" i="1593" s="1"/>
  <c r="J77" i="1593"/>
  <c r="B77" i="1593"/>
  <c r="AH76" i="1593"/>
  <c r="AG76" i="1593"/>
  <c r="I76" i="1593"/>
  <c r="E76" i="1593"/>
  <c r="E77" i="1593" s="1"/>
  <c r="B76" i="1593"/>
  <c r="G75" i="1593"/>
  <c r="G76" i="1593" s="1"/>
  <c r="G77" i="1593" s="1"/>
  <c r="C75" i="1593"/>
  <c r="AH74" i="1593"/>
  <c r="AG74" i="1593"/>
  <c r="B74" i="1593"/>
  <c r="AK73" i="1593"/>
  <c r="AL73" i="1593" s="1"/>
  <c r="AM73" i="1593" s="1"/>
  <c r="AH73" i="1593"/>
  <c r="AG73" i="1593"/>
  <c r="B73" i="1593"/>
  <c r="AH72" i="1593"/>
  <c r="AG72" i="1593"/>
  <c r="I72" i="1593"/>
  <c r="E72" i="1593"/>
  <c r="E73" i="1593" s="1"/>
  <c r="B72" i="1593"/>
  <c r="G71" i="1593"/>
  <c r="G72" i="1593" s="1"/>
  <c r="G73" i="1593" s="1"/>
  <c r="C71" i="1593"/>
  <c r="AH70" i="1593"/>
  <c r="AG70" i="1593"/>
  <c r="B70" i="1593"/>
  <c r="AK69" i="1593"/>
  <c r="AL69" i="1593" s="1"/>
  <c r="AH69" i="1593"/>
  <c r="AG69" i="1593"/>
  <c r="J69" i="1593"/>
  <c r="B69" i="1593"/>
  <c r="AH68" i="1593"/>
  <c r="AG68" i="1593"/>
  <c r="I68" i="1593"/>
  <c r="E68" i="1593"/>
  <c r="E69" i="1593" s="1"/>
  <c r="B68" i="1593"/>
  <c r="G67" i="1593"/>
  <c r="G68" i="1593" s="1"/>
  <c r="G69" i="1593" s="1"/>
  <c r="C67" i="1593"/>
  <c r="AH66" i="1593"/>
  <c r="AG66" i="1593"/>
  <c r="B66" i="1593"/>
  <c r="AK65" i="1593"/>
  <c r="J65" i="1593"/>
  <c r="B65" i="1593"/>
  <c r="I64" i="1593"/>
  <c r="E64" i="1593"/>
  <c r="E65" i="1593" s="1"/>
  <c r="B64" i="1593"/>
  <c r="AQ63" i="1593"/>
  <c r="X62" i="1593" s="1"/>
  <c r="B62" i="1593"/>
  <c r="AK61" i="1593"/>
  <c r="AH61" i="1593"/>
  <c r="AG61" i="1593"/>
  <c r="J61" i="1593"/>
  <c r="B61" i="1593"/>
  <c r="AH60" i="1593"/>
  <c r="AG60" i="1593"/>
  <c r="I60" i="1593"/>
  <c r="E60" i="1593"/>
  <c r="E61" i="1593" s="1"/>
  <c r="B60" i="1593"/>
  <c r="G59" i="1593"/>
  <c r="G60" i="1593" s="1"/>
  <c r="G61" i="1593" s="1"/>
  <c r="C59" i="1593"/>
  <c r="AH58" i="1593"/>
  <c r="AG58" i="1593"/>
  <c r="B58" i="1593"/>
  <c r="AK57" i="1593"/>
  <c r="AL56" i="1593" s="1"/>
  <c r="AH57" i="1593"/>
  <c r="AG57" i="1593"/>
  <c r="J57" i="1593"/>
  <c r="B57" i="1593"/>
  <c r="AH56" i="1593"/>
  <c r="AG56" i="1593"/>
  <c r="I56" i="1593"/>
  <c r="E56" i="1593"/>
  <c r="E57" i="1593" s="1"/>
  <c r="B56" i="1593"/>
  <c r="G55" i="1593"/>
  <c r="G56" i="1593" s="1"/>
  <c r="G57" i="1593" s="1"/>
  <c r="C55" i="1593"/>
  <c r="AH54" i="1593"/>
  <c r="AG54" i="1593"/>
  <c r="B54" i="1593"/>
  <c r="AK53" i="1593"/>
  <c r="AL53" i="1593" s="1"/>
  <c r="AH53" i="1593"/>
  <c r="AG53" i="1593"/>
  <c r="J53" i="1593"/>
  <c r="B53" i="1593"/>
  <c r="AH52" i="1593"/>
  <c r="AG52" i="1593"/>
  <c r="I52" i="1593"/>
  <c r="E52" i="1593"/>
  <c r="E53" i="1593" s="1"/>
  <c r="B52" i="1593"/>
  <c r="G51" i="1593"/>
  <c r="G52" i="1593" s="1"/>
  <c r="G53" i="1593" s="1"/>
  <c r="C51" i="1593"/>
  <c r="AH50" i="1593"/>
  <c r="AG50" i="1593"/>
  <c r="B50" i="1593"/>
  <c r="AK49" i="1593"/>
  <c r="AL49" i="1593" s="1"/>
  <c r="AM49" i="1593" s="1"/>
  <c r="AH49" i="1593"/>
  <c r="AG49" i="1593"/>
  <c r="J49" i="1593"/>
  <c r="B49" i="1593"/>
  <c r="AH48" i="1593"/>
  <c r="AG48" i="1593"/>
  <c r="I48" i="1593"/>
  <c r="E48" i="1593"/>
  <c r="E49" i="1593" s="1"/>
  <c r="B48" i="1593"/>
  <c r="G47" i="1593"/>
  <c r="G48" i="1593" s="1"/>
  <c r="G49" i="1593" s="1"/>
  <c r="C47" i="1593"/>
  <c r="AH46" i="1593"/>
  <c r="AG46" i="1593"/>
  <c r="B46" i="1593"/>
  <c r="AK45" i="1593"/>
  <c r="AL44" i="1593" s="1"/>
  <c r="AH45" i="1593"/>
  <c r="AG45" i="1593"/>
  <c r="J45" i="1593"/>
  <c r="B45" i="1593"/>
  <c r="AH44" i="1593"/>
  <c r="AG44" i="1593"/>
  <c r="I44" i="1593"/>
  <c r="E44" i="1593"/>
  <c r="E45" i="1593" s="1"/>
  <c r="B44" i="1593"/>
  <c r="AF43" i="1593"/>
  <c r="AG43" i="1593" s="1"/>
  <c r="G43" i="1593"/>
  <c r="G44" i="1593" s="1"/>
  <c r="G45" i="1593" s="1"/>
  <c r="C43" i="1593"/>
  <c r="AH42" i="1593"/>
  <c r="AG42" i="1593"/>
  <c r="B42" i="1593"/>
  <c r="AK41" i="1593"/>
  <c r="AL41" i="1593" s="1"/>
  <c r="AH41" i="1593"/>
  <c r="AG41" i="1593"/>
  <c r="J41" i="1593"/>
  <c r="B41" i="1593"/>
  <c r="AH40" i="1593"/>
  <c r="AG40" i="1593"/>
  <c r="I40" i="1593"/>
  <c r="E40" i="1593"/>
  <c r="E41" i="1593" s="1"/>
  <c r="B40" i="1593"/>
  <c r="G39" i="1593"/>
  <c r="G40" i="1593" s="1"/>
  <c r="G41" i="1593" s="1"/>
  <c r="C39" i="1593"/>
  <c r="AH38" i="1593"/>
  <c r="AG38" i="1593"/>
  <c r="B38" i="1593"/>
  <c r="AK37" i="1593"/>
  <c r="AL37" i="1593" s="1"/>
  <c r="AH37" i="1593"/>
  <c r="AG37" i="1593"/>
  <c r="J37" i="1593"/>
  <c r="B37" i="1593"/>
  <c r="AH36" i="1593"/>
  <c r="AG36" i="1593"/>
  <c r="I36" i="1593"/>
  <c r="E36" i="1593"/>
  <c r="E37" i="1593" s="1"/>
  <c r="B36" i="1593"/>
  <c r="G35" i="1593"/>
  <c r="G36" i="1593" s="1"/>
  <c r="G37" i="1593" s="1"/>
  <c r="C35" i="1593"/>
  <c r="AH34" i="1593"/>
  <c r="AG34" i="1593"/>
  <c r="B34" i="1593"/>
  <c r="AK33" i="1593"/>
  <c r="AL32" i="1593" s="1"/>
  <c r="AH33" i="1593"/>
  <c r="AG33" i="1593"/>
  <c r="J33" i="1593"/>
  <c r="B33" i="1593"/>
  <c r="AH32" i="1593"/>
  <c r="AG32" i="1593"/>
  <c r="I32" i="1593"/>
  <c r="E32" i="1593"/>
  <c r="E33" i="1593" s="1"/>
  <c r="B32" i="1593"/>
  <c r="G31" i="1593"/>
  <c r="G32" i="1593" s="1"/>
  <c r="G33" i="1593" s="1"/>
  <c r="C31" i="1593"/>
  <c r="AH30" i="1593"/>
  <c r="AG30" i="1593"/>
  <c r="B30" i="1593"/>
  <c r="AK29" i="1593"/>
  <c r="AL29" i="1593" s="1"/>
  <c r="AM29" i="1593" s="1"/>
  <c r="AH29" i="1593"/>
  <c r="AG29" i="1593"/>
  <c r="B29" i="1593"/>
  <c r="AH28" i="1593"/>
  <c r="AG28" i="1593"/>
  <c r="I28" i="1593"/>
  <c r="E28" i="1593"/>
  <c r="E29" i="1593" s="1"/>
  <c r="B28" i="1593"/>
  <c r="G27" i="1593"/>
  <c r="G28" i="1593" s="1"/>
  <c r="G29" i="1593" s="1"/>
  <c r="C27" i="1593"/>
  <c r="AH26" i="1593"/>
  <c r="AG26" i="1593"/>
  <c r="B26" i="1593"/>
  <c r="AK25" i="1593"/>
  <c r="AL25" i="1593" s="1"/>
  <c r="AM25" i="1593" s="1"/>
  <c r="AH25" i="1593"/>
  <c r="AG25" i="1593"/>
  <c r="J25" i="1593"/>
  <c r="B25" i="1593"/>
  <c r="AH24" i="1593"/>
  <c r="AG24" i="1593"/>
  <c r="I24" i="1593"/>
  <c r="E24" i="1593"/>
  <c r="E25" i="1593" s="1"/>
  <c r="B24" i="1593"/>
  <c r="AQ23" i="1593"/>
  <c r="X22" i="1593" s="1"/>
  <c r="G23" i="1593"/>
  <c r="G24" i="1593" s="1"/>
  <c r="G25" i="1593" s="1"/>
  <c r="C23" i="1593"/>
  <c r="AH22" i="1593"/>
  <c r="AG22" i="1593"/>
  <c r="B22" i="1593"/>
  <c r="AK21" i="1593"/>
  <c r="J21" i="1593"/>
  <c r="B21" i="1593"/>
  <c r="I20" i="1593"/>
  <c r="E20" i="1593"/>
  <c r="E21" i="1593" s="1"/>
  <c r="B20" i="1593"/>
  <c r="AQ19" i="1593"/>
  <c r="X18" i="1593" s="1"/>
  <c r="B18" i="1593"/>
  <c r="AK17" i="1593"/>
  <c r="AL16" i="1593" s="1"/>
  <c r="AH17" i="1593"/>
  <c r="AG17" i="1593"/>
  <c r="B17" i="1593"/>
  <c r="AH16" i="1593"/>
  <c r="AG16" i="1593"/>
  <c r="B16" i="1593"/>
  <c r="G15" i="1593"/>
  <c r="G16" i="1593" s="1"/>
  <c r="G17" i="1593" s="1"/>
  <c r="C15" i="1593"/>
  <c r="AH14" i="1593"/>
  <c r="AG14" i="1593"/>
  <c r="B14" i="1593"/>
  <c r="AK13" i="1593"/>
  <c r="AL12" i="1593" s="1"/>
  <c r="AH13" i="1593"/>
  <c r="AG13" i="1593"/>
  <c r="J13" i="1593"/>
  <c r="B13" i="1593"/>
  <c r="AH12" i="1593"/>
  <c r="AG12" i="1593"/>
  <c r="I12" i="1593"/>
  <c r="E12" i="1593"/>
  <c r="E13" i="1593" s="1"/>
  <c r="B12" i="1593"/>
  <c r="G11" i="1593"/>
  <c r="G12" i="1593" s="1"/>
  <c r="G13" i="1593" s="1"/>
  <c r="C11" i="1593"/>
  <c r="AH10" i="1593"/>
  <c r="AG10" i="1593"/>
  <c r="B10" i="1593"/>
  <c r="AK9" i="1593"/>
  <c r="AH9" i="1593"/>
  <c r="AG9" i="1593"/>
  <c r="J9" i="1593"/>
  <c r="G9" i="1593"/>
  <c r="B9" i="1593"/>
  <c r="AH8" i="1593"/>
  <c r="AG8" i="1593"/>
  <c r="I8" i="1593"/>
  <c r="G8" i="1593"/>
  <c r="E8" i="1593"/>
  <c r="E9" i="1593" s="1"/>
  <c r="B8" i="1593"/>
  <c r="G7" i="1593"/>
  <c r="C7" i="1593"/>
  <c r="AH6" i="1593"/>
  <c r="AG6" i="1593"/>
  <c r="B6" i="1593"/>
  <c r="AD4" i="1593"/>
  <c r="AA109" i="1592"/>
  <c r="AA108" i="1592"/>
  <c r="AA107" i="1592"/>
  <c r="AA106" i="1592"/>
  <c r="AF107" i="1592" l="1"/>
  <c r="AE19" i="1593"/>
  <c r="AF31" i="1593"/>
  <c r="AG31" i="1593" s="1"/>
  <c r="X99" i="1593"/>
  <c r="AF11" i="1593"/>
  <c r="AH11" i="1593" s="1"/>
  <c r="AB55" i="1593"/>
  <c r="AD55" i="1593" s="1"/>
  <c r="X63" i="1593"/>
  <c r="AE43" i="1593"/>
  <c r="X47" i="1593"/>
  <c r="X95" i="1593"/>
  <c r="AE23" i="1593"/>
  <c r="AE39" i="1593"/>
  <c r="AM32" i="1593"/>
  <c r="X15" i="1593"/>
  <c r="X51" i="1593"/>
  <c r="AB95" i="1593"/>
  <c r="AD95" i="1593" s="1"/>
  <c r="AV95" i="1593" s="1"/>
  <c r="AQ91" i="1593"/>
  <c r="X90" i="1593" s="1"/>
  <c r="AE55" i="1593"/>
  <c r="X92" i="1593"/>
  <c r="Z90" i="1593" s="1"/>
  <c r="X7" i="1593"/>
  <c r="AE47" i="1593"/>
  <c r="AE91" i="1593"/>
  <c r="AE95" i="1593"/>
  <c r="AI99" i="1593"/>
  <c r="AQ7" i="1593"/>
  <c r="X6" i="1593" s="1"/>
  <c r="X31" i="1593"/>
  <c r="X39" i="1593"/>
  <c r="X43" i="1593"/>
  <c r="X59" i="1593"/>
  <c r="X67" i="1593"/>
  <c r="X79" i="1593"/>
  <c r="X83" i="1593"/>
  <c r="X91" i="1593"/>
  <c r="AE99" i="1593"/>
  <c r="AI83" i="1593"/>
  <c r="Z81" i="1593"/>
  <c r="X80" i="1593"/>
  <c r="Z78" i="1593" s="1"/>
  <c r="AB59" i="1593"/>
  <c r="AD59" i="1593" s="1"/>
  <c r="X60" i="1593"/>
  <c r="Z58" i="1593" s="1"/>
  <c r="AF47" i="1593"/>
  <c r="AG47" i="1593" s="1"/>
  <c r="AM44" i="1593"/>
  <c r="AF7" i="1593"/>
  <c r="AG7" i="1593" s="1"/>
  <c r="X27" i="1593"/>
  <c r="AA4" i="1593"/>
  <c r="AI95" i="1593"/>
  <c r="AB43" i="1593"/>
  <c r="AD43" i="1593" s="1"/>
  <c r="AV43" i="1593" s="1"/>
  <c r="AI39" i="1593"/>
  <c r="X8" i="1593"/>
  <c r="Z6" i="1593" s="1"/>
  <c r="X16" i="1593"/>
  <c r="Z14" i="1593" s="1"/>
  <c r="AD19" i="1593"/>
  <c r="AV19" i="1593" s="1"/>
  <c r="AB34" i="1593"/>
  <c r="AL85" i="1593"/>
  <c r="AM85" i="1593" s="1"/>
  <c r="X84" i="1593"/>
  <c r="Z82" i="1593" s="1"/>
  <c r="X76" i="1593"/>
  <c r="Z74" i="1593" s="1"/>
  <c r="X52" i="1593"/>
  <c r="Z50" i="1593" s="1"/>
  <c r="AQ59" i="1593"/>
  <c r="X58" i="1593" s="1"/>
  <c r="X64" i="1593"/>
  <c r="Z62" i="1593" s="1"/>
  <c r="AL72" i="1593"/>
  <c r="AM72" i="1593" s="1"/>
  <c r="AL100" i="1593"/>
  <c r="AM100" i="1593" s="1"/>
  <c r="X72" i="1593"/>
  <c r="Z70" i="1593" s="1"/>
  <c r="X44" i="1593"/>
  <c r="Z42" i="1593" s="1"/>
  <c r="AL45" i="1593"/>
  <c r="AM45" i="1593" s="1"/>
  <c r="X32" i="1593"/>
  <c r="Z30" i="1593" s="1"/>
  <c r="X40" i="1593"/>
  <c r="Z38" i="1593" s="1"/>
  <c r="X28" i="1593"/>
  <c r="Z26" i="1593" s="1"/>
  <c r="X48" i="1593"/>
  <c r="Z46" i="1593" s="1"/>
  <c r="X68" i="1593"/>
  <c r="Z66" i="1593" s="1"/>
  <c r="X96" i="1593"/>
  <c r="Z94" i="1593" s="1"/>
  <c r="AL28" i="1593"/>
  <c r="AM28" i="1593" s="1"/>
  <c r="X36" i="1593"/>
  <c r="Z34" i="1593" s="1"/>
  <c r="X100" i="1593"/>
  <c r="Z98" i="1593" s="1"/>
  <c r="AM12" i="1593"/>
  <c r="AL17" i="1593"/>
  <c r="AM17" i="1593" s="1"/>
  <c r="AF27" i="1593"/>
  <c r="AH27" i="1593" s="1"/>
  <c r="AL33" i="1593"/>
  <c r="AM33" i="1593" s="1"/>
  <c r="AL40" i="1593"/>
  <c r="AM40" i="1593" s="1"/>
  <c r="AH43" i="1593"/>
  <c r="AL57" i="1593"/>
  <c r="AM57" i="1593" s="1"/>
  <c r="AF71" i="1593"/>
  <c r="AH71" i="1593" s="1"/>
  <c r="AB83" i="1593"/>
  <c r="AD83" i="1593" s="1"/>
  <c r="AL96" i="1593"/>
  <c r="AM96" i="1593" s="1"/>
  <c r="AB99" i="1593"/>
  <c r="AD99" i="1593" s="1"/>
  <c r="AE11" i="1593"/>
  <c r="AL13" i="1593"/>
  <c r="AM13" i="1593" s="1"/>
  <c r="AB27" i="1593"/>
  <c r="AD27" i="1593" s="1"/>
  <c r="AM84" i="1593"/>
  <c r="AQ99" i="1593"/>
  <c r="X98" i="1593" s="1"/>
  <c r="V116" i="1593"/>
  <c r="T116" i="1593"/>
  <c r="AB14" i="1593"/>
  <c r="AB6" i="1593"/>
  <c r="AB46" i="1593"/>
  <c r="AF55" i="1593"/>
  <c r="AG55" i="1593" s="1"/>
  <c r="AL68" i="1593"/>
  <c r="AM68" i="1593" s="1"/>
  <c r="AI79" i="1593"/>
  <c r="AI71" i="1593"/>
  <c r="AF95" i="1593"/>
  <c r="AH95" i="1593" s="1"/>
  <c r="AE15" i="1593"/>
  <c r="AM16" i="1593"/>
  <c r="AQ27" i="1593"/>
  <c r="X26" i="1593" s="1"/>
  <c r="AE35" i="1593"/>
  <c r="AM37" i="1593"/>
  <c r="AB39" i="1593"/>
  <c r="AD39" i="1593" s="1"/>
  <c r="AV39" i="1593" s="1"/>
  <c r="Z41" i="1593"/>
  <c r="AM53" i="1593"/>
  <c r="AE63" i="1593"/>
  <c r="AB71" i="1593"/>
  <c r="AD71" i="1593" s="1"/>
  <c r="AQ71" i="1593"/>
  <c r="X70" i="1593" s="1"/>
  <c r="AJ75" i="1593"/>
  <c r="Z101" i="1593"/>
  <c r="P110" i="1593"/>
  <c r="P116" i="1593" s="1"/>
  <c r="AM97" i="1593"/>
  <c r="AF39" i="1593"/>
  <c r="AJ39" i="1593" s="1"/>
  <c r="AM41" i="1593"/>
  <c r="AE71" i="1593"/>
  <c r="AF83" i="1593"/>
  <c r="AJ83" i="1593" s="1"/>
  <c r="AF99" i="1593"/>
  <c r="AJ99" i="1593" s="1"/>
  <c r="AM101" i="1593"/>
  <c r="Z105" i="1593"/>
  <c r="R116" i="1593"/>
  <c r="AI11" i="1593"/>
  <c r="AB11" i="1593"/>
  <c r="AD11" i="1593" s="1"/>
  <c r="AI23" i="1593"/>
  <c r="AF23" i="1593"/>
  <c r="AH23" i="1593" s="1"/>
  <c r="AE27" i="1593"/>
  <c r="AB51" i="1593"/>
  <c r="AM56" i="1593"/>
  <c r="Z73" i="1593"/>
  <c r="AB79" i="1593"/>
  <c r="AE83" i="1593"/>
  <c r="AB90" i="1593"/>
  <c r="Z97" i="1593"/>
  <c r="Z103" i="1593"/>
  <c r="AD63" i="1593"/>
  <c r="AV63" i="1593" s="1"/>
  <c r="AD31" i="1593"/>
  <c r="AV31" i="1593" s="1"/>
  <c r="AB15" i="1593"/>
  <c r="AI15" i="1593"/>
  <c r="AL9" i="1593"/>
  <c r="AM9" i="1593" s="1"/>
  <c r="AL8" i="1593"/>
  <c r="AM8" i="1593" s="1"/>
  <c r="AE7" i="1593"/>
  <c r="AF15" i="1593"/>
  <c r="AD23" i="1593"/>
  <c r="AL24" i="1593"/>
  <c r="AM24" i="1593" s="1"/>
  <c r="AI35" i="1593"/>
  <c r="Z37" i="1593"/>
  <c r="AB35" i="1593"/>
  <c r="AQ39" i="1593"/>
  <c r="X38" i="1593" s="1"/>
  <c r="AE59" i="1593"/>
  <c r="AF59" i="1593"/>
  <c r="Z17" i="1593"/>
  <c r="AF35" i="1593"/>
  <c r="AI47" i="1593"/>
  <c r="Z49" i="1593"/>
  <c r="AB47" i="1593"/>
  <c r="AE67" i="1593"/>
  <c r="AF67" i="1593"/>
  <c r="AJ67" i="1593" s="1"/>
  <c r="AM69" i="1593"/>
  <c r="AL77" i="1593"/>
  <c r="AM77" i="1593" s="1"/>
  <c r="AL76" i="1593"/>
  <c r="AM76" i="1593" s="1"/>
  <c r="AB7" i="1593"/>
  <c r="AI7" i="1593"/>
  <c r="AQ51" i="1593"/>
  <c r="X50" i="1593" s="1"/>
  <c r="AB50" i="1593"/>
  <c r="AE51" i="1593"/>
  <c r="AF51" i="1593"/>
  <c r="AB75" i="1593"/>
  <c r="AD75" i="1593" s="1"/>
  <c r="AI75" i="1593"/>
  <c r="AB78" i="1593"/>
  <c r="X78" i="1593"/>
  <c r="M110" i="1593"/>
  <c r="M116" i="1593" s="1"/>
  <c r="AL93" i="1593"/>
  <c r="AM93" i="1593" s="1"/>
  <c r="AL92" i="1593"/>
  <c r="AM92" i="1593" s="1"/>
  <c r="AE31" i="1593"/>
  <c r="AI31" i="1593"/>
  <c r="AI43" i="1593"/>
  <c r="AE75" i="1593"/>
  <c r="N116" i="1593"/>
  <c r="AL81" i="1593"/>
  <c r="AM81" i="1593" s="1"/>
  <c r="AL80" i="1593"/>
  <c r="AI91" i="1593"/>
  <c r="Z93" i="1593"/>
  <c r="AB91" i="1593"/>
  <c r="S110" i="1593"/>
  <c r="S116" i="1593" s="1"/>
  <c r="W110" i="1593"/>
  <c r="W116" i="1593" s="1"/>
  <c r="Z45" i="1593"/>
  <c r="Q110" i="1593"/>
  <c r="Q116" i="1593" s="1"/>
  <c r="O110" i="1593"/>
  <c r="O116" i="1593" s="1"/>
  <c r="Z33" i="1593"/>
  <c r="AJ43" i="1593"/>
  <c r="AL36" i="1593"/>
  <c r="AM36" i="1593" s="1"/>
  <c r="AL48" i="1593"/>
  <c r="AM48" i="1593" s="1"/>
  <c r="AL52" i="1593"/>
  <c r="AM52" i="1593" s="1"/>
  <c r="Z57" i="1593"/>
  <c r="AI59" i="1593"/>
  <c r="Z61" i="1593"/>
  <c r="AL61" i="1593"/>
  <c r="AM61" i="1593" s="1"/>
  <c r="AL60" i="1593"/>
  <c r="AM60" i="1593" s="1"/>
  <c r="AB67" i="1593"/>
  <c r="AD67" i="1593" s="1"/>
  <c r="AI67" i="1593"/>
  <c r="AH75" i="1593"/>
  <c r="AF91" i="1593"/>
  <c r="AQ95" i="1593"/>
  <c r="X94" i="1593" s="1"/>
  <c r="U116" i="1593"/>
  <c r="AA105" i="1592"/>
  <c r="AA104" i="1592"/>
  <c r="AA103" i="1592"/>
  <c r="AA102" i="1592"/>
  <c r="AA101" i="1592"/>
  <c r="AA100" i="1592"/>
  <c r="AA99" i="1592"/>
  <c r="AA98" i="1592"/>
  <c r="AA97" i="1592"/>
  <c r="AA96" i="1592"/>
  <c r="AA95" i="1592"/>
  <c r="AA94" i="1592"/>
  <c r="AA93" i="1592"/>
  <c r="AA92" i="1592"/>
  <c r="AA91" i="1592"/>
  <c r="AA90" i="1592"/>
  <c r="AA89" i="1592"/>
  <c r="AA88" i="1592"/>
  <c r="AA87" i="1592"/>
  <c r="X87" i="1592" s="1"/>
  <c r="AA86" i="1592"/>
  <c r="AA85" i="1592"/>
  <c r="AA83" i="1592"/>
  <c r="X83" i="1592" s="1"/>
  <c r="AA82" i="1592"/>
  <c r="AA81" i="1592"/>
  <c r="AA80" i="1592"/>
  <c r="AA79" i="1592"/>
  <c r="AA78" i="1592"/>
  <c r="AA77" i="1592"/>
  <c r="AA76" i="1592"/>
  <c r="AA75" i="1592"/>
  <c r="X75" i="1592" s="1"/>
  <c r="AA74" i="1592"/>
  <c r="AQ75" i="1592" s="1"/>
  <c r="AA73" i="1592"/>
  <c r="AA72" i="1592"/>
  <c r="AA71" i="1592"/>
  <c r="AA70" i="1592"/>
  <c r="AA69" i="1592"/>
  <c r="AA68" i="1592"/>
  <c r="AA67" i="1592"/>
  <c r="X67" i="1592" s="1"/>
  <c r="AA66" i="1592"/>
  <c r="AA65" i="1592"/>
  <c r="AA64" i="1592"/>
  <c r="AA63" i="1592"/>
  <c r="X63" i="1592" s="1"/>
  <c r="AA62" i="1592"/>
  <c r="AA61" i="1592"/>
  <c r="AA60" i="1592"/>
  <c r="AA59" i="1592"/>
  <c r="AA58" i="1592"/>
  <c r="AA57" i="1592"/>
  <c r="AA56" i="1592"/>
  <c r="AA55" i="1592"/>
  <c r="AA54" i="1592"/>
  <c r="AA53" i="1592"/>
  <c r="AA52" i="1592"/>
  <c r="AA51" i="1592"/>
  <c r="AA50" i="1592"/>
  <c r="AA49" i="1592"/>
  <c r="AA48" i="1592"/>
  <c r="AA47" i="1592"/>
  <c r="AA46" i="1592"/>
  <c r="AA45" i="1592"/>
  <c r="AA44" i="1592"/>
  <c r="AA43" i="1592"/>
  <c r="AA42" i="1592"/>
  <c r="AA41" i="1592"/>
  <c r="AA40" i="1592"/>
  <c r="AA39" i="1592"/>
  <c r="X39" i="1592" s="1"/>
  <c r="AA38" i="1592"/>
  <c r="AA37" i="1592"/>
  <c r="AA36" i="1592"/>
  <c r="AA35" i="1592"/>
  <c r="AA34" i="1592"/>
  <c r="AA33" i="1592"/>
  <c r="AA32" i="1592"/>
  <c r="AA31" i="1592"/>
  <c r="AA30" i="1592"/>
  <c r="AA29" i="1592"/>
  <c r="AA28" i="1592"/>
  <c r="AA27" i="1592"/>
  <c r="AA26" i="1592"/>
  <c r="AA25" i="1592"/>
  <c r="AA24" i="1592"/>
  <c r="AA23" i="1592"/>
  <c r="AA22" i="1592"/>
  <c r="AA21" i="1592"/>
  <c r="AA20" i="1592"/>
  <c r="AA19" i="1592"/>
  <c r="AA18" i="1592"/>
  <c r="AA17" i="1592"/>
  <c r="AA16" i="1592"/>
  <c r="AA15" i="1592"/>
  <c r="AA14" i="1592"/>
  <c r="AA13" i="1592"/>
  <c r="AA12" i="1592"/>
  <c r="AA11" i="1592"/>
  <c r="AA10" i="1592"/>
  <c r="X107" i="1592"/>
  <c r="X102" i="1592"/>
  <c r="X92" i="1592"/>
  <c r="X91" i="1592"/>
  <c r="X86" i="1592"/>
  <c r="X78" i="1592"/>
  <c r="X70" i="1592"/>
  <c r="X60" i="1592"/>
  <c r="X59" i="1592"/>
  <c r="X58" i="1592"/>
  <c r="X47" i="1592"/>
  <c r="X46" i="1592"/>
  <c r="X34" i="1592"/>
  <c r="X28" i="1592"/>
  <c r="X27" i="1592"/>
  <c r="X24" i="1592"/>
  <c r="X23" i="1592"/>
  <c r="X16" i="1592"/>
  <c r="X15" i="1592"/>
  <c r="X14" i="1592"/>
  <c r="AA9" i="1592"/>
  <c r="AA8" i="1592"/>
  <c r="AK69" i="1592"/>
  <c r="AH31" i="1593" l="1"/>
  <c r="AJ31" i="1593"/>
  <c r="AD21" i="1593"/>
  <c r="AD57" i="1593"/>
  <c r="AV55" i="1593"/>
  <c r="AD35" i="1593"/>
  <c r="AD37" i="1593" s="1"/>
  <c r="AH55" i="1593"/>
  <c r="AH7" i="1593"/>
  <c r="AJ7" i="1593"/>
  <c r="AJ95" i="1593"/>
  <c r="AJ27" i="1593"/>
  <c r="AJ11" i="1593"/>
  <c r="AG11" i="1593"/>
  <c r="AH47" i="1593"/>
  <c r="AJ55" i="1593"/>
  <c r="AG95" i="1593"/>
  <c r="AJ47" i="1593"/>
  <c r="AG27" i="1593"/>
  <c r="AD45" i="1593"/>
  <c r="AD51" i="1593"/>
  <c r="AV51" i="1593" s="1"/>
  <c r="AD41" i="1593"/>
  <c r="AD7" i="1593"/>
  <c r="AD9" i="1593" s="1"/>
  <c r="AD79" i="1593"/>
  <c r="AD81" i="1593" s="1"/>
  <c r="AD15" i="1593"/>
  <c r="AD17" i="1593" s="1"/>
  <c r="AD47" i="1593"/>
  <c r="AD49" i="1593" s="1"/>
  <c r="AD65" i="1593"/>
  <c r="AG71" i="1593"/>
  <c r="AJ71" i="1593"/>
  <c r="AG23" i="1593"/>
  <c r="AH83" i="1593"/>
  <c r="AG83" i="1593"/>
  <c r="AH39" i="1593"/>
  <c r="AG39" i="1593"/>
  <c r="AD91" i="1593"/>
  <c r="AV91" i="1593" s="1"/>
  <c r="AJ23" i="1593"/>
  <c r="AH99" i="1593"/>
  <c r="AG99" i="1593"/>
  <c r="AD97" i="1593"/>
  <c r="AD33" i="1593"/>
  <c r="AD101" i="1593"/>
  <c r="AV99" i="1593"/>
  <c r="AD93" i="1593"/>
  <c r="AD25" i="1593"/>
  <c r="AV23" i="1593"/>
  <c r="AQ4" i="1593"/>
  <c r="AG91" i="1593"/>
  <c r="AH91" i="1593"/>
  <c r="AF79" i="1593"/>
  <c r="AE79" i="1593"/>
  <c r="AM80" i="1593"/>
  <c r="AD77" i="1593"/>
  <c r="AV75" i="1593"/>
  <c r="AH35" i="1593"/>
  <c r="AG35" i="1593"/>
  <c r="AJ35" i="1593"/>
  <c r="AF4" i="1593"/>
  <c r="AD61" i="1593"/>
  <c r="AV59" i="1593"/>
  <c r="AG15" i="1593"/>
  <c r="AH15" i="1593"/>
  <c r="AV27" i="1593"/>
  <c r="AD29" i="1593"/>
  <c r="AJ91" i="1593"/>
  <c r="AG51" i="1593"/>
  <c r="AJ51" i="1593"/>
  <c r="AH51" i="1593"/>
  <c r="AD13" i="1593"/>
  <c r="AV11" i="1593"/>
  <c r="AJ15" i="1593"/>
  <c r="AV71" i="1593"/>
  <c r="AD73" i="1593"/>
  <c r="AD69" i="1593"/>
  <c r="AV67" i="1593"/>
  <c r="AD85" i="1593"/>
  <c r="AV83" i="1593"/>
  <c r="AI2" i="1593"/>
  <c r="AG67" i="1593"/>
  <c r="AH67" i="1593"/>
  <c r="AG59" i="1593"/>
  <c r="AJ59" i="1593"/>
  <c r="AH59" i="1593"/>
  <c r="J65" i="1592"/>
  <c r="Q84" i="1592"/>
  <c r="AV35" i="1593" l="1"/>
  <c r="AD53" i="1593"/>
  <c r="AV7" i="1593"/>
  <c r="AV47" i="1593"/>
  <c r="AV79" i="1593"/>
  <c r="AV15" i="1593"/>
  <c r="AH79" i="1593"/>
  <c r="AH2" i="1593" s="1"/>
  <c r="AD2" i="1593" s="1"/>
  <c r="AG79" i="1593"/>
  <c r="AJ79" i="1593"/>
  <c r="N84" i="1592"/>
  <c r="Z21" i="1592" l="1"/>
  <c r="Z45" i="1592"/>
  <c r="M84" i="1592" l="1"/>
  <c r="AA84" i="1592" s="1"/>
  <c r="G13" i="1592" l="1"/>
  <c r="G12" i="1592"/>
  <c r="G11" i="1592"/>
  <c r="G39" i="1592"/>
  <c r="G40" i="1592" s="1"/>
  <c r="G41" i="1592" s="1"/>
  <c r="AK41" i="1592"/>
  <c r="AH41" i="1592"/>
  <c r="AG41" i="1592"/>
  <c r="J41" i="1592"/>
  <c r="B41" i="1592"/>
  <c r="AH40" i="1592"/>
  <c r="AG40" i="1592"/>
  <c r="I40" i="1592"/>
  <c r="E40" i="1592"/>
  <c r="E41" i="1592" s="1"/>
  <c r="B40" i="1592"/>
  <c r="AI39" i="1592"/>
  <c r="C39" i="1592"/>
  <c r="AH38" i="1592"/>
  <c r="AG38" i="1592"/>
  <c r="AB38" i="1592"/>
  <c r="B38" i="1592"/>
  <c r="AL41" i="1592" l="1"/>
  <c r="AM41" i="1592" s="1"/>
  <c r="AF39" i="1592"/>
  <c r="AG39" i="1592" s="1"/>
  <c r="AQ39" i="1592"/>
  <c r="X38" i="1592" s="1"/>
  <c r="AE39" i="1592"/>
  <c r="Z41" i="1592"/>
  <c r="AL40" i="1592"/>
  <c r="AM40" i="1592" s="1"/>
  <c r="AB39" i="1592"/>
  <c r="AD39" i="1592" s="1"/>
  <c r="AH39" i="1592" l="1"/>
  <c r="AJ39" i="1592"/>
  <c r="AV39" i="1592"/>
  <c r="AD41" i="1592"/>
  <c r="I76" i="1592" l="1"/>
  <c r="E76" i="1592"/>
  <c r="E77" i="1592" s="1"/>
  <c r="G75" i="1592"/>
  <c r="G76" i="1592" s="1"/>
  <c r="G77" i="1592" s="1"/>
  <c r="AK77" i="1592"/>
  <c r="AH77" i="1592"/>
  <c r="AG77" i="1592"/>
  <c r="J77" i="1592"/>
  <c r="B77" i="1592"/>
  <c r="AH76" i="1592"/>
  <c r="AG76" i="1592"/>
  <c r="B76" i="1592"/>
  <c r="C75" i="1592"/>
  <c r="AH74" i="1592"/>
  <c r="AG74" i="1592"/>
  <c r="B74" i="1592"/>
  <c r="W121" i="1592"/>
  <c r="V121" i="1592"/>
  <c r="V118" i="1592" s="1"/>
  <c r="W115" i="1592"/>
  <c r="V115" i="1592"/>
  <c r="U115" i="1592"/>
  <c r="T115" i="1592"/>
  <c r="S115" i="1592"/>
  <c r="R115" i="1592"/>
  <c r="Q115" i="1592"/>
  <c r="P115" i="1592"/>
  <c r="O115" i="1592"/>
  <c r="N115" i="1592"/>
  <c r="M115" i="1592"/>
  <c r="W113" i="1592"/>
  <c r="V113" i="1592"/>
  <c r="U113" i="1592"/>
  <c r="T113" i="1592"/>
  <c r="S113" i="1592"/>
  <c r="R113" i="1592"/>
  <c r="Q113" i="1592"/>
  <c r="P113" i="1592"/>
  <c r="O113" i="1592"/>
  <c r="N113" i="1592"/>
  <c r="M113" i="1592"/>
  <c r="W111" i="1592"/>
  <c r="V111" i="1592"/>
  <c r="U111" i="1592"/>
  <c r="T111" i="1592"/>
  <c r="S111" i="1592"/>
  <c r="R111" i="1592"/>
  <c r="Q111" i="1592"/>
  <c r="P111" i="1592"/>
  <c r="O111" i="1592"/>
  <c r="N111" i="1592"/>
  <c r="M111" i="1592"/>
  <c r="AK109" i="1592"/>
  <c r="AH109" i="1592"/>
  <c r="AG109" i="1592"/>
  <c r="J109" i="1592"/>
  <c r="B109" i="1592"/>
  <c r="AH108" i="1592"/>
  <c r="AG108" i="1592"/>
  <c r="AE107" i="1592"/>
  <c r="I108" i="1592"/>
  <c r="E108" i="1592"/>
  <c r="E109" i="1592" s="1"/>
  <c r="B108" i="1592"/>
  <c r="AI107" i="1592"/>
  <c r="G107" i="1592"/>
  <c r="G108" i="1592" s="1"/>
  <c r="G109" i="1592" s="1"/>
  <c r="C107" i="1592"/>
  <c r="AH106" i="1592"/>
  <c r="AG106" i="1592"/>
  <c r="AB106" i="1592"/>
  <c r="B106" i="1592"/>
  <c r="AK105" i="1592"/>
  <c r="AH105" i="1592"/>
  <c r="AG105" i="1592"/>
  <c r="J105" i="1592"/>
  <c r="B105" i="1592"/>
  <c r="AH104" i="1592"/>
  <c r="AG104" i="1592"/>
  <c r="I104" i="1592"/>
  <c r="E104" i="1592"/>
  <c r="E105" i="1592" s="1"/>
  <c r="B104" i="1592"/>
  <c r="AB103" i="1592"/>
  <c r="G103" i="1592"/>
  <c r="G104" i="1592" s="1"/>
  <c r="G105" i="1592" s="1"/>
  <c r="C103" i="1592"/>
  <c r="AH102" i="1592"/>
  <c r="AG102" i="1592"/>
  <c r="AB102" i="1592"/>
  <c r="B102" i="1592"/>
  <c r="AK101" i="1592"/>
  <c r="AH101" i="1592"/>
  <c r="AG101" i="1592"/>
  <c r="J101" i="1592"/>
  <c r="B101" i="1592"/>
  <c r="AH100" i="1592"/>
  <c r="AG100" i="1592"/>
  <c r="I100" i="1592"/>
  <c r="E100" i="1592"/>
  <c r="E101" i="1592" s="1"/>
  <c r="B100" i="1592"/>
  <c r="AI99" i="1592"/>
  <c r="G99" i="1592"/>
  <c r="G100" i="1592" s="1"/>
  <c r="G101" i="1592" s="1"/>
  <c r="C99" i="1592"/>
  <c r="AH98" i="1592"/>
  <c r="AG98" i="1592"/>
  <c r="B98" i="1592"/>
  <c r="AK97" i="1592"/>
  <c r="AH97" i="1592"/>
  <c r="AG97" i="1592"/>
  <c r="J97" i="1592"/>
  <c r="B97" i="1592"/>
  <c r="AH96" i="1592"/>
  <c r="AG96" i="1592"/>
  <c r="I96" i="1592"/>
  <c r="E96" i="1592"/>
  <c r="E97" i="1592" s="1"/>
  <c r="B96" i="1592"/>
  <c r="AB95" i="1592"/>
  <c r="G95" i="1592"/>
  <c r="G96" i="1592" s="1"/>
  <c r="G97" i="1592" s="1"/>
  <c r="C95" i="1592"/>
  <c r="AH94" i="1592"/>
  <c r="AG94" i="1592"/>
  <c r="B94" i="1592"/>
  <c r="AK93" i="1592"/>
  <c r="AL92" i="1592" s="1"/>
  <c r="AH93" i="1592"/>
  <c r="AG93" i="1592"/>
  <c r="J93" i="1592"/>
  <c r="B93" i="1592"/>
  <c r="AH92" i="1592"/>
  <c r="AG92" i="1592"/>
  <c r="Z90" i="1592"/>
  <c r="I92" i="1592"/>
  <c r="E92" i="1592"/>
  <c r="E93" i="1592" s="1"/>
  <c r="B92" i="1592"/>
  <c r="AQ91" i="1592"/>
  <c r="X90" i="1592" s="1"/>
  <c r="AB91" i="1592"/>
  <c r="G91" i="1592"/>
  <c r="G92" i="1592" s="1"/>
  <c r="G93" i="1592" s="1"/>
  <c r="C91" i="1592"/>
  <c r="AH90" i="1592"/>
  <c r="AG90" i="1592"/>
  <c r="AB90" i="1592"/>
  <c r="B90" i="1592"/>
  <c r="AK89" i="1592"/>
  <c r="X88" i="1592" s="1"/>
  <c r="AH89" i="1592"/>
  <c r="AG89" i="1592"/>
  <c r="J89" i="1592"/>
  <c r="B89" i="1592"/>
  <c r="AH88" i="1592"/>
  <c r="AG88" i="1592"/>
  <c r="I88" i="1592"/>
  <c r="E88" i="1592"/>
  <c r="E89" i="1592" s="1"/>
  <c r="B88" i="1592"/>
  <c r="AB87" i="1592"/>
  <c r="G87" i="1592"/>
  <c r="G88" i="1592" s="1"/>
  <c r="G89" i="1592" s="1"/>
  <c r="C87" i="1592"/>
  <c r="AH86" i="1592"/>
  <c r="AG86" i="1592"/>
  <c r="AB86" i="1592"/>
  <c r="B86" i="1592"/>
  <c r="AK85" i="1592"/>
  <c r="AH85" i="1592"/>
  <c r="AG85" i="1592"/>
  <c r="J85" i="1592"/>
  <c r="B85" i="1592"/>
  <c r="AH84" i="1592"/>
  <c r="AG84" i="1592"/>
  <c r="I84" i="1592"/>
  <c r="E84" i="1592"/>
  <c r="E85" i="1592" s="1"/>
  <c r="B84" i="1592"/>
  <c r="G83" i="1592"/>
  <c r="G84" i="1592" s="1"/>
  <c r="G85" i="1592" s="1"/>
  <c r="C83" i="1592"/>
  <c r="AH82" i="1592"/>
  <c r="AG82" i="1592"/>
  <c r="AB82" i="1592"/>
  <c r="B82" i="1592"/>
  <c r="AK81" i="1592"/>
  <c r="AH81" i="1592"/>
  <c r="AG81" i="1592"/>
  <c r="J81" i="1592"/>
  <c r="B81" i="1592"/>
  <c r="AH80" i="1592"/>
  <c r="AG80" i="1592"/>
  <c r="I80" i="1592"/>
  <c r="E80" i="1592"/>
  <c r="E81" i="1592" s="1"/>
  <c r="B80" i="1592"/>
  <c r="G79" i="1592"/>
  <c r="G80" i="1592" s="1"/>
  <c r="G81" i="1592" s="1"/>
  <c r="C79" i="1592"/>
  <c r="AH78" i="1592"/>
  <c r="AG78" i="1592"/>
  <c r="AB78" i="1592"/>
  <c r="B78" i="1592"/>
  <c r="AK73" i="1592"/>
  <c r="AH73" i="1592"/>
  <c r="AG73" i="1592"/>
  <c r="J73" i="1592"/>
  <c r="B73" i="1592"/>
  <c r="AH72" i="1592"/>
  <c r="AG72" i="1592"/>
  <c r="I72" i="1592"/>
  <c r="E72" i="1592"/>
  <c r="E73" i="1592" s="1"/>
  <c r="B72" i="1592"/>
  <c r="AB71" i="1592"/>
  <c r="G71" i="1592"/>
  <c r="G72" i="1592" s="1"/>
  <c r="G73" i="1592" s="1"/>
  <c r="C71" i="1592"/>
  <c r="AH70" i="1592"/>
  <c r="AG70" i="1592"/>
  <c r="B70" i="1592"/>
  <c r="J69" i="1592"/>
  <c r="B69" i="1592"/>
  <c r="I68" i="1592"/>
  <c r="E68" i="1592"/>
  <c r="E69" i="1592" s="1"/>
  <c r="B68" i="1592"/>
  <c r="AQ67" i="1592"/>
  <c r="X66" i="1592" s="1"/>
  <c r="AB66" i="1592"/>
  <c r="B66" i="1592"/>
  <c r="AK65" i="1592"/>
  <c r="AH65" i="1592"/>
  <c r="AG65" i="1592"/>
  <c r="B65" i="1592"/>
  <c r="AH64" i="1592"/>
  <c r="AG64" i="1592"/>
  <c r="I64" i="1592"/>
  <c r="E64" i="1592"/>
  <c r="E65" i="1592" s="1"/>
  <c r="B64" i="1592"/>
  <c r="G63" i="1592"/>
  <c r="G64" i="1592" s="1"/>
  <c r="G65" i="1592" s="1"/>
  <c r="C63" i="1592"/>
  <c r="AH62" i="1592"/>
  <c r="AG62" i="1592"/>
  <c r="B62" i="1592"/>
  <c r="AK61" i="1592"/>
  <c r="AL60" i="1592" s="1"/>
  <c r="AH61" i="1592"/>
  <c r="AG61" i="1592"/>
  <c r="J61" i="1592"/>
  <c r="B61" i="1592"/>
  <c r="AH60" i="1592"/>
  <c r="AG60" i="1592"/>
  <c r="I60" i="1592"/>
  <c r="E60" i="1592"/>
  <c r="E61" i="1592" s="1"/>
  <c r="B60" i="1592"/>
  <c r="Z61" i="1592"/>
  <c r="G59" i="1592"/>
  <c r="G60" i="1592" s="1"/>
  <c r="G61" i="1592" s="1"/>
  <c r="C59" i="1592"/>
  <c r="AH58" i="1592"/>
  <c r="AG58" i="1592"/>
  <c r="AB58" i="1592"/>
  <c r="B58" i="1592"/>
  <c r="AK57" i="1592"/>
  <c r="AH57" i="1592"/>
  <c r="AG57" i="1592"/>
  <c r="J57" i="1592"/>
  <c r="B57" i="1592"/>
  <c r="AH56" i="1592"/>
  <c r="AG56" i="1592"/>
  <c r="I56" i="1592"/>
  <c r="E56" i="1592"/>
  <c r="E57" i="1592" s="1"/>
  <c r="B56" i="1592"/>
  <c r="G55" i="1592"/>
  <c r="G56" i="1592" s="1"/>
  <c r="G57" i="1592" s="1"/>
  <c r="C55" i="1592"/>
  <c r="AH54" i="1592"/>
  <c r="AG54" i="1592"/>
  <c r="AQ55" i="1592"/>
  <c r="X54" i="1592" s="1"/>
  <c r="B54" i="1592"/>
  <c r="AK53" i="1592"/>
  <c r="AH53" i="1592"/>
  <c r="AG53" i="1592"/>
  <c r="J53" i="1592"/>
  <c r="B53" i="1592"/>
  <c r="AH52" i="1592"/>
  <c r="AG52" i="1592"/>
  <c r="O121" i="1592"/>
  <c r="AL52" i="1592"/>
  <c r="I52" i="1592"/>
  <c r="E52" i="1592"/>
  <c r="E53" i="1592" s="1"/>
  <c r="B52" i="1592"/>
  <c r="G51" i="1592"/>
  <c r="G52" i="1592" s="1"/>
  <c r="G53" i="1592" s="1"/>
  <c r="C51" i="1592"/>
  <c r="AH50" i="1592"/>
  <c r="AG50" i="1592"/>
  <c r="AB50" i="1592"/>
  <c r="B50" i="1592"/>
  <c r="AK49" i="1592"/>
  <c r="AH49" i="1592"/>
  <c r="AG49" i="1592"/>
  <c r="J49" i="1592"/>
  <c r="B49" i="1592"/>
  <c r="AH48" i="1592"/>
  <c r="AG48" i="1592"/>
  <c r="I48" i="1592"/>
  <c r="E48" i="1592"/>
  <c r="E49" i="1592" s="1"/>
  <c r="B48" i="1592"/>
  <c r="Z49" i="1592"/>
  <c r="G47" i="1592"/>
  <c r="G48" i="1592" s="1"/>
  <c r="G49" i="1592" s="1"/>
  <c r="C47" i="1592"/>
  <c r="AH46" i="1592"/>
  <c r="AG46" i="1592"/>
  <c r="AB46" i="1592"/>
  <c r="B46" i="1592"/>
  <c r="AK45" i="1592"/>
  <c r="AH45" i="1592"/>
  <c r="AG45" i="1592"/>
  <c r="J45" i="1592"/>
  <c r="B45" i="1592"/>
  <c r="AH44" i="1592"/>
  <c r="AG44" i="1592"/>
  <c r="I44" i="1592"/>
  <c r="E44" i="1592"/>
  <c r="E45" i="1592" s="1"/>
  <c r="B44" i="1592"/>
  <c r="G43" i="1592"/>
  <c r="G44" i="1592" s="1"/>
  <c r="G45" i="1592" s="1"/>
  <c r="C43" i="1592"/>
  <c r="AH42" i="1592"/>
  <c r="AG42" i="1592"/>
  <c r="AB42" i="1592"/>
  <c r="B42" i="1592"/>
  <c r="AK37" i="1592"/>
  <c r="AH37" i="1592"/>
  <c r="AG37" i="1592"/>
  <c r="J37" i="1592"/>
  <c r="B37" i="1592"/>
  <c r="AH36" i="1592"/>
  <c r="AG36" i="1592"/>
  <c r="I36" i="1592"/>
  <c r="E36" i="1592"/>
  <c r="E37" i="1592" s="1"/>
  <c r="B36" i="1592"/>
  <c r="G35" i="1592"/>
  <c r="G36" i="1592" s="1"/>
  <c r="G37" i="1592" s="1"/>
  <c r="C35" i="1592"/>
  <c r="AH34" i="1592"/>
  <c r="AG34" i="1592"/>
  <c r="B34" i="1592"/>
  <c r="AK33" i="1592"/>
  <c r="AH33" i="1592"/>
  <c r="AG33" i="1592"/>
  <c r="J33" i="1592"/>
  <c r="B33" i="1592"/>
  <c r="AH32" i="1592"/>
  <c r="AG32" i="1592"/>
  <c r="I32" i="1592"/>
  <c r="E32" i="1592"/>
  <c r="E33" i="1592" s="1"/>
  <c r="B32" i="1592"/>
  <c r="AI31" i="1592"/>
  <c r="G31" i="1592"/>
  <c r="G32" i="1592" s="1"/>
  <c r="G33" i="1592" s="1"/>
  <c r="C31" i="1592"/>
  <c r="AH30" i="1592"/>
  <c r="AG30" i="1592"/>
  <c r="AB30" i="1592"/>
  <c r="B30" i="1592"/>
  <c r="AK29" i="1592"/>
  <c r="AL28" i="1592" s="1"/>
  <c r="AH29" i="1592"/>
  <c r="AG29" i="1592"/>
  <c r="J29" i="1592"/>
  <c r="B29" i="1592"/>
  <c r="AH28" i="1592"/>
  <c r="AG28" i="1592"/>
  <c r="Z26" i="1592"/>
  <c r="I28" i="1592"/>
  <c r="E28" i="1592"/>
  <c r="E29" i="1592" s="1"/>
  <c r="B28" i="1592"/>
  <c r="AQ27" i="1592"/>
  <c r="X26" i="1592" s="1"/>
  <c r="AB27" i="1592"/>
  <c r="G27" i="1592"/>
  <c r="G28" i="1592" s="1"/>
  <c r="G29" i="1592" s="1"/>
  <c r="C27" i="1592"/>
  <c r="AH26" i="1592"/>
  <c r="AG26" i="1592"/>
  <c r="AB26" i="1592"/>
  <c r="B26" i="1592"/>
  <c r="AK25" i="1592"/>
  <c r="J25" i="1592"/>
  <c r="B25" i="1592"/>
  <c r="Z22" i="1592"/>
  <c r="I24" i="1592"/>
  <c r="E24" i="1592"/>
  <c r="E25" i="1592" s="1"/>
  <c r="B24" i="1592"/>
  <c r="AQ23" i="1592"/>
  <c r="X22" i="1592" s="1"/>
  <c r="AB23" i="1592"/>
  <c r="AB22" i="1592"/>
  <c r="B22" i="1592"/>
  <c r="AK21" i="1592"/>
  <c r="AH21" i="1592"/>
  <c r="AG21" i="1592"/>
  <c r="J21" i="1592"/>
  <c r="B21" i="1592"/>
  <c r="AH20" i="1592"/>
  <c r="AG20" i="1592"/>
  <c r="U121" i="1592"/>
  <c r="T121" i="1592"/>
  <c r="S121" i="1592"/>
  <c r="R121" i="1592"/>
  <c r="Q121" i="1592"/>
  <c r="P121" i="1592"/>
  <c r="N121" i="1592"/>
  <c r="M121" i="1592"/>
  <c r="B20" i="1592"/>
  <c r="G19" i="1592"/>
  <c r="G20" i="1592" s="1"/>
  <c r="G21" i="1592" s="1"/>
  <c r="C19" i="1592"/>
  <c r="AH18" i="1592"/>
  <c r="AG18" i="1592"/>
  <c r="AB18" i="1592"/>
  <c r="B18" i="1592"/>
  <c r="AK17" i="1592"/>
  <c r="AL17" i="1592" s="1"/>
  <c r="AH17" i="1592"/>
  <c r="AG17" i="1592"/>
  <c r="J17" i="1592"/>
  <c r="B17" i="1592"/>
  <c r="AH16" i="1592"/>
  <c r="AG16" i="1592"/>
  <c r="I16" i="1592"/>
  <c r="E16" i="1592"/>
  <c r="E17" i="1592" s="1"/>
  <c r="B16" i="1592"/>
  <c r="AB15" i="1592"/>
  <c r="G15" i="1592"/>
  <c r="G16" i="1592" s="1"/>
  <c r="G17" i="1592" s="1"/>
  <c r="C15" i="1592"/>
  <c r="AH14" i="1592"/>
  <c r="AG14" i="1592"/>
  <c r="AB14" i="1592"/>
  <c r="B14" i="1592"/>
  <c r="AK13" i="1592"/>
  <c r="AH13" i="1592"/>
  <c r="AG13" i="1592"/>
  <c r="J13" i="1592"/>
  <c r="B13" i="1592"/>
  <c r="AH12" i="1592"/>
  <c r="AG12" i="1592"/>
  <c r="I12" i="1592"/>
  <c r="E12" i="1592"/>
  <c r="E13" i="1592" s="1"/>
  <c r="B12" i="1592"/>
  <c r="Z13" i="1592"/>
  <c r="C11" i="1592"/>
  <c r="AH10" i="1592"/>
  <c r="AG10" i="1592"/>
  <c r="B10" i="1592"/>
  <c r="AK9" i="1592"/>
  <c r="AL9" i="1592" s="1"/>
  <c r="AH9" i="1592"/>
  <c r="AG9" i="1592"/>
  <c r="J9" i="1592"/>
  <c r="B9" i="1592"/>
  <c r="AH8" i="1592"/>
  <c r="AG8" i="1592"/>
  <c r="I8" i="1592"/>
  <c r="E8" i="1592"/>
  <c r="E9" i="1592" s="1"/>
  <c r="B8" i="1592"/>
  <c r="AA7" i="1592"/>
  <c r="G7" i="1592"/>
  <c r="C7" i="1592"/>
  <c r="AH6" i="1592"/>
  <c r="AG6" i="1592"/>
  <c r="AA6" i="1592"/>
  <c r="X6" i="1592" s="1"/>
  <c r="B6" i="1592"/>
  <c r="AD4" i="1592"/>
  <c r="X68" i="1592" l="1"/>
  <c r="X40" i="1592"/>
  <c r="Z38" i="1592" s="1"/>
  <c r="X36" i="1592"/>
  <c r="X35" i="1592"/>
  <c r="AL45" i="1592"/>
  <c r="X43" i="1592"/>
  <c r="X44" i="1592"/>
  <c r="AL76" i="1592"/>
  <c r="AM76" i="1592" s="1"/>
  <c r="X76" i="1592"/>
  <c r="AL109" i="1592"/>
  <c r="AM109" i="1592" s="1"/>
  <c r="X108" i="1592"/>
  <c r="AL33" i="1592"/>
  <c r="AM33" i="1592" s="1"/>
  <c r="X32" i="1592"/>
  <c r="X31" i="1592"/>
  <c r="AL49" i="1592"/>
  <c r="X48" i="1592"/>
  <c r="Z46" i="1592" s="1"/>
  <c r="X20" i="1592"/>
  <c r="X19" i="1592"/>
  <c r="AL65" i="1592"/>
  <c r="AM65" i="1592" s="1"/>
  <c r="X64" i="1592"/>
  <c r="Z62" i="1592" s="1"/>
  <c r="AL73" i="1592"/>
  <c r="X71" i="1592"/>
  <c r="X72" i="1592"/>
  <c r="AL81" i="1592"/>
  <c r="AM81" i="1592" s="1"/>
  <c r="X79" i="1592"/>
  <c r="X80" i="1592"/>
  <c r="Z78" i="1592" s="1"/>
  <c r="AL84" i="1592"/>
  <c r="X84" i="1592"/>
  <c r="Z82" i="1592" s="1"/>
  <c r="AL97" i="1592"/>
  <c r="X95" i="1592"/>
  <c r="X96" i="1592"/>
  <c r="AL101" i="1592"/>
  <c r="AM101" i="1592" s="1"/>
  <c r="X100" i="1592"/>
  <c r="X99" i="1592"/>
  <c r="AL13" i="1592"/>
  <c r="AM13" i="1592" s="1"/>
  <c r="X12" i="1592"/>
  <c r="Z10" i="1592" s="1"/>
  <c r="X11" i="1592"/>
  <c r="AL53" i="1592"/>
  <c r="AM53" i="1592" s="1"/>
  <c r="X51" i="1592"/>
  <c r="X52" i="1592"/>
  <c r="Z50" i="1592" s="1"/>
  <c r="X56" i="1592"/>
  <c r="X55" i="1592"/>
  <c r="AL105" i="1592"/>
  <c r="AM105" i="1592" s="1"/>
  <c r="X104" i="1592"/>
  <c r="Z102" i="1592" s="1"/>
  <c r="X103" i="1592"/>
  <c r="X8" i="1592"/>
  <c r="Z6" i="1592" s="1"/>
  <c r="X7" i="1592"/>
  <c r="AL16" i="1592"/>
  <c r="AM16" i="1592" s="1"/>
  <c r="AL108" i="1592"/>
  <c r="AM108" i="1592" s="1"/>
  <c r="AF87" i="1592"/>
  <c r="AH87" i="1592" s="1"/>
  <c r="AD103" i="1592"/>
  <c r="AV103" i="1592" s="1"/>
  <c r="G8" i="1592"/>
  <c r="AB62" i="1592"/>
  <c r="AQ63" i="1592"/>
  <c r="X62" i="1592" s="1"/>
  <c r="AE71" i="1592"/>
  <c r="AF75" i="1592"/>
  <c r="AH75" i="1592" s="1"/>
  <c r="AE67" i="1592"/>
  <c r="X74" i="1592"/>
  <c r="AI75" i="1592"/>
  <c r="Z77" i="1592"/>
  <c r="AB94" i="1592"/>
  <c r="AD95" i="1592" s="1"/>
  <c r="AV95" i="1592" s="1"/>
  <c r="AQ95" i="1592"/>
  <c r="X94" i="1592" s="1"/>
  <c r="AB98" i="1592"/>
  <c r="AQ99" i="1592"/>
  <c r="X98" i="1592" s="1"/>
  <c r="AF7" i="1592"/>
  <c r="AH7" i="1592" s="1"/>
  <c r="AB10" i="1592"/>
  <c r="AQ11" i="1592"/>
  <c r="X10" i="1592" s="1"/>
  <c r="AF11" i="1592"/>
  <c r="AG11" i="1592" s="1"/>
  <c r="Z37" i="1592"/>
  <c r="AL72" i="1592"/>
  <c r="AM72" i="1592" s="1"/>
  <c r="AL85" i="1592"/>
  <c r="AM85" i="1592" s="1"/>
  <c r="AM92" i="1592"/>
  <c r="AB107" i="1592"/>
  <c r="AD107" i="1592" s="1"/>
  <c r="AL48" i="1592"/>
  <c r="AM48" i="1592" s="1"/>
  <c r="AL64" i="1592"/>
  <c r="AM64" i="1592" s="1"/>
  <c r="AL104" i="1592"/>
  <c r="AM104" i="1592" s="1"/>
  <c r="AF27" i="1592"/>
  <c r="AJ27" i="1592" s="1"/>
  <c r="AI35" i="1592"/>
  <c r="AE43" i="1592"/>
  <c r="AM45" i="1592"/>
  <c r="Z106" i="1592"/>
  <c r="Z109" i="1592"/>
  <c r="Z97" i="1592"/>
  <c r="AE23" i="1592"/>
  <c r="AB47" i="1592"/>
  <c r="AD47" i="1592" s="1"/>
  <c r="AL61" i="1592"/>
  <c r="AM61" i="1592" s="1"/>
  <c r="AB99" i="1592"/>
  <c r="AE75" i="1592"/>
  <c r="Z101" i="1592"/>
  <c r="AL29" i="1592"/>
  <c r="AM29" i="1592" s="1"/>
  <c r="AB54" i="1592"/>
  <c r="AL80" i="1592"/>
  <c r="AM80" i="1592" s="1"/>
  <c r="AF83" i="1592"/>
  <c r="AJ83" i="1592" s="1"/>
  <c r="AF91" i="1592"/>
  <c r="AH91" i="1592" s="1"/>
  <c r="AL93" i="1592"/>
  <c r="AM93" i="1592" s="1"/>
  <c r="AF95" i="1592"/>
  <c r="AH95" i="1592" s="1"/>
  <c r="AI103" i="1592"/>
  <c r="AF103" i="1592"/>
  <c r="AG103" i="1592" s="1"/>
  <c r="AB7" i="1592"/>
  <c r="AE11" i="1592"/>
  <c r="AB35" i="1592"/>
  <c r="AE47" i="1592"/>
  <c r="AQ51" i="1592"/>
  <c r="X50" i="1592" s="1"/>
  <c r="AF79" i="1592"/>
  <c r="AJ79" i="1592" s="1"/>
  <c r="AB19" i="1592"/>
  <c r="AD19" i="1592" s="1"/>
  <c r="AD21" i="1592" s="1"/>
  <c r="AB31" i="1592"/>
  <c r="AD31" i="1592" s="1"/>
  <c r="AD33" i="1592" s="1"/>
  <c r="AF63" i="1592"/>
  <c r="AH63" i="1592" s="1"/>
  <c r="AB67" i="1592"/>
  <c r="AD67" i="1592" s="1"/>
  <c r="AD69" i="1592" s="1"/>
  <c r="AD15" i="1592"/>
  <c r="AD17" i="1592" s="1"/>
  <c r="AF15" i="1592"/>
  <c r="AG15" i="1592" s="1"/>
  <c r="AI19" i="1592"/>
  <c r="AE27" i="1592"/>
  <c r="AE31" i="1592"/>
  <c r="AF71" i="1592"/>
  <c r="AH71" i="1592" s="1"/>
  <c r="AB74" i="1592"/>
  <c r="AL77" i="1592"/>
  <c r="AM77" i="1592" s="1"/>
  <c r="AB6" i="1592"/>
  <c r="Z111" i="1592"/>
  <c r="AB75" i="1592"/>
  <c r="AB59" i="1592"/>
  <c r="AD59" i="1592" s="1"/>
  <c r="Z74" i="1592"/>
  <c r="AI7" i="1592"/>
  <c r="AE15" i="1592"/>
  <c r="AQ19" i="1592"/>
  <c r="X18" i="1592" s="1"/>
  <c r="AM28" i="1592"/>
  <c r="Z33" i="1592"/>
  <c r="AB34" i="1592"/>
  <c r="AI47" i="1592"/>
  <c r="AM52" i="1592"/>
  <c r="AI59" i="1592"/>
  <c r="Z58" i="1592"/>
  <c r="AB70" i="1592"/>
  <c r="AD71" i="1592" s="1"/>
  <c r="AI71" i="1592"/>
  <c r="AB79" i="1592"/>
  <c r="AD79" i="1592" s="1"/>
  <c r="AE91" i="1592"/>
  <c r="AE95" i="1592"/>
  <c r="AF99" i="1592"/>
  <c r="AH99" i="1592" s="1"/>
  <c r="AM17" i="1592"/>
  <c r="AF31" i="1592"/>
  <c r="AG31" i="1592" s="1"/>
  <c r="AF43" i="1592"/>
  <c r="AJ43" i="1592" s="1"/>
  <c r="AF47" i="1592"/>
  <c r="AJ47" i="1592" s="1"/>
  <c r="AF55" i="1592"/>
  <c r="AH55" i="1592" s="1"/>
  <c r="AF59" i="1592"/>
  <c r="AG59" i="1592" s="1"/>
  <c r="AE103" i="1592"/>
  <c r="AM49" i="1592"/>
  <c r="AM73" i="1592"/>
  <c r="AE7" i="1592"/>
  <c r="AM9" i="1592"/>
  <c r="AI15" i="1592"/>
  <c r="Z14" i="1592"/>
  <c r="AF51" i="1592"/>
  <c r="AH51" i="1592" s="1"/>
  <c r="AI91" i="1592"/>
  <c r="AM97" i="1592"/>
  <c r="Z113" i="1592"/>
  <c r="AD87" i="1592"/>
  <c r="AD89" i="1592" s="1"/>
  <c r="AD23" i="1592"/>
  <c r="AV23" i="1592" s="1"/>
  <c r="P118" i="1592"/>
  <c r="P124" i="1592" s="1"/>
  <c r="Z66" i="1592"/>
  <c r="Z70" i="1592"/>
  <c r="AL8" i="1592"/>
  <c r="AM8" i="1592" s="1"/>
  <c r="AL12" i="1592"/>
  <c r="AM12" i="1592" s="1"/>
  <c r="AI27" i="1592"/>
  <c r="AB43" i="1592"/>
  <c r="AD43" i="1592" s="1"/>
  <c r="AI43" i="1592"/>
  <c r="O118" i="1592"/>
  <c r="O124" i="1592" s="1"/>
  <c r="N118" i="1592"/>
  <c r="N124" i="1592" s="1"/>
  <c r="S118" i="1592"/>
  <c r="S124" i="1592" s="1"/>
  <c r="AQ31" i="1592"/>
  <c r="X30" i="1592" s="1"/>
  <c r="AL37" i="1592"/>
  <c r="AM37" i="1592" s="1"/>
  <c r="AL36" i="1592"/>
  <c r="AM36" i="1592" s="1"/>
  <c r="Z34" i="1592"/>
  <c r="AI11" i="1592"/>
  <c r="T118" i="1592"/>
  <c r="T124" i="1592" s="1"/>
  <c r="AL21" i="1592"/>
  <c r="AM21" i="1592" s="1"/>
  <c r="AL20" i="1592"/>
  <c r="Z18" i="1592"/>
  <c r="AF35" i="1592"/>
  <c r="AJ35" i="1592" s="1"/>
  <c r="AE35" i="1592"/>
  <c r="AB11" i="1592"/>
  <c r="AA4" i="1592"/>
  <c r="AD27" i="1592"/>
  <c r="AI51" i="1592"/>
  <c r="AB51" i="1592"/>
  <c r="AD51" i="1592" s="1"/>
  <c r="Z53" i="1592"/>
  <c r="AE51" i="1592"/>
  <c r="M118" i="1592"/>
  <c r="M124" i="1592" s="1"/>
  <c r="Z42" i="1592"/>
  <c r="AL44" i="1592"/>
  <c r="AM44" i="1592" s="1"/>
  <c r="AM60" i="1592"/>
  <c r="AE63" i="1592"/>
  <c r="AE83" i="1592"/>
  <c r="AM84" i="1592"/>
  <c r="AL88" i="1592"/>
  <c r="AM88" i="1592" s="1"/>
  <c r="Z86" i="1592"/>
  <c r="AL89" i="1592"/>
  <c r="AM89" i="1592" s="1"/>
  <c r="AD91" i="1592"/>
  <c r="R118" i="1592"/>
  <c r="R124" i="1592" s="1"/>
  <c r="V124" i="1592"/>
  <c r="AI55" i="1592"/>
  <c r="AL57" i="1592"/>
  <c r="AM57" i="1592" s="1"/>
  <c r="AL56" i="1592"/>
  <c r="AM56" i="1592" s="1"/>
  <c r="Z54" i="1592"/>
  <c r="AI63" i="1592"/>
  <c r="Z65" i="1592"/>
  <c r="AB63" i="1592"/>
  <c r="AI83" i="1592"/>
  <c r="Z85" i="1592"/>
  <c r="AB83" i="1592"/>
  <c r="AD83" i="1592" s="1"/>
  <c r="W118" i="1592"/>
  <c r="W124" i="1592" s="1"/>
  <c r="AQ43" i="1592"/>
  <c r="X42" i="1592" s="1"/>
  <c r="AB55" i="1592"/>
  <c r="AE55" i="1592"/>
  <c r="AE59" i="1592"/>
  <c r="Q118" i="1592"/>
  <c r="Q124" i="1592" s="1"/>
  <c r="U118" i="1592"/>
  <c r="U124" i="1592" s="1"/>
  <c r="Z30" i="1592"/>
  <c r="AL32" i="1592"/>
  <c r="AM32" i="1592" s="1"/>
  <c r="AE87" i="1592"/>
  <c r="AQ107" i="1592"/>
  <c r="X106" i="1592" s="1"/>
  <c r="AQ83" i="1592"/>
  <c r="X82" i="1592" s="1"/>
  <c r="AE79" i="1592"/>
  <c r="AI79" i="1592"/>
  <c r="AI87" i="1592"/>
  <c r="AI95" i="1592"/>
  <c r="Z94" i="1592"/>
  <c r="AL96" i="1592"/>
  <c r="AM96" i="1592" s="1"/>
  <c r="AE99" i="1592"/>
  <c r="Z98" i="1592"/>
  <c r="AL100" i="1592"/>
  <c r="AM100" i="1592" s="1"/>
  <c r="J101" i="1591"/>
  <c r="J53" i="1591"/>
  <c r="J45" i="1591"/>
  <c r="AG75" i="1592" l="1"/>
  <c r="AJ87" i="1592"/>
  <c r="AG87" i="1592"/>
  <c r="AH43" i="1592"/>
  <c r="AD105" i="1592"/>
  <c r="AQ4" i="1592"/>
  <c r="AD63" i="1592"/>
  <c r="AD65" i="1592" s="1"/>
  <c r="AG7" i="1592"/>
  <c r="AJ59" i="1592"/>
  <c r="AJ75" i="1592"/>
  <c r="AJ99" i="1592"/>
  <c r="AG99" i="1592"/>
  <c r="AH59" i="1592"/>
  <c r="AH31" i="1592"/>
  <c r="AV31" i="1592"/>
  <c r="AD11" i="1592"/>
  <c r="AD13" i="1592" s="1"/>
  <c r="AG71" i="1592"/>
  <c r="AJ71" i="1592"/>
  <c r="AH15" i="1592"/>
  <c r="AJ103" i="1592"/>
  <c r="AJ63" i="1592"/>
  <c r="AD99" i="1592"/>
  <c r="AD101" i="1592" s="1"/>
  <c r="AG91" i="1592"/>
  <c r="AJ91" i="1592"/>
  <c r="AG63" i="1592"/>
  <c r="AD55" i="1592"/>
  <c r="AV55" i="1592" s="1"/>
  <c r="AG43" i="1592"/>
  <c r="AH79" i="1592"/>
  <c r="AH103" i="1592"/>
  <c r="AG79" i="1592"/>
  <c r="AJ7" i="1592"/>
  <c r="AH11" i="1592"/>
  <c r="G9" i="1592"/>
  <c r="AV47" i="1592"/>
  <c r="AD49" i="1592"/>
  <c r="AJ11" i="1592"/>
  <c r="AV19" i="1592"/>
  <c r="AJ15" i="1592"/>
  <c r="AJ31" i="1592"/>
  <c r="AD35" i="1592"/>
  <c r="AD37" i="1592" s="1"/>
  <c r="AH27" i="1592"/>
  <c r="AV107" i="1592"/>
  <c r="AD109" i="1592"/>
  <c r="AG27" i="1592"/>
  <c r="AD25" i="1592"/>
  <c r="AD7" i="1592"/>
  <c r="AD9" i="1592" s="1"/>
  <c r="AD97" i="1592"/>
  <c r="AV35" i="1592"/>
  <c r="AH83" i="1592"/>
  <c r="AG95" i="1592"/>
  <c r="AG83" i="1592"/>
  <c r="AJ95" i="1592"/>
  <c r="AV59" i="1592"/>
  <c r="AD61" i="1592"/>
  <c r="AV15" i="1592"/>
  <c r="AD75" i="1592"/>
  <c r="AM20" i="1592"/>
  <c r="AI2" i="1592"/>
  <c r="AG47" i="1592"/>
  <c r="AH47" i="1592"/>
  <c r="AH107" i="1592"/>
  <c r="AG107" i="1592"/>
  <c r="AV87" i="1592"/>
  <c r="AG51" i="1592"/>
  <c r="AJ55" i="1592"/>
  <c r="AJ51" i="1592"/>
  <c r="AJ107" i="1592"/>
  <c r="AG55" i="1592"/>
  <c r="AV67" i="1592"/>
  <c r="AD85" i="1592"/>
  <c r="AV83" i="1592"/>
  <c r="AD53" i="1592"/>
  <c r="AV51" i="1592"/>
  <c r="AD45" i="1592"/>
  <c r="AV43" i="1592"/>
  <c r="AV11" i="1592"/>
  <c r="AD93" i="1592"/>
  <c r="AV91" i="1592"/>
  <c r="AG35" i="1592"/>
  <c r="AH35" i="1592"/>
  <c r="AF19" i="1592"/>
  <c r="AE19" i="1592"/>
  <c r="AD81" i="1592"/>
  <c r="AV79" i="1592"/>
  <c r="AD73" i="1592"/>
  <c r="AV71" i="1592"/>
  <c r="AD29" i="1592"/>
  <c r="AV27" i="1592"/>
  <c r="J21" i="1591"/>
  <c r="AV63" i="1592" l="1"/>
  <c r="AD57" i="1592"/>
  <c r="AV99" i="1592"/>
  <c r="AV7" i="1592"/>
  <c r="AD77" i="1592"/>
  <c r="AV75" i="1592"/>
  <c r="AH19" i="1592"/>
  <c r="AH2" i="1592" s="1"/>
  <c r="AD2" i="1592" s="1"/>
  <c r="AG19" i="1592"/>
  <c r="AF4" i="1592"/>
  <c r="AJ19" i="1592"/>
  <c r="U20" i="1591"/>
  <c r="T20" i="1591"/>
  <c r="S20" i="1591"/>
  <c r="R20" i="1591"/>
  <c r="Q20" i="1591"/>
  <c r="P20" i="1591"/>
  <c r="Q52" i="1591" l="1"/>
  <c r="P52" i="1591" l="1"/>
  <c r="AK13" i="1591" l="1"/>
  <c r="AL13" i="1591" s="1"/>
  <c r="AH13" i="1591"/>
  <c r="AG13" i="1591"/>
  <c r="AA13" i="1591"/>
  <c r="J13" i="1591"/>
  <c r="B13" i="1591"/>
  <c r="AH12" i="1591"/>
  <c r="AG12" i="1591"/>
  <c r="AA12" i="1591"/>
  <c r="I12" i="1591"/>
  <c r="E12" i="1591"/>
  <c r="E13" i="1591" s="1"/>
  <c r="B12" i="1591"/>
  <c r="AA11" i="1591"/>
  <c r="Z13" i="1591" s="1"/>
  <c r="C11" i="1591"/>
  <c r="AH10" i="1591"/>
  <c r="AG10" i="1591"/>
  <c r="AA10" i="1591"/>
  <c r="AQ11" i="1591" s="1"/>
  <c r="X10" i="1591" s="1"/>
  <c r="B10" i="1591"/>
  <c r="AL12" i="1591" l="1"/>
  <c r="AM12" i="1591" s="1"/>
  <c r="AF11" i="1591"/>
  <c r="AH11" i="1591" s="1"/>
  <c r="AI11" i="1591"/>
  <c r="X12" i="1591"/>
  <c r="Z10" i="1591" s="1"/>
  <c r="AE11" i="1591"/>
  <c r="AM13" i="1591"/>
  <c r="AB11" i="1591"/>
  <c r="AB10" i="1591"/>
  <c r="O52" i="1591"/>
  <c r="N52" i="1591"/>
  <c r="AG11" i="1591" l="1"/>
  <c r="AJ11" i="1591"/>
  <c r="AD11" i="1591"/>
  <c r="AV11" i="1591" s="1"/>
  <c r="J113" i="1590"/>
  <c r="B113" i="1590"/>
  <c r="I112" i="1590"/>
  <c r="E112" i="1590"/>
  <c r="E113" i="1590" s="1"/>
  <c r="B112" i="1590"/>
  <c r="G111" i="1590"/>
  <c r="G112" i="1590" s="1"/>
  <c r="G113" i="1590" s="1"/>
  <c r="C111" i="1590"/>
  <c r="B110" i="1590"/>
  <c r="AD13" i="1591" l="1"/>
  <c r="N20" i="1591"/>
  <c r="M52" i="1591" l="1"/>
  <c r="M20" i="1591"/>
  <c r="W121" i="1591" l="1"/>
  <c r="V121" i="1591"/>
  <c r="V118" i="1591" s="1"/>
  <c r="S121" i="1591"/>
  <c r="R121" i="1591"/>
  <c r="R118" i="1591" s="1"/>
  <c r="W115" i="1591"/>
  <c r="V115" i="1591"/>
  <c r="U115" i="1591"/>
  <c r="T115" i="1591"/>
  <c r="S115" i="1591"/>
  <c r="R115" i="1591"/>
  <c r="Q115" i="1591"/>
  <c r="P115" i="1591"/>
  <c r="O115" i="1591"/>
  <c r="N115" i="1591"/>
  <c r="M115" i="1591"/>
  <c r="W113" i="1591"/>
  <c r="V113" i="1591"/>
  <c r="U113" i="1591"/>
  <c r="T113" i="1591"/>
  <c r="S113" i="1591"/>
  <c r="R113" i="1591"/>
  <c r="Q113" i="1591"/>
  <c r="P113" i="1591"/>
  <c r="O113" i="1591"/>
  <c r="N113" i="1591"/>
  <c r="M113" i="1591"/>
  <c r="W111" i="1591"/>
  <c r="V111" i="1591"/>
  <c r="U111" i="1591"/>
  <c r="T111" i="1591"/>
  <c r="S111" i="1591"/>
  <c r="R111" i="1591"/>
  <c r="Q111" i="1591"/>
  <c r="P111" i="1591"/>
  <c r="O111" i="1591"/>
  <c r="N111" i="1591"/>
  <c r="M111" i="1591"/>
  <c r="AK109" i="1591"/>
  <c r="AL109" i="1591" s="1"/>
  <c r="AH109" i="1591"/>
  <c r="AG109" i="1591"/>
  <c r="AA109" i="1591"/>
  <c r="J109" i="1591"/>
  <c r="B109" i="1591"/>
  <c r="AH108" i="1591"/>
  <c r="AG108" i="1591"/>
  <c r="AA108" i="1591"/>
  <c r="I108" i="1591"/>
  <c r="E108" i="1591"/>
  <c r="E109" i="1591" s="1"/>
  <c r="B108" i="1591"/>
  <c r="AA107" i="1591"/>
  <c r="X107" i="1591" s="1"/>
  <c r="G107" i="1591"/>
  <c r="G108" i="1591" s="1"/>
  <c r="G109" i="1591" s="1"/>
  <c r="C107" i="1591"/>
  <c r="AH106" i="1591"/>
  <c r="AG106" i="1591"/>
  <c r="AA106" i="1591"/>
  <c r="AQ107" i="1591" s="1"/>
  <c r="B106" i="1591"/>
  <c r="AK105" i="1591"/>
  <c r="AL105" i="1591" s="1"/>
  <c r="AH105" i="1591"/>
  <c r="AG105" i="1591"/>
  <c r="AA105" i="1591"/>
  <c r="J105" i="1591"/>
  <c r="B105" i="1591"/>
  <c r="AH104" i="1591"/>
  <c r="AG104" i="1591"/>
  <c r="AA104" i="1591"/>
  <c r="I104" i="1591"/>
  <c r="E104" i="1591"/>
  <c r="E105" i="1591" s="1"/>
  <c r="B104" i="1591"/>
  <c r="AA103" i="1591"/>
  <c r="AB103" i="1591" s="1"/>
  <c r="G103" i="1591"/>
  <c r="G104" i="1591" s="1"/>
  <c r="G105" i="1591" s="1"/>
  <c r="C103" i="1591"/>
  <c r="AH102" i="1591"/>
  <c r="AG102" i="1591"/>
  <c r="AA102" i="1591"/>
  <c r="AB102" i="1591" s="1"/>
  <c r="B102" i="1591"/>
  <c r="AK101" i="1591"/>
  <c r="AH101" i="1591"/>
  <c r="AG101" i="1591"/>
  <c r="AA101" i="1591"/>
  <c r="B101" i="1591"/>
  <c r="AH100" i="1591"/>
  <c r="AG100" i="1591"/>
  <c r="AA100" i="1591"/>
  <c r="I100" i="1591"/>
  <c r="E100" i="1591"/>
  <c r="E101" i="1591" s="1"/>
  <c r="B100" i="1591"/>
  <c r="AA99" i="1591"/>
  <c r="Z101" i="1591" s="1"/>
  <c r="G99" i="1591"/>
  <c r="G100" i="1591" s="1"/>
  <c r="G101" i="1591" s="1"/>
  <c r="C99" i="1591"/>
  <c r="AH98" i="1591"/>
  <c r="AG98" i="1591"/>
  <c r="AA98" i="1591"/>
  <c r="B98" i="1591"/>
  <c r="AK97" i="1591"/>
  <c r="AL96" i="1591" s="1"/>
  <c r="AH97" i="1591"/>
  <c r="AG97" i="1591"/>
  <c r="AA97" i="1591"/>
  <c r="J97" i="1591"/>
  <c r="B97" i="1591"/>
  <c r="AH96" i="1591"/>
  <c r="AG96" i="1591"/>
  <c r="AA96" i="1591"/>
  <c r="X96" i="1591"/>
  <c r="Z94" i="1591" s="1"/>
  <c r="I96" i="1591"/>
  <c r="E96" i="1591"/>
  <c r="E97" i="1591" s="1"/>
  <c r="B96" i="1591"/>
  <c r="AA95" i="1591"/>
  <c r="AI95" i="1591" s="1"/>
  <c r="X95" i="1591"/>
  <c r="G95" i="1591"/>
  <c r="G96" i="1591" s="1"/>
  <c r="G97" i="1591" s="1"/>
  <c r="C95" i="1591"/>
  <c r="AH94" i="1591"/>
  <c r="AG94" i="1591"/>
  <c r="AA94" i="1591"/>
  <c r="AB94" i="1591" s="1"/>
  <c r="X94" i="1591"/>
  <c r="B94" i="1591"/>
  <c r="AK93" i="1591"/>
  <c r="AH93" i="1591"/>
  <c r="AG93" i="1591"/>
  <c r="AA93" i="1591"/>
  <c r="J93" i="1591"/>
  <c r="B93" i="1591"/>
  <c r="AH92" i="1591"/>
  <c r="AG92" i="1591"/>
  <c r="AA92" i="1591"/>
  <c r="I92" i="1591"/>
  <c r="E92" i="1591"/>
  <c r="E93" i="1591" s="1"/>
  <c r="B92" i="1591"/>
  <c r="AA91" i="1591"/>
  <c r="Z93" i="1591" s="1"/>
  <c r="G91" i="1591"/>
  <c r="G92" i="1591" s="1"/>
  <c r="G93" i="1591" s="1"/>
  <c r="C91" i="1591"/>
  <c r="AH90" i="1591"/>
  <c r="AG90" i="1591"/>
  <c r="AA90" i="1591"/>
  <c r="B90" i="1591"/>
  <c r="AK89" i="1591"/>
  <c r="AL88" i="1591" s="1"/>
  <c r="AH89" i="1591"/>
  <c r="AG89" i="1591"/>
  <c r="AA89" i="1591"/>
  <c r="J89" i="1591"/>
  <c r="B89" i="1591"/>
  <c r="AH88" i="1591"/>
  <c r="AG88" i="1591"/>
  <c r="AA88" i="1591"/>
  <c r="X88" i="1591"/>
  <c r="Z86" i="1591" s="1"/>
  <c r="I88" i="1591"/>
  <c r="E88" i="1591"/>
  <c r="E89" i="1591" s="1"/>
  <c r="B88" i="1591"/>
  <c r="AQ87" i="1591"/>
  <c r="X86" i="1591" s="1"/>
  <c r="AA87" i="1591"/>
  <c r="X87" i="1591"/>
  <c r="G87" i="1591"/>
  <c r="G88" i="1591" s="1"/>
  <c r="G89" i="1591" s="1"/>
  <c r="C87" i="1591"/>
  <c r="AH86" i="1591"/>
  <c r="AG86" i="1591"/>
  <c r="AA86" i="1591"/>
  <c r="AB86" i="1591" s="1"/>
  <c r="B86" i="1591"/>
  <c r="AK85" i="1591"/>
  <c r="AL84" i="1591" s="1"/>
  <c r="AH85" i="1591"/>
  <c r="AG85" i="1591"/>
  <c r="AA85" i="1591"/>
  <c r="J85" i="1591"/>
  <c r="B85" i="1591"/>
  <c r="AH84" i="1591"/>
  <c r="AG84" i="1591"/>
  <c r="AA84" i="1591"/>
  <c r="I84" i="1591"/>
  <c r="E84" i="1591"/>
  <c r="E85" i="1591" s="1"/>
  <c r="B84" i="1591"/>
  <c r="AA83" i="1591"/>
  <c r="AB83" i="1591" s="1"/>
  <c r="G83" i="1591"/>
  <c r="G84" i="1591" s="1"/>
  <c r="G85" i="1591" s="1"/>
  <c r="C83" i="1591"/>
  <c r="AH82" i="1591"/>
  <c r="AG82" i="1591"/>
  <c r="AA82" i="1591"/>
  <c r="B82" i="1591"/>
  <c r="AK81" i="1591"/>
  <c r="AL81" i="1591" s="1"/>
  <c r="AH81" i="1591"/>
  <c r="AG81" i="1591"/>
  <c r="AA81" i="1591"/>
  <c r="J81" i="1591"/>
  <c r="B81" i="1591"/>
  <c r="AH80" i="1591"/>
  <c r="AG80" i="1591"/>
  <c r="AA80" i="1591"/>
  <c r="I80" i="1591"/>
  <c r="E80" i="1591"/>
  <c r="E81" i="1591" s="1"/>
  <c r="B80" i="1591"/>
  <c r="AA79" i="1591"/>
  <c r="X79" i="1591" s="1"/>
  <c r="G79" i="1591"/>
  <c r="G80" i="1591" s="1"/>
  <c r="G81" i="1591" s="1"/>
  <c r="C79" i="1591"/>
  <c r="AH78" i="1591"/>
  <c r="AG78" i="1591"/>
  <c r="AA78" i="1591"/>
  <c r="B78" i="1591"/>
  <c r="AK77" i="1591"/>
  <c r="AL77" i="1591" s="1"/>
  <c r="AH77" i="1591"/>
  <c r="AG77" i="1591"/>
  <c r="AA77" i="1591"/>
  <c r="J77" i="1591"/>
  <c r="B77" i="1591"/>
  <c r="AH76" i="1591"/>
  <c r="AG76" i="1591"/>
  <c r="AA76" i="1591"/>
  <c r="I76" i="1591"/>
  <c r="E76" i="1591"/>
  <c r="E77" i="1591" s="1"/>
  <c r="B76" i="1591"/>
  <c r="AA75" i="1591"/>
  <c r="AB75" i="1591" s="1"/>
  <c r="G75" i="1591"/>
  <c r="G76" i="1591" s="1"/>
  <c r="G77" i="1591" s="1"/>
  <c r="C75" i="1591"/>
  <c r="AH74" i="1591"/>
  <c r="AG74" i="1591"/>
  <c r="AA74" i="1591"/>
  <c r="AB74" i="1591" s="1"/>
  <c r="X74" i="1591"/>
  <c r="B74" i="1591"/>
  <c r="AK73" i="1591"/>
  <c r="AL72" i="1591" s="1"/>
  <c r="AH73" i="1591"/>
  <c r="AG73" i="1591"/>
  <c r="AA73" i="1591"/>
  <c r="J73" i="1591"/>
  <c r="B73" i="1591"/>
  <c r="AH72" i="1591"/>
  <c r="AG72" i="1591"/>
  <c r="AA72" i="1591"/>
  <c r="I72" i="1591"/>
  <c r="E72" i="1591"/>
  <c r="E73" i="1591" s="1"/>
  <c r="B72" i="1591"/>
  <c r="AA71" i="1591"/>
  <c r="G71" i="1591"/>
  <c r="G72" i="1591" s="1"/>
  <c r="G73" i="1591" s="1"/>
  <c r="C71" i="1591"/>
  <c r="AH70" i="1591"/>
  <c r="AG70" i="1591"/>
  <c r="AA70" i="1591"/>
  <c r="AQ71" i="1591" s="1"/>
  <c r="X70" i="1591" s="1"/>
  <c r="B70" i="1591"/>
  <c r="AA69" i="1591"/>
  <c r="J69" i="1591"/>
  <c r="B69" i="1591"/>
  <c r="AA68" i="1591"/>
  <c r="I68" i="1591"/>
  <c r="E68" i="1591"/>
  <c r="E69" i="1591" s="1"/>
  <c r="B68" i="1591"/>
  <c r="AQ67" i="1591"/>
  <c r="X66" i="1591" s="1"/>
  <c r="AA67" i="1591"/>
  <c r="AA66" i="1591"/>
  <c r="AB66" i="1591" s="1"/>
  <c r="B66" i="1591"/>
  <c r="AK65" i="1591"/>
  <c r="AL64" i="1591" s="1"/>
  <c r="AH65" i="1591"/>
  <c r="AG65" i="1591"/>
  <c r="AA65" i="1591"/>
  <c r="J65" i="1591"/>
  <c r="B65" i="1591"/>
  <c r="AH64" i="1591"/>
  <c r="AG64" i="1591"/>
  <c r="AA64" i="1591"/>
  <c r="I64" i="1591"/>
  <c r="E64" i="1591"/>
  <c r="E65" i="1591" s="1"/>
  <c r="B64" i="1591"/>
  <c r="AA63" i="1591"/>
  <c r="X63" i="1591" s="1"/>
  <c r="G63" i="1591"/>
  <c r="G64" i="1591" s="1"/>
  <c r="G65" i="1591" s="1"/>
  <c r="C63" i="1591"/>
  <c r="AH62" i="1591"/>
  <c r="AG62" i="1591"/>
  <c r="AA62" i="1591"/>
  <c r="B62" i="1591"/>
  <c r="AK61" i="1591"/>
  <c r="AH61" i="1591"/>
  <c r="AG61" i="1591"/>
  <c r="AA61" i="1591"/>
  <c r="J61" i="1591"/>
  <c r="B61" i="1591"/>
  <c r="AH60" i="1591"/>
  <c r="AG60" i="1591"/>
  <c r="AA60" i="1591"/>
  <c r="I60" i="1591"/>
  <c r="E60" i="1591"/>
  <c r="E61" i="1591" s="1"/>
  <c r="B60" i="1591"/>
  <c r="AA59" i="1591"/>
  <c r="G59" i="1591"/>
  <c r="G60" i="1591" s="1"/>
  <c r="G61" i="1591" s="1"/>
  <c r="C59" i="1591"/>
  <c r="AH58" i="1591"/>
  <c r="AG58" i="1591"/>
  <c r="AA58" i="1591"/>
  <c r="X58" i="1591" s="1"/>
  <c r="B58" i="1591"/>
  <c r="AK57" i="1591"/>
  <c r="AL57" i="1591" s="1"/>
  <c r="AH57" i="1591"/>
  <c r="AG57" i="1591"/>
  <c r="AA57" i="1591"/>
  <c r="J57" i="1591"/>
  <c r="B57" i="1591"/>
  <c r="AH56" i="1591"/>
  <c r="AG56" i="1591"/>
  <c r="AA56" i="1591"/>
  <c r="I56" i="1591"/>
  <c r="E56" i="1591"/>
  <c r="E57" i="1591" s="1"/>
  <c r="B56" i="1591"/>
  <c r="AA55" i="1591"/>
  <c r="AI55" i="1591" s="1"/>
  <c r="G55" i="1591"/>
  <c r="G56" i="1591" s="1"/>
  <c r="G57" i="1591" s="1"/>
  <c r="C55" i="1591"/>
  <c r="AH54" i="1591"/>
  <c r="AG54" i="1591"/>
  <c r="AA54" i="1591"/>
  <c r="AB54" i="1591" s="1"/>
  <c r="B54" i="1591"/>
  <c r="AK53" i="1591"/>
  <c r="AL53" i="1591" s="1"/>
  <c r="AH53" i="1591"/>
  <c r="AG53" i="1591"/>
  <c r="AA53" i="1591"/>
  <c r="B53" i="1591"/>
  <c r="AH52" i="1591"/>
  <c r="AG52" i="1591"/>
  <c r="U121" i="1591"/>
  <c r="T121" i="1591"/>
  <c r="T118" i="1591" s="1"/>
  <c r="I52" i="1591"/>
  <c r="E52" i="1591"/>
  <c r="E53" i="1591" s="1"/>
  <c r="B52" i="1591"/>
  <c r="AA51" i="1591"/>
  <c r="Z53" i="1591" s="1"/>
  <c r="G51" i="1591"/>
  <c r="G52" i="1591" s="1"/>
  <c r="G53" i="1591" s="1"/>
  <c r="C51" i="1591"/>
  <c r="AH50" i="1591"/>
  <c r="AG50" i="1591"/>
  <c r="AA50" i="1591"/>
  <c r="AQ51" i="1591" s="1"/>
  <c r="X50" i="1591" s="1"/>
  <c r="B50" i="1591"/>
  <c r="AK49" i="1591"/>
  <c r="AL48" i="1591" s="1"/>
  <c r="AH49" i="1591"/>
  <c r="AG49" i="1591"/>
  <c r="AA49" i="1591"/>
  <c r="J49" i="1591"/>
  <c r="B49" i="1591"/>
  <c r="AH48" i="1591"/>
  <c r="AG48" i="1591"/>
  <c r="AA48" i="1591"/>
  <c r="I48" i="1591"/>
  <c r="E48" i="1591"/>
  <c r="E49" i="1591" s="1"/>
  <c r="B48" i="1591"/>
  <c r="AA47" i="1591"/>
  <c r="G47" i="1591"/>
  <c r="G48" i="1591" s="1"/>
  <c r="G49" i="1591" s="1"/>
  <c r="C47" i="1591"/>
  <c r="AH46" i="1591"/>
  <c r="AG46" i="1591"/>
  <c r="AA46" i="1591"/>
  <c r="AB46" i="1591" s="1"/>
  <c r="X46" i="1591"/>
  <c r="B46" i="1591"/>
  <c r="AK45" i="1591"/>
  <c r="AL45" i="1591" s="1"/>
  <c r="AH45" i="1591"/>
  <c r="AG45" i="1591"/>
  <c r="AA45" i="1591"/>
  <c r="B45" i="1591"/>
  <c r="AH44" i="1591"/>
  <c r="AG44" i="1591"/>
  <c r="P121" i="1591"/>
  <c r="P118" i="1591" s="1"/>
  <c r="O121" i="1591"/>
  <c r="N121" i="1591"/>
  <c r="I44" i="1591"/>
  <c r="E44" i="1591"/>
  <c r="E45" i="1591" s="1"/>
  <c r="B44" i="1591"/>
  <c r="AA43" i="1591"/>
  <c r="Z45" i="1591" s="1"/>
  <c r="G43" i="1591"/>
  <c r="G44" i="1591" s="1"/>
  <c r="G45" i="1591" s="1"/>
  <c r="C43" i="1591"/>
  <c r="AH42" i="1591"/>
  <c r="AG42" i="1591"/>
  <c r="AA42" i="1591"/>
  <c r="B42" i="1591"/>
  <c r="AK41" i="1591"/>
  <c r="AH41" i="1591"/>
  <c r="AG41" i="1591"/>
  <c r="AA41" i="1591"/>
  <c r="J41" i="1591"/>
  <c r="B41" i="1591"/>
  <c r="AH40" i="1591"/>
  <c r="AG40" i="1591"/>
  <c r="AA40" i="1591"/>
  <c r="I40" i="1591"/>
  <c r="E40" i="1591"/>
  <c r="E41" i="1591" s="1"/>
  <c r="B40" i="1591"/>
  <c r="AQ39" i="1591"/>
  <c r="X38" i="1591" s="1"/>
  <c r="AA39" i="1591"/>
  <c r="G39" i="1591"/>
  <c r="G40" i="1591" s="1"/>
  <c r="G41" i="1591" s="1"/>
  <c r="C39" i="1591"/>
  <c r="AH38" i="1591"/>
  <c r="AG38" i="1591"/>
  <c r="AA38" i="1591"/>
  <c r="AB38" i="1591" s="1"/>
  <c r="B38" i="1591"/>
  <c r="AK37" i="1591"/>
  <c r="AL37" i="1591" s="1"/>
  <c r="AH37" i="1591"/>
  <c r="AG37" i="1591"/>
  <c r="AA37" i="1591"/>
  <c r="J37" i="1591"/>
  <c r="B37" i="1591"/>
  <c r="AH36" i="1591"/>
  <c r="AG36" i="1591"/>
  <c r="AA36" i="1591"/>
  <c r="I36" i="1591"/>
  <c r="E36" i="1591"/>
  <c r="E37" i="1591" s="1"/>
  <c r="B36" i="1591"/>
  <c r="AA35" i="1591"/>
  <c r="AI35" i="1591" s="1"/>
  <c r="G35" i="1591"/>
  <c r="G36" i="1591" s="1"/>
  <c r="G37" i="1591" s="1"/>
  <c r="C35" i="1591"/>
  <c r="AH34" i="1591"/>
  <c r="AG34" i="1591"/>
  <c r="AA34" i="1591"/>
  <c r="B34" i="1591"/>
  <c r="AK33" i="1591"/>
  <c r="AH33" i="1591"/>
  <c r="AG33" i="1591"/>
  <c r="AA33" i="1591"/>
  <c r="J33" i="1591"/>
  <c r="B33" i="1591"/>
  <c r="AH32" i="1591"/>
  <c r="AG32" i="1591"/>
  <c r="AA32" i="1591"/>
  <c r="I32" i="1591"/>
  <c r="E32" i="1591"/>
  <c r="E33" i="1591" s="1"/>
  <c r="B32" i="1591"/>
  <c r="AA31" i="1591"/>
  <c r="G31" i="1591"/>
  <c r="G32" i="1591" s="1"/>
  <c r="G33" i="1591" s="1"/>
  <c r="C31" i="1591"/>
  <c r="AH30" i="1591"/>
  <c r="AG30" i="1591"/>
  <c r="AA30" i="1591"/>
  <c r="B30" i="1591"/>
  <c r="AK29" i="1591"/>
  <c r="AL28" i="1591" s="1"/>
  <c r="AH29" i="1591"/>
  <c r="AG29" i="1591"/>
  <c r="AA29" i="1591"/>
  <c r="J29" i="1591"/>
  <c r="B29" i="1591"/>
  <c r="AH28" i="1591"/>
  <c r="AG28" i="1591"/>
  <c r="AA28" i="1591"/>
  <c r="X28" i="1591"/>
  <c r="Z26" i="1591" s="1"/>
  <c r="I28" i="1591"/>
  <c r="E28" i="1591"/>
  <c r="E29" i="1591" s="1"/>
  <c r="B28" i="1591"/>
  <c r="AQ27" i="1591"/>
  <c r="X26" i="1591" s="1"/>
  <c r="AA27" i="1591"/>
  <c r="X27" i="1591"/>
  <c r="G27" i="1591"/>
  <c r="G28" i="1591" s="1"/>
  <c r="G29" i="1591" s="1"/>
  <c r="C27" i="1591"/>
  <c r="AH26" i="1591"/>
  <c r="AG26" i="1591"/>
  <c r="AA26" i="1591"/>
  <c r="AB26" i="1591" s="1"/>
  <c r="B26" i="1591"/>
  <c r="AK25" i="1591"/>
  <c r="AA25" i="1591"/>
  <c r="J25" i="1591"/>
  <c r="B25" i="1591"/>
  <c r="AA24" i="1591"/>
  <c r="X24" i="1591"/>
  <c r="Z22" i="1591" s="1"/>
  <c r="I24" i="1591"/>
  <c r="E24" i="1591"/>
  <c r="E25" i="1591" s="1"/>
  <c r="B24" i="1591"/>
  <c r="AQ23" i="1591"/>
  <c r="X22" i="1591" s="1"/>
  <c r="AA23" i="1591"/>
  <c r="AB23" i="1591" s="1"/>
  <c r="X23" i="1591"/>
  <c r="AA22" i="1591"/>
  <c r="AB22" i="1591" s="1"/>
  <c r="B22" i="1591"/>
  <c r="AK21" i="1591"/>
  <c r="AH21" i="1591"/>
  <c r="AG21" i="1591"/>
  <c r="AA21" i="1591"/>
  <c r="B21" i="1591"/>
  <c r="AH20" i="1591"/>
  <c r="AG20" i="1591"/>
  <c r="AA20" i="1591"/>
  <c r="B20" i="1591"/>
  <c r="AA19" i="1591"/>
  <c r="G19" i="1591"/>
  <c r="G20" i="1591" s="1"/>
  <c r="G21" i="1591" s="1"/>
  <c r="C19" i="1591"/>
  <c r="AH18" i="1591"/>
  <c r="AG18" i="1591"/>
  <c r="AA18" i="1591"/>
  <c r="B18" i="1591"/>
  <c r="AK17" i="1591"/>
  <c r="AL17" i="1591" s="1"/>
  <c r="AH17" i="1591"/>
  <c r="AG17" i="1591"/>
  <c r="AA17" i="1591"/>
  <c r="J17" i="1591"/>
  <c r="B17" i="1591"/>
  <c r="AH16" i="1591"/>
  <c r="AG16" i="1591"/>
  <c r="AA16" i="1591"/>
  <c r="I16" i="1591"/>
  <c r="E16" i="1591"/>
  <c r="E17" i="1591" s="1"/>
  <c r="B16" i="1591"/>
  <c r="AA15" i="1591"/>
  <c r="G15" i="1591"/>
  <c r="G16" i="1591" s="1"/>
  <c r="G17" i="1591" s="1"/>
  <c r="C15" i="1591"/>
  <c r="AH14" i="1591"/>
  <c r="AG14" i="1591"/>
  <c r="AA14" i="1591"/>
  <c r="AB14" i="1591" s="1"/>
  <c r="X14" i="1591"/>
  <c r="B14" i="1591"/>
  <c r="AK9" i="1591"/>
  <c r="AL9" i="1591" s="1"/>
  <c r="AH9" i="1591"/>
  <c r="AG9" i="1591"/>
  <c r="AA9" i="1591"/>
  <c r="J9" i="1591"/>
  <c r="B9" i="1591"/>
  <c r="AH8" i="1591"/>
  <c r="AG8" i="1591"/>
  <c r="AA8" i="1591"/>
  <c r="I8" i="1591"/>
  <c r="E8" i="1591"/>
  <c r="E9" i="1591" s="1"/>
  <c r="B8" i="1591"/>
  <c r="AA7" i="1591"/>
  <c r="G7" i="1591"/>
  <c r="C7" i="1591"/>
  <c r="AH6" i="1591"/>
  <c r="AG6" i="1591"/>
  <c r="AA6" i="1591"/>
  <c r="B6" i="1591"/>
  <c r="AD4" i="1591"/>
  <c r="G67" i="1590"/>
  <c r="G68" i="1590" s="1"/>
  <c r="G69" i="1590" s="1"/>
  <c r="AK69" i="1590"/>
  <c r="AL69" i="1590" s="1"/>
  <c r="AH69" i="1590"/>
  <c r="AG69" i="1590"/>
  <c r="AA69" i="1590"/>
  <c r="J69" i="1590"/>
  <c r="B69" i="1590"/>
  <c r="AH68" i="1590"/>
  <c r="AG68" i="1590"/>
  <c r="AA68" i="1590"/>
  <c r="I68" i="1590"/>
  <c r="E68" i="1590"/>
  <c r="E69" i="1590" s="1"/>
  <c r="B68" i="1590"/>
  <c r="AA67" i="1590"/>
  <c r="X68" i="1590" s="1"/>
  <c r="Z66" i="1590" s="1"/>
  <c r="C67" i="1590"/>
  <c r="AH66" i="1590"/>
  <c r="AG66" i="1590"/>
  <c r="AA66" i="1590"/>
  <c r="B66" i="1590"/>
  <c r="AE23" i="1591" l="1"/>
  <c r="AQ31" i="1591"/>
  <c r="X30" i="1591" s="1"/>
  <c r="AQ7" i="1591"/>
  <c r="X6" i="1591" s="1"/>
  <c r="AQ91" i="1591"/>
  <c r="X90" i="1591" s="1"/>
  <c r="AF55" i="1591"/>
  <c r="AG55" i="1591" s="1"/>
  <c r="AI7" i="1591"/>
  <c r="X11" i="1591"/>
  <c r="X52" i="1591"/>
  <c r="Z50" i="1591" s="1"/>
  <c r="AL52" i="1591"/>
  <c r="AF67" i="1590"/>
  <c r="AH67" i="1590" s="1"/>
  <c r="AM69" i="1590"/>
  <c r="AD75" i="1591"/>
  <c r="AD77" i="1591" s="1"/>
  <c r="AB66" i="1590"/>
  <c r="AQ67" i="1590"/>
  <c r="X66" i="1590" s="1"/>
  <c r="AB67" i="1590"/>
  <c r="AQ83" i="1591"/>
  <c r="X82" i="1591" s="1"/>
  <c r="AE67" i="1590"/>
  <c r="AF83" i="1591"/>
  <c r="AG83" i="1591" s="1"/>
  <c r="AB90" i="1591"/>
  <c r="Z69" i="1590"/>
  <c r="AI67" i="1590"/>
  <c r="AL73" i="1591"/>
  <c r="AM73" i="1591" s="1"/>
  <c r="AF95" i="1591"/>
  <c r="AJ95" i="1591" s="1"/>
  <c r="AM77" i="1591"/>
  <c r="AE103" i="1591"/>
  <c r="AB62" i="1591"/>
  <c r="AQ63" i="1591"/>
  <c r="X62" i="1591" s="1"/>
  <c r="X15" i="1591"/>
  <c r="AB78" i="1591"/>
  <c r="AQ79" i="1591"/>
  <c r="AQ99" i="1591"/>
  <c r="X98" i="1591" s="1"/>
  <c r="AE107" i="1591"/>
  <c r="AQ19" i="1591"/>
  <c r="X18" i="1591" s="1"/>
  <c r="AB34" i="1591"/>
  <c r="AQ35" i="1591"/>
  <c r="X34" i="1591" s="1"/>
  <c r="AB42" i="1591"/>
  <c r="AQ43" i="1591"/>
  <c r="X42" i="1591" s="1"/>
  <c r="G8" i="1591"/>
  <c r="AE19" i="1591"/>
  <c r="Z65" i="1591"/>
  <c r="AM105" i="1591"/>
  <c r="Z57" i="1591"/>
  <c r="AE55" i="1591"/>
  <c r="AM45" i="1591"/>
  <c r="AE79" i="1591"/>
  <c r="AF71" i="1591"/>
  <c r="AH71" i="1591" s="1"/>
  <c r="AB15" i="1591"/>
  <c r="AD15" i="1591" s="1"/>
  <c r="AA4" i="1591"/>
  <c r="AL85" i="1591"/>
  <c r="AM85" i="1591" s="1"/>
  <c r="AF99" i="1591"/>
  <c r="AG99" i="1591" s="1"/>
  <c r="X36" i="1591"/>
  <c r="Z34" i="1591" s="1"/>
  <c r="AI15" i="1591"/>
  <c r="AB35" i="1591"/>
  <c r="AL36" i="1591"/>
  <c r="AM36" i="1591" s="1"/>
  <c r="AL49" i="1591"/>
  <c r="AM49" i="1591" s="1"/>
  <c r="AH55" i="1591"/>
  <c r="AE75" i="1591"/>
  <c r="X78" i="1591"/>
  <c r="AE67" i="1591"/>
  <c r="AE7" i="1591"/>
  <c r="AF27" i="1591"/>
  <c r="AG27" i="1591" s="1"/>
  <c r="AM28" i="1591"/>
  <c r="AB55" i="1591"/>
  <c r="AD55" i="1591" s="1"/>
  <c r="AD57" i="1591" s="1"/>
  <c r="AE63" i="1591"/>
  <c r="AQ55" i="1591"/>
  <c r="X54" i="1591" s="1"/>
  <c r="X56" i="1591"/>
  <c r="Z54" i="1591" s="1"/>
  <c r="AL56" i="1591"/>
  <c r="AM56" i="1591" s="1"/>
  <c r="AL65" i="1591"/>
  <c r="AM65" i="1591" s="1"/>
  <c r="AL80" i="1591"/>
  <c r="AM80" i="1591" s="1"/>
  <c r="AL89" i="1591"/>
  <c r="AM89" i="1591" s="1"/>
  <c r="AI103" i="1591"/>
  <c r="AL104" i="1591"/>
  <c r="AM104" i="1591" s="1"/>
  <c r="AF103" i="1591"/>
  <c r="AG103" i="1591" s="1"/>
  <c r="AL108" i="1591"/>
  <c r="AM108" i="1591" s="1"/>
  <c r="Z113" i="1591"/>
  <c r="AB30" i="1591"/>
  <c r="AB43" i="1591"/>
  <c r="AL29" i="1591"/>
  <c r="AM29" i="1591" s="1"/>
  <c r="AE31" i="1591"/>
  <c r="AI43" i="1591"/>
  <c r="AF47" i="1591"/>
  <c r="AG47" i="1591" s="1"/>
  <c r="AF59" i="1591"/>
  <c r="AJ59" i="1591" s="1"/>
  <c r="AL76" i="1591"/>
  <c r="AM76" i="1591" s="1"/>
  <c r="AF35" i="1591"/>
  <c r="AG35" i="1591" s="1"/>
  <c r="AF91" i="1591"/>
  <c r="AG91" i="1591" s="1"/>
  <c r="AL97" i="1591"/>
  <c r="AM97" i="1591" s="1"/>
  <c r="AM88" i="1591"/>
  <c r="AB6" i="1591"/>
  <c r="X7" i="1591"/>
  <c r="AF15" i="1591"/>
  <c r="AJ15" i="1591" s="1"/>
  <c r="AB18" i="1591"/>
  <c r="AE27" i="1591"/>
  <c r="AE35" i="1591"/>
  <c r="AE39" i="1591"/>
  <c r="AB50" i="1591"/>
  <c r="AB58" i="1591"/>
  <c r="AI63" i="1591"/>
  <c r="AF63" i="1591"/>
  <c r="AB70" i="1591"/>
  <c r="AB79" i="1591"/>
  <c r="AM84" i="1591"/>
  <c r="Z111" i="1591"/>
  <c r="AF107" i="1591"/>
  <c r="AM109" i="1591"/>
  <c r="AF7" i="1591"/>
  <c r="AJ7" i="1591" s="1"/>
  <c r="AM9" i="1591"/>
  <c r="AM17" i="1591"/>
  <c r="AM53" i="1591"/>
  <c r="AM57" i="1591"/>
  <c r="AB63" i="1591"/>
  <c r="AF75" i="1591"/>
  <c r="AJ75" i="1591" s="1"/>
  <c r="X80" i="1591"/>
  <c r="Z78" i="1591" s="1"/>
  <c r="Z81" i="1591"/>
  <c r="AB82" i="1591"/>
  <c r="AD83" i="1591" s="1"/>
  <c r="AD85" i="1591" s="1"/>
  <c r="AB95" i="1591"/>
  <c r="AD95" i="1591" s="1"/>
  <c r="AM96" i="1591"/>
  <c r="AB98" i="1591"/>
  <c r="AI107" i="1591"/>
  <c r="AM37" i="1591"/>
  <c r="AI79" i="1591"/>
  <c r="Z37" i="1591"/>
  <c r="AM48" i="1591"/>
  <c r="AJ55" i="1591"/>
  <c r="X64" i="1591"/>
  <c r="Z62" i="1591" s="1"/>
  <c r="AM64" i="1591"/>
  <c r="AM72" i="1591"/>
  <c r="AF79" i="1591"/>
  <c r="AJ79" i="1591" s="1"/>
  <c r="AM81" i="1591"/>
  <c r="AE95" i="1591"/>
  <c r="AE99" i="1591"/>
  <c r="AB107" i="1591"/>
  <c r="X108" i="1591"/>
  <c r="Z106" i="1591" s="1"/>
  <c r="Z109" i="1591"/>
  <c r="AD103" i="1591"/>
  <c r="AD105" i="1591" s="1"/>
  <c r="X8" i="1591"/>
  <c r="Z6" i="1591" s="1"/>
  <c r="AL8" i="1591"/>
  <c r="AM8" i="1591" s="1"/>
  <c r="AE15" i="1591"/>
  <c r="AL21" i="1591"/>
  <c r="AM21" i="1591" s="1"/>
  <c r="AL20" i="1591"/>
  <c r="AM20" i="1591" s="1"/>
  <c r="X20" i="1591"/>
  <c r="Z18" i="1591" s="1"/>
  <c r="AF31" i="1591"/>
  <c r="AJ31" i="1591" s="1"/>
  <c r="AL44" i="1591"/>
  <c r="AB47" i="1591"/>
  <c r="AD47" i="1591" s="1"/>
  <c r="AI47" i="1591"/>
  <c r="AE47" i="1591"/>
  <c r="X47" i="1591"/>
  <c r="AI51" i="1591"/>
  <c r="X51" i="1591"/>
  <c r="AB51" i="1591"/>
  <c r="AB106" i="1591"/>
  <c r="X106" i="1591"/>
  <c r="AI19" i="1591"/>
  <c r="X19" i="1591"/>
  <c r="Z21" i="1591"/>
  <c r="AB19" i="1591"/>
  <c r="AF39" i="1591"/>
  <c r="AJ39" i="1591" s="1"/>
  <c r="AD23" i="1591"/>
  <c r="X68" i="1591"/>
  <c r="Z66" i="1591" s="1"/>
  <c r="X55" i="1591"/>
  <c r="X104" i="1591"/>
  <c r="Z102" i="1591" s="1"/>
  <c r="X103" i="1591"/>
  <c r="X76" i="1591"/>
  <c r="Z74" i="1591" s="1"/>
  <c r="Z9" i="1591"/>
  <c r="AB7" i="1591"/>
  <c r="AL16" i="1591"/>
  <c r="AM16" i="1591" s="1"/>
  <c r="X16" i="1591"/>
  <c r="Z14" i="1591" s="1"/>
  <c r="AF19" i="1591"/>
  <c r="AJ19" i="1591" s="1"/>
  <c r="AL33" i="1591"/>
  <c r="AM33" i="1591" s="1"/>
  <c r="AL32" i="1591"/>
  <c r="AM32" i="1591" s="1"/>
  <c r="X32" i="1591"/>
  <c r="Z30" i="1591" s="1"/>
  <c r="Z41" i="1591"/>
  <c r="AB39" i="1591"/>
  <c r="AD39" i="1591" s="1"/>
  <c r="AI39" i="1591"/>
  <c r="X39" i="1591"/>
  <c r="AL41" i="1591"/>
  <c r="AM41" i="1591" s="1"/>
  <c r="AL40" i="1591"/>
  <c r="AM40" i="1591" s="1"/>
  <c r="X40" i="1591"/>
  <c r="Z38" i="1591" s="1"/>
  <c r="M121" i="1591"/>
  <c r="AA44" i="1591"/>
  <c r="X44" i="1591"/>
  <c r="Z42" i="1591" s="1"/>
  <c r="X48" i="1591"/>
  <c r="Z46" i="1591" s="1"/>
  <c r="Z49" i="1591"/>
  <c r="AB27" i="1591"/>
  <c r="AD27" i="1591" s="1"/>
  <c r="AI27" i="1591"/>
  <c r="AI31" i="1591"/>
  <c r="X31" i="1591"/>
  <c r="Z33" i="1591"/>
  <c r="AB31" i="1591"/>
  <c r="X35" i="1591"/>
  <c r="X43" i="1591"/>
  <c r="Q121" i="1591"/>
  <c r="AA52" i="1591"/>
  <c r="AI59" i="1591"/>
  <c r="X59" i="1591"/>
  <c r="Z61" i="1591"/>
  <c r="AB59" i="1591"/>
  <c r="AL93" i="1591"/>
  <c r="AM93" i="1591" s="1"/>
  <c r="AL92" i="1591"/>
  <c r="AM92" i="1591" s="1"/>
  <c r="X92" i="1591"/>
  <c r="Z90" i="1591" s="1"/>
  <c r="O118" i="1591"/>
  <c r="O124" i="1591" s="1"/>
  <c r="AE59" i="1591"/>
  <c r="AL101" i="1591"/>
  <c r="AM101" i="1591" s="1"/>
  <c r="AL100" i="1591"/>
  <c r="AM100" i="1591" s="1"/>
  <c r="X100" i="1591"/>
  <c r="Z98" i="1591" s="1"/>
  <c r="V124" i="1591"/>
  <c r="AI71" i="1591"/>
  <c r="X71" i="1591"/>
  <c r="AB71" i="1591"/>
  <c r="AI87" i="1591"/>
  <c r="AB87" i="1591"/>
  <c r="AD87" i="1591" s="1"/>
  <c r="AE87" i="1591"/>
  <c r="W118" i="1591"/>
  <c r="W124" i="1591" s="1"/>
  <c r="U118" i="1591"/>
  <c r="U124" i="1591" s="1"/>
  <c r="AL61" i="1591"/>
  <c r="AM61" i="1591" s="1"/>
  <c r="AL60" i="1591"/>
  <c r="AM60" i="1591" s="1"/>
  <c r="X60" i="1591"/>
  <c r="Z58" i="1591" s="1"/>
  <c r="AB67" i="1591"/>
  <c r="AD67" i="1591" s="1"/>
  <c r="X67" i="1591"/>
  <c r="AE71" i="1591"/>
  <c r="AF87" i="1591"/>
  <c r="AE91" i="1591"/>
  <c r="AH95" i="1591"/>
  <c r="AG95" i="1591"/>
  <c r="N118" i="1591"/>
  <c r="N124" i="1591" s="1"/>
  <c r="R124" i="1591"/>
  <c r="P124" i="1591"/>
  <c r="S118" i="1591"/>
  <c r="S124" i="1591" s="1"/>
  <c r="T124" i="1591"/>
  <c r="X75" i="1591"/>
  <c r="AI75" i="1591"/>
  <c r="X83" i="1591"/>
  <c r="AE83" i="1591"/>
  <c r="AI83" i="1591"/>
  <c r="X84" i="1591"/>
  <c r="Z82" i="1591" s="1"/>
  <c r="X91" i="1591"/>
  <c r="AI91" i="1591"/>
  <c r="X99" i="1591"/>
  <c r="AI99" i="1591"/>
  <c r="X102" i="1591"/>
  <c r="X72" i="1591"/>
  <c r="Z70" i="1591" s="1"/>
  <c r="AB91" i="1591"/>
  <c r="AB99" i="1591"/>
  <c r="AJ67" i="1590"/>
  <c r="AL68" i="1590"/>
  <c r="AM68" i="1590" s="1"/>
  <c r="J45" i="1590"/>
  <c r="J57" i="1590"/>
  <c r="AG67" i="1590" l="1"/>
  <c r="AH27" i="1591"/>
  <c r="AD67" i="1590"/>
  <c r="AV67" i="1590" s="1"/>
  <c r="AG15" i="1591"/>
  <c r="AV75" i="1591"/>
  <c r="AD63" i="1591"/>
  <c r="AD65" i="1591" s="1"/>
  <c r="AH103" i="1591"/>
  <c r="AJ103" i="1591"/>
  <c r="AH83" i="1591"/>
  <c r="AJ83" i="1591"/>
  <c r="AJ71" i="1591"/>
  <c r="AD91" i="1591"/>
  <c r="AD93" i="1591" s="1"/>
  <c r="AH99" i="1591"/>
  <c r="AD71" i="1591"/>
  <c r="AD73" i="1591" s="1"/>
  <c r="AG71" i="1591"/>
  <c r="AD43" i="1591"/>
  <c r="AV43" i="1591" s="1"/>
  <c r="AH7" i="1591"/>
  <c r="AH91" i="1591"/>
  <c r="G9" i="1591"/>
  <c r="AV55" i="1591"/>
  <c r="AD79" i="1591"/>
  <c r="AD81" i="1591" s="1"/>
  <c r="AD35" i="1591"/>
  <c r="AV35" i="1591" s="1"/>
  <c r="AJ91" i="1591"/>
  <c r="AD7" i="1591"/>
  <c r="AD9" i="1591" s="1"/>
  <c r="AJ47" i="1591"/>
  <c r="AJ35" i="1591"/>
  <c r="AH35" i="1591"/>
  <c r="AH15" i="1591"/>
  <c r="AG7" i="1591"/>
  <c r="AH47" i="1591"/>
  <c r="AJ99" i="1591"/>
  <c r="AV103" i="1591"/>
  <c r="AG59" i="1591"/>
  <c r="AD31" i="1591"/>
  <c r="AD33" i="1591" s="1"/>
  <c r="AJ27" i="1591"/>
  <c r="AH59" i="1591"/>
  <c r="AD19" i="1591"/>
  <c r="AD21" i="1591" s="1"/>
  <c r="AD51" i="1591"/>
  <c r="AV51" i="1591" s="1"/>
  <c r="AD107" i="1591"/>
  <c r="AV107" i="1591" s="1"/>
  <c r="AD97" i="1591"/>
  <c r="AV95" i="1591"/>
  <c r="AI2" i="1591"/>
  <c r="AH107" i="1591"/>
  <c r="AG107" i="1591"/>
  <c r="AH63" i="1591"/>
  <c r="AG63" i="1591"/>
  <c r="AD59" i="1591"/>
  <c r="AD61" i="1591" s="1"/>
  <c r="AH79" i="1591"/>
  <c r="AG79" i="1591"/>
  <c r="AD99" i="1591"/>
  <c r="AD101" i="1591" s="1"/>
  <c r="AV83" i="1591"/>
  <c r="AJ107" i="1591"/>
  <c r="AG75" i="1591"/>
  <c r="AH75" i="1591"/>
  <c r="AJ63" i="1591"/>
  <c r="AV7" i="1591"/>
  <c r="AV19" i="1591"/>
  <c r="AV47" i="1591"/>
  <c r="AD49" i="1591"/>
  <c r="AD89" i="1591"/>
  <c r="AV87" i="1591"/>
  <c r="AV63" i="1591"/>
  <c r="AQ4" i="1591"/>
  <c r="AF43" i="1591"/>
  <c r="AE43" i="1591"/>
  <c r="AD17" i="1591"/>
  <c r="AV15" i="1591"/>
  <c r="M118" i="1591"/>
  <c r="M124" i="1591" s="1"/>
  <c r="AD41" i="1591"/>
  <c r="AV39" i="1591"/>
  <c r="AG19" i="1591"/>
  <c r="AH19" i="1591"/>
  <c r="AM44" i="1591"/>
  <c r="Q118" i="1591"/>
  <c r="Q124" i="1591" s="1"/>
  <c r="AH87" i="1591"/>
  <c r="AG87" i="1591"/>
  <c r="AJ87" i="1591"/>
  <c r="AV67" i="1591"/>
  <c r="AD69" i="1591"/>
  <c r="AE51" i="1591"/>
  <c r="AF51" i="1591"/>
  <c r="AD29" i="1591"/>
  <c r="AV27" i="1591"/>
  <c r="AV23" i="1591"/>
  <c r="AD25" i="1591"/>
  <c r="AG39" i="1591"/>
  <c r="AH39" i="1591"/>
  <c r="AG31" i="1591"/>
  <c r="AH31" i="1591"/>
  <c r="AM52" i="1591"/>
  <c r="AD69" i="1590"/>
  <c r="T56" i="1590"/>
  <c r="U56" i="1590"/>
  <c r="AD109" i="1591" l="1"/>
  <c r="AV79" i="1591"/>
  <c r="AV91" i="1591"/>
  <c r="AD45" i="1591"/>
  <c r="AD37" i="1591"/>
  <c r="AV71" i="1591"/>
  <c r="AV31" i="1591"/>
  <c r="AD53" i="1591"/>
  <c r="AF4" i="1591"/>
  <c r="AV99" i="1591"/>
  <c r="AV59" i="1591"/>
  <c r="AG51" i="1591"/>
  <c r="AH51" i="1591"/>
  <c r="AJ51" i="1591"/>
  <c r="AH43" i="1591"/>
  <c r="AG43" i="1591"/>
  <c r="AJ43" i="1591"/>
  <c r="S56" i="1590"/>
  <c r="Q56" i="1590"/>
  <c r="P56" i="1590"/>
  <c r="AH2" i="1591" l="1"/>
  <c r="AD2" i="1591" s="1"/>
  <c r="G7" i="1590"/>
  <c r="G8" i="1590" s="1"/>
  <c r="G9" i="1590" s="1"/>
  <c r="P44" i="1590" l="1"/>
  <c r="O44" i="1590" l="1"/>
  <c r="N44" i="1590" l="1"/>
  <c r="AK113" i="1590" l="1"/>
  <c r="AL112" i="1590" s="1"/>
  <c r="AH113" i="1590"/>
  <c r="AG113" i="1590"/>
  <c r="AA113" i="1590"/>
  <c r="AH112" i="1590"/>
  <c r="AG112" i="1590"/>
  <c r="AA112" i="1590"/>
  <c r="AA111" i="1590"/>
  <c r="AI111" i="1590" s="1"/>
  <c r="AH110" i="1590"/>
  <c r="AG110" i="1590"/>
  <c r="AA110" i="1590"/>
  <c r="AB110" i="1590" s="1"/>
  <c r="AF111" i="1590" l="1"/>
  <c r="AH111" i="1590" s="1"/>
  <c r="AE111" i="1590"/>
  <c r="Z113" i="1590"/>
  <c r="AM112" i="1590"/>
  <c r="AB111" i="1590"/>
  <c r="AD111" i="1590" s="1"/>
  <c r="AQ111" i="1590"/>
  <c r="X110" i="1590" s="1"/>
  <c r="AL113" i="1590"/>
  <c r="AM113" i="1590" s="1"/>
  <c r="AJ111" i="1590" l="1"/>
  <c r="AG111" i="1590"/>
  <c r="AV111" i="1590"/>
  <c r="AD113" i="1590"/>
  <c r="J33" i="1590"/>
  <c r="M44" i="1590"/>
  <c r="G19" i="1590" l="1"/>
  <c r="G20" i="1590" s="1"/>
  <c r="G21" i="1590" s="1"/>
  <c r="AK21" i="1590"/>
  <c r="AL21" i="1590" s="1"/>
  <c r="AH21" i="1590"/>
  <c r="AG21" i="1590"/>
  <c r="AA21" i="1590"/>
  <c r="B21" i="1590"/>
  <c r="AH20" i="1590"/>
  <c r="AG20" i="1590"/>
  <c r="AA20" i="1590"/>
  <c r="B20" i="1590"/>
  <c r="AA19" i="1590"/>
  <c r="AI19" i="1590" s="1"/>
  <c r="C19" i="1590"/>
  <c r="AH18" i="1590"/>
  <c r="AG18" i="1590"/>
  <c r="AA18" i="1590"/>
  <c r="B18" i="1590"/>
  <c r="W125" i="1590"/>
  <c r="W122" i="1590" s="1"/>
  <c r="V125" i="1590"/>
  <c r="V122" i="1590" s="1"/>
  <c r="U125" i="1590"/>
  <c r="U122" i="1590" s="1"/>
  <c r="T125" i="1590"/>
  <c r="T122" i="1590" s="1"/>
  <c r="S125" i="1590"/>
  <c r="S122" i="1590" s="1"/>
  <c r="R125" i="1590"/>
  <c r="R122" i="1590" s="1"/>
  <c r="Q125" i="1590"/>
  <c r="Q122" i="1590" s="1"/>
  <c r="P125" i="1590"/>
  <c r="P122" i="1590" s="1"/>
  <c r="O125" i="1590"/>
  <c r="O122" i="1590" s="1"/>
  <c r="N125" i="1590"/>
  <c r="N122" i="1590" s="1"/>
  <c r="M125" i="1590"/>
  <c r="M122" i="1590" s="1"/>
  <c r="W119" i="1590"/>
  <c r="V119" i="1590"/>
  <c r="U119" i="1590"/>
  <c r="T119" i="1590"/>
  <c r="S119" i="1590"/>
  <c r="R119" i="1590"/>
  <c r="Q119" i="1590"/>
  <c r="P119" i="1590"/>
  <c r="O119" i="1590"/>
  <c r="N119" i="1590"/>
  <c r="M119" i="1590"/>
  <c r="W117" i="1590"/>
  <c r="V117" i="1590"/>
  <c r="U117" i="1590"/>
  <c r="T117" i="1590"/>
  <c r="S117" i="1590"/>
  <c r="R117" i="1590"/>
  <c r="Q117" i="1590"/>
  <c r="P117" i="1590"/>
  <c r="O117" i="1590"/>
  <c r="N117" i="1590"/>
  <c r="M117" i="1590"/>
  <c r="W115" i="1590"/>
  <c r="V115" i="1590"/>
  <c r="U115" i="1590"/>
  <c r="T115" i="1590"/>
  <c r="S115" i="1590"/>
  <c r="R115" i="1590"/>
  <c r="Q115" i="1590"/>
  <c r="P115" i="1590"/>
  <c r="O115" i="1590"/>
  <c r="N115" i="1590"/>
  <c r="M115" i="1590"/>
  <c r="AK109" i="1590"/>
  <c r="AL109" i="1590" s="1"/>
  <c r="AH109" i="1590"/>
  <c r="AG109" i="1590"/>
  <c r="AA109" i="1590"/>
  <c r="J109" i="1590"/>
  <c r="B109" i="1590"/>
  <c r="AH108" i="1590"/>
  <c r="AG108" i="1590"/>
  <c r="AA108" i="1590"/>
  <c r="I108" i="1590"/>
  <c r="E108" i="1590"/>
  <c r="E109" i="1590" s="1"/>
  <c r="B108" i="1590"/>
  <c r="AA107" i="1590"/>
  <c r="G107" i="1590"/>
  <c r="G108" i="1590" s="1"/>
  <c r="G109" i="1590" s="1"/>
  <c r="C107" i="1590"/>
  <c r="AH106" i="1590"/>
  <c r="AG106" i="1590"/>
  <c r="AA106" i="1590"/>
  <c r="AQ107" i="1590" s="1"/>
  <c r="B106" i="1590"/>
  <c r="AK105" i="1590"/>
  <c r="AL105" i="1590" s="1"/>
  <c r="AH105" i="1590"/>
  <c r="AG105" i="1590"/>
  <c r="AA105" i="1590"/>
  <c r="J105" i="1590"/>
  <c r="B105" i="1590"/>
  <c r="AH104" i="1590"/>
  <c r="AG104" i="1590"/>
  <c r="AA104" i="1590"/>
  <c r="I104" i="1590"/>
  <c r="E104" i="1590"/>
  <c r="E105" i="1590" s="1"/>
  <c r="B104" i="1590"/>
  <c r="AA103" i="1590"/>
  <c r="G103" i="1590"/>
  <c r="G104" i="1590" s="1"/>
  <c r="G105" i="1590" s="1"/>
  <c r="C103" i="1590"/>
  <c r="AH102" i="1590"/>
  <c r="AG102" i="1590"/>
  <c r="AA102" i="1590"/>
  <c r="AB102" i="1590" s="1"/>
  <c r="B102" i="1590"/>
  <c r="AK101" i="1590"/>
  <c r="AL100" i="1590" s="1"/>
  <c r="AH101" i="1590"/>
  <c r="AG101" i="1590"/>
  <c r="AA101" i="1590"/>
  <c r="J101" i="1590"/>
  <c r="B101" i="1590"/>
  <c r="AH100" i="1590"/>
  <c r="AG100" i="1590"/>
  <c r="AA100" i="1590"/>
  <c r="X100" i="1590"/>
  <c r="Z98" i="1590" s="1"/>
  <c r="I100" i="1590"/>
  <c r="E100" i="1590"/>
  <c r="E101" i="1590" s="1"/>
  <c r="B100" i="1590"/>
  <c r="AA99" i="1590"/>
  <c r="X99" i="1590"/>
  <c r="G99" i="1590"/>
  <c r="G100" i="1590" s="1"/>
  <c r="G101" i="1590" s="1"/>
  <c r="C99" i="1590"/>
  <c r="AH98" i="1590"/>
  <c r="AG98" i="1590"/>
  <c r="AA98" i="1590"/>
  <c r="AB98" i="1590" s="1"/>
  <c r="X98" i="1590"/>
  <c r="B98" i="1590"/>
  <c r="AK97" i="1590"/>
  <c r="AL96" i="1590" s="1"/>
  <c r="AH97" i="1590"/>
  <c r="AG97" i="1590"/>
  <c r="AA97" i="1590"/>
  <c r="J97" i="1590"/>
  <c r="B97" i="1590"/>
  <c r="AH96" i="1590"/>
  <c r="AG96" i="1590"/>
  <c r="AA96" i="1590"/>
  <c r="I96" i="1590"/>
  <c r="E96" i="1590"/>
  <c r="E97" i="1590" s="1"/>
  <c r="B96" i="1590"/>
  <c r="AA95" i="1590"/>
  <c r="G95" i="1590"/>
  <c r="G96" i="1590" s="1"/>
  <c r="G97" i="1590" s="1"/>
  <c r="C95" i="1590"/>
  <c r="AH94" i="1590"/>
  <c r="AG94" i="1590"/>
  <c r="AA94" i="1590"/>
  <c r="AB94" i="1590" s="1"/>
  <c r="B94" i="1590"/>
  <c r="AK93" i="1590"/>
  <c r="AL93" i="1590" s="1"/>
  <c r="AH93" i="1590"/>
  <c r="AG93" i="1590"/>
  <c r="AA93" i="1590"/>
  <c r="J93" i="1590"/>
  <c r="B93" i="1590"/>
  <c r="AH92" i="1590"/>
  <c r="AG92" i="1590"/>
  <c r="AA92" i="1590"/>
  <c r="X92" i="1590"/>
  <c r="Z90" i="1590" s="1"/>
  <c r="I92" i="1590"/>
  <c r="E92" i="1590"/>
  <c r="E93" i="1590" s="1"/>
  <c r="B92" i="1590"/>
  <c r="AQ91" i="1590"/>
  <c r="X90" i="1590" s="1"/>
  <c r="AA91" i="1590"/>
  <c r="X91" i="1590"/>
  <c r="G91" i="1590"/>
  <c r="G92" i="1590" s="1"/>
  <c r="G93" i="1590" s="1"/>
  <c r="C91" i="1590"/>
  <c r="AH90" i="1590"/>
  <c r="AG90" i="1590"/>
  <c r="AA90" i="1590"/>
  <c r="AB90" i="1590" s="1"/>
  <c r="B90" i="1590"/>
  <c r="AK89" i="1590"/>
  <c r="AL89" i="1590" s="1"/>
  <c r="AH89" i="1590"/>
  <c r="AG89" i="1590"/>
  <c r="AA89" i="1590"/>
  <c r="J89" i="1590"/>
  <c r="B89" i="1590"/>
  <c r="AH88" i="1590"/>
  <c r="AG88" i="1590"/>
  <c r="AA88" i="1590"/>
  <c r="I88" i="1590"/>
  <c r="E88" i="1590"/>
  <c r="E89" i="1590" s="1"/>
  <c r="B88" i="1590"/>
  <c r="AA87" i="1590"/>
  <c r="G87" i="1590"/>
  <c r="G88" i="1590" s="1"/>
  <c r="G89" i="1590" s="1"/>
  <c r="C87" i="1590"/>
  <c r="AH86" i="1590"/>
  <c r="AG86" i="1590"/>
  <c r="AA86" i="1590"/>
  <c r="AB86" i="1590" s="1"/>
  <c r="B86" i="1590"/>
  <c r="AK85" i="1590"/>
  <c r="AH85" i="1590"/>
  <c r="AG85" i="1590"/>
  <c r="AA85" i="1590"/>
  <c r="J85" i="1590"/>
  <c r="B85" i="1590"/>
  <c r="AH84" i="1590"/>
  <c r="AG84" i="1590"/>
  <c r="AA84" i="1590"/>
  <c r="I84" i="1590"/>
  <c r="E84" i="1590"/>
  <c r="E85" i="1590" s="1"/>
  <c r="B84" i="1590"/>
  <c r="AA83" i="1590"/>
  <c r="AI83" i="1590" s="1"/>
  <c r="G83" i="1590"/>
  <c r="G84" i="1590" s="1"/>
  <c r="G85" i="1590" s="1"/>
  <c r="C83" i="1590"/>
  <c r="AH82" i="1590"/>
  <c r="AG82" i="1590"/>
  <c r="AA82" i="1590"/>
  <c r="B82" i="1590"/>
  <c r="AK81" i="1590"/>
  <c r="AL81" i="1590" s="1"/>
  <c r="AH81" i="1590"/>
  <c r="AG81" i="1590"/>
  <c r="AA81" i="1590"/>
  <c r="J81" i="1590"/>
  <c r="B81" i="1590"/>
  <c r="AH80" i="1590"/>
  <c r="AG80" i="1590"/>
  <c r="AA80" i="1590"/>
  <c r="I80" i="1590"/>
  <c r="E80" i="1590"/>
  <c r="E81" i="1590" s="1"/>
  <c r="B80" i="1590"/>
  <c r="AA79" i="1590"/>
  <c r="AB79" i="1590" s="1"/>
  <c r="G79" i="1590"/>
  <c r="G80" i="1590" s="1"/>
  <c r="G81" i="1590" s="1"/>
  <c r="C79" i="1590"/>
  <c r="AH78" i="1590"/>
  <c r="AG78" i="1590"/>
  <c r="AA78" i="1590"/>
  <c r="X78" i="1590" s="1"/>
  <c r="B78" i="1590"/>
  <c r="AK77" i="1590"/>
  <c r="AL76" i="1590" s="1"/>
  <c r="AH77" i="1590"/>
  <c r="AG77" i="1590"/>
  <c r="AA77" i="1590"/>
  <c r="J77" i="1590"/>
  <c r="B77" i="1590"/>
  <c r="AH76" i="1590"/>
  <c r="AG76" i="1590"/>
  <c r="AA76" i="1590"/>
  <c r="I76" i="1590"/>
  <c r="E76" i="1590"/>
  <c r="E77" i="1590" s="1"/>
  <c r="B76" i="1590"/>
  <c r="AA75" i="1590"/>
  <c r="AI75" i="1590" s="1"/>
  <c r="G75" i="1590"/>
  <c r="G76" i="1590" s="1"/>
  <c r="G77" i="1590" s="1"/>
  <c r="C75" i="1590"/>
  <c r="AH74" i="1590"/>
  <c r="AG74" i="1590"/>
  <c r="AA74" i="1590"/>
  <c r="AQ75" i="1590" s="1"/>
  <c r="B74" i="1590"/>
  <c r="AA73" i="1590"/>
  <c r="J73" i="1590"/>
  <c r="B73" i="1590"/>
  <c r="AA72" i="1590"/>
  <c r="I72" i="1590"/>
  <c r="E72" i="1590"/>
  <c r="E73" i="1590" s="1"/>
  <c r="B72" i="1590"/>
  <c r="AQ71" i="1590"/>
  <c r="X70" i="1590" s="1"/>
  <c r="AA71" i="1590"/>
  <c r="AA70" i="1590"/>
  <c r="AB70" i="1590" s="1"/>
  <c r="B70" i="1590"/>
  <c r="AK65" i="1590"/>
  <c r="AL64" i="1590" s="1"/>
  <c r="AH65" i="1590"/>
  <c r="AG65" i="1590"/>
  <c r="AA65" i="1590"/>
  <c r="J65" i="1590"/>
  <c r="B65" i="1590"/>
  <c r="AH64" i="1590"/>
  <c r="AG64" i="1590"/>
  <c r="AA64" i="1590"/>
  <c r="I64" i="1590"/>
  <c r="E64" i="1590"/>
  <c r="E65" i="1590" s="1"/>
  <c r="B64" i="1590"/>
  <c r="AA63" i="1590"/>
  <c r="X67" i="1590" s="1"/>
  <c r="G63" i="1590"/>
  <c r="G64" i="1590" s="1"/>
  <c r="G65" i="1590" s="1"/>
  <c r="C63" i="1590"/>
  <c r="AH62" i="1590"/>
  <c r="AG62" i="1590"/>
  <c r="AA62" i="1590"/>
  <c r="B62" i="1590"/>
  <c r="AK61" i="1590"/>
  <c r="AL61" i="1590" s="1"/>
  <c r="AH61" i="1590"/>
  <c r="AG61" i="1590"/>
  <c r="AA61" i="1590"/>
  <c r="J61" i="1590"/>
  <c r="B61" i="1590"/>
  <c r="AH60" i="1590"/>
  <c r="AG60" i="1590"/>
  <c r="AA60" i="1590"/>
  <c r="I60" i="1590"/>
  <c r="E60" i="1590"/>
  <c r="E61" i="1590" s="1"/>
  <c r="B60" i="1590"/>
  <c r="AA59" i="1590"/>
  <c r="G59" i="1590"/>
  <c r="G60" i="1590" s="1"/>
  <c r="G61" i="1590" s="1"/>
  <c r="C59" i="1590"/>
  <c r="AH58" i="1590"/>
  <c r="AG58" i="1590"/>
  <c r="AA58" i="1590"/>
  <c r="AQ59" i="1590" s="1"/>
  <c r="X58" i="1590" s="1"/>
  <c r="B58" i="1590"/>
  <c r="AK57" i="1590"/>
  <c r="AL57" i="1590" s="1"/>
  <c r="AH57" i="1590"/>
  <c r="AG57" i="1590"/>
  <c r="AA57" i="1590"/>
  <c r="B57" i="1590"/>
  <c r="AH56" i="1590"/>
  <c r="AG56" i="1590"/>
  <c r="AA56" i="1590"/>
  <c r="I56" i="1590"/>
  <c r="E56" i="1590"/>
  <c r="E57" i="1590" s="1"/>
  <c r="B56" i="1590"/>
  <c r="AA55" i="1590"/>
  <c r="AI55" i="1590" s="1"/>
  <c r="G55" i="1590"/>
  <c r="G56" i="1590" s="1"/>
  <c r="G57" i="1590" s="1"/>
  <c r="C55" i="1590"/>
  <c r="AH54" i="1590"/>
  <c r="AG54" i="1590"/>
  <c r="AA54" i="1590"/>
  <c r="B54" i="1590"/>
  <c r="AK53" i="1590"/>
  <c r="AH53" i="1590"/>
  <c r="AG53" i="1590"/>
  <c r="AA53" i="1590"/>
  <c r="J53" i="1590"/>
  <c r="B53" i="1590"/>
  <c r="AH52" i="1590"/>
  <c r="AG52" i="1590"/>
  <c r="AA52" i="1590"/>
  <c r="I52" i="1590"/>
  <c r="E52" i="1590"/>
  <c r="E53" i="1590" s="1"/>
  <c r="B52" i="1590"/>
  <c r="X50" i="1590"/>
  <c r="AA51" i="1590"/>
  <c r="AI51" i="1590" s="1"/>
  <c r="G51" i="1590"/>
  <c r="G52" i="1590" s="1"/>
  <c r="G53" i="1590" s="1"/>
  <c r="C51" i="1590"/>
  <c r="AH50" i="1590"/>
  <c r="AG50" i="1590"/>
  <c r="AA50" i="1590"/>
  <c r="AB50" i="1590" s="1"/>
  <c r="B50" i="1590"/>
  <c r="AK49" i="1590"/>
  <c r="AH49" i="1590"/>
  <c r="AG49" i="1590"/>
  <c r="AA49" i="1590"/>
  <c r="J49" i="1590"/>
  <c r="B49" i="1590"/>
  <c r="AH48" i="1590"/>
  <c r="AG48" i="1590"/>
  <c r="AA48" i="1590"/>
  <c r="X48" i="1590"/>
  <c r="Z46" i="1590" s="1"/>
  <c r="I48" i="1590"/>
  <c r="E48" i="1590"/>
  <c r="E49" i="1590" s="1"/>
  <c r="B48" i="1590"/>
  <c r="AQ47" i="1590"/>
  <c r="X46" i="1590" s="1"/>
  <c r="AA47" i="1590"/>
  <c r="AI47" i="1590" s="1"/>
  <c r="X47" i="1590"/>
  <c r="G47" i="1590"/>
  <c r="G48" i="1590" s="1"/>
  <c r="G49" i="1590" s="1"/>
  <c r="C47" i="1590"/>
  <c r="AH46" i="1590"/>
  <c r="AG46" i="1590"/>
  <c r="AA46" i="1590"/>
  <c r="AB46" i="1590" s="1"/>
  <c r="B46" i="1590"/>
  <c r="AK45" i="1590"/>
  <c r="AL45" i="1590" s="1"/>
  <c r="AH45" i="1590"/>
  <c r="AG45" i="1590"/>
  <c r="AA45" i="1590"/>
  <c r="B45" i="1590"/>
  <c r="AH44" i="1590"/>
  <c r="AG44" i="1590"/>
  <c r="AA44" i="1590"/>
  <c r="I44" i="1590"/>
  <c r="E44" i="1590"/>
  <c r="E45" i="1590" s="1"/>
  <c r="B44" i="1590"/>
  <c r="AA43" i="1590"/>
  <c r="AB43" i="1590" s="1"/>
  <c r="G43" i="1590"/>
  <c r="G44" i="1590" s="1"/>
  <c r="G45" i="1590" s="1"/>
  <c r="C43" i="1590"/>
  <c r="AH42" i="1590"/>
  <c r="AG42" i="1590"/>
  <c r="AA42" i="1590"/>
  <c r="AQ43" i="1590" s="1"/>
  <c r="X42" i="1590" s="1"/>
  <c r="B42" i="1590"/>
  <c r="AK41" i="1590"/>
  <c r="AL40" i="1590" s="1"/>
  <c r="AH41" i="1590"/>
  <c r="AG41" i="1590"/>
  <c r="AA41" i="1590"/>
  <c r="J41" i="1590"/>
  <c r="B41" i="1590"/>
  <c r="AH40" i="1590"/>
  <c r="AG40" i="1590"/>
  <c r="AA40" i="1590"/>
  <c r="I40" i="1590"/>
  <c r="E40" i="1590"/>
  <c r="E41" i="1590" s="1"/>
  <c r="B40" i="1590"/>
  <c r="AQ39" i="1590"/>
  <c r="X38" i="1590" s="1"/>
  <c r="AA39" i="1590"/>
  <c r="G39" i="1590"/>
  <c r="G40" i="1590" s="1"/>
  <c r="G41" i="1590" s="1"/>
  <c r="C39" i="1590"/>
  <c r="AH38" i="1590"/>
  <c r="AG38" i="1590"/>
  <c r="AA38" i="1590"/>
  <c r="AB38" i="1590" s="1"/>
  <c r="B38" i="1590"/>
  <c r="AK37" i="1590"/>
  <c r="AH37" i="1590"/>
  <c r="AG37" i="1590"/>
  <c r="AA37" i="1590"/>
  <c r="J37" i="1590"/>
  <c r="B37" i="1590"/>
  <c r="AH36" i="1590"/>
  <c r="AG36" i="1590"/>
  <c r="AA36" i="1590"/>
  <c r="I36" i="1590"/>
  <c r="E36" i="1590"/>
  <c r="E37" i="1590" s="1"/>
  <c r="B36" i="1590"/>
  <c r="AA35" i="1590"/>
  <c r="AB35" i="1590" s="1"/>
  <c r="G35" i="1590"/>
  <c r="G36" i="1590" s="1"/>
  <c r="G37" i="1590" s="1"/>
  <c r="C35" i="1590"/>
  <c r="AH34" i="1590"/>
  <c r="AG34" i="1590"/>
  <c r="AA34" i="1590"/>
  <c r="AQ35" i="1590" s="1"/>
  <c r="X34" i="1590" s="1"/>
  <c r="B34" i="1590"/>
  <c r="AK33" i="1590"/>
  <c r="AL33" i="1590" s="1"/>
  <c r="AH33" i="1590"/>
  <c r="AG33" i="1590"/>
  <c r="AA33" i="1590"/>
  <c r="B33" i="1590"/>
  <c r="AH32" i="1590"/>
  <c r="AG32" i="1590"/>
  <c r="AA32" i="1590"/>
  <c r="I32" i="1590"/>
  <c r="E32" i="1590"/>
  <c r="E33" i="1590" s="1"/>
  <c r="B32" i="1590"/>
  <c r="AA31" i="1590"/>
  <c r="AB31" i="1590" s="1"/>
  <c r="G31" i="1590"/>
  <c r="G32" i="1590" s="1"/>
  <c r="G33" i="1590" s="1"/>
  <c r="C31" i="1590"/>
  <c r="AH30" i="1590"/>
  <c r="AG30" i="1590"/>
  <c r="AA30" i="1590"/>
  <c r="B30" i="1590"/>
  <c r="AK29" i="1590"/>
  <c r="AL29" i="1590" s="1"/>
  <c r="AH29" i="1590"/>
  <c r="AG29" i="1590"/>
  <c r="AA29" i="1590"/>
  <c r="J29" i="1590"/>
  <c r="B29" i="1590"/>
  <c r="AH28" i="1590"/>
  <c r="AG28" i="1590"/>
  <c r="AA28" i="1590"/>
  <c r="X28" i="1590"/>
  <c r="Z26" i="1590" s="1"/>
  <c r="I28" i="1590"/>
  <c r="E28" i="1590"/>
  <c r="E29" i="1590" s="1"/>
  <c r="B28" i="1590"/>
  <c r="AQ27" i="1590"/>
  <c r="X26" i="1590" s="1"/>
  <c r="AA27" i="1590"/>
  <c r="AI27" i="1590" s="1"/>
  <c r="X27" i="1590"/>
  <c r="G27" i="1590"/>
  <c r="G28" i="1590" s="1"/>
  <c r="G29" i="1590" s="1"/>
  <c r="C27" i="1590"/>
  <c r="AH26" i="1590"/>
  <c r="AG26" i="1590"/>
  <c r="AA26" i="1590"/>
  <c r="AB26" i="1590" s="1"/>
  <c r="B26" i="1590"/>
  <c r="AK25" i="1590"/>
  <c r="AA25" i="1590"/>
  <c r="J25" i="1590"/>
  <c r="B25" i="1590"/>
  <c r="AA24" i="1590"/>
  <c r="X24" i="1590"/>
  <c r="Z22" i="1590" s="1"/>
  <c r="I24" i="1590"/>
  <c r="E24" i="1590"/>
  <c r="E25" i="1590" s="1"/>
  <c r="B24" i="1590"/>
  <c r="AQ23" i="1590"/>
  <c r="X22" i="1590" s="1"/>
  <c r="AA23" i="1590"/>
  <c r="AB23" i="1590" s="1"/>
  <c r="X23" i="1590"/>
  <c r="AA22" i="1590"/>
  <c r="AB22" i="1590" s="1"/>
  <c r="B22" i="1590"/>
  <c r="AK17" i="1590"/>
  <c r="AL16" i="1590" s="1"/>
  <c r="AH17" i="1590"/>
  <c r="AG17" i="1590"/>
  <c r="AA17" i="1590"/>
  <c r="J17" i="1590"/>
  <c r="B17" i="1590"/>
  <c r="AH16" i="1590"/>
  <c r="AG16" i="1590"/>
  <c r="AA16" i="1590"/>
  <c r="I16" i="1590"/>
  <c r="E16" i="1590"/>
  <c r="E17" i="1590" s="1"/>
  <c r="B16" i="1590"/>
  <c r="AA15" i="1590"/>
  <c r="AB15" i="1590" s="1"/>
  <c r="G15" i="1590"/>
  <c r="G16" i="1590" s="1"/>
  <c r="G17" i="1590" s="1"/>
  <c r="C15" i="1590"/>
  <c r="AH14" i="1590"/>
  <c r="AG14" i="1590"/>
  <c r="AA14" i="1590"/>
  <c r="AB14" i="1590" s="1"/>
  <c r="B14" i="1590"/>
  <c r="AK13" i="1590"/>
  <c r="AL12" i="1590" s="1"/>
  <c r="AH13" i="1590"/>
  <c r="AG13" i="1590"/>
  <c r="AA13" i="1590"/>
  <c r="J13" i="1590"/>
  <c r="B13" i="1590"/>
  <c r="AH12" i="1590"/>
  <c r="AG12" i="1590"/>
  <c r="AA12" i="1590"/>
  <c r="I12" i="1590"/>
  <c r="E12" i="1590"/>
  <c r="E13" i="1590" s="1"/>
  <c r="B12" i="1590"/>
  <c r="AA11" i="1590"/>
  <c r="G11" i="1590"/>
  <c r="C11" i="1590"/>
  <c r="AH10" i="1590"/>
  <c r="AG10" i="1590"/>
  <c r="AA10" i="1590"/>
  <c r="AQ11" i="1590" s="1"/>
  <c r="B10" i="1590"/>
  <c r="AK9" i="1590"/>
  <c r="AL8" i="1590" s="1"/>
  <c r="AH9" i="1590"/>
  <c r="AG9" i="1590"/>
  <c r="AA9" i="1590"/>
  <c r="J9" i="1590"/>
  <c r="B9" i="1590"/>
  <c r="AH8" i="1590"/>
  <c r="AG8" i="1590"/>
  <c r="AA8" i="1590"/>
  <c r="X8" i="1590"/>
  <c r="Z6" i="1590" s="1"/>
  <c r="I8" i="1590"/>
  <c r="E8" i="1590"/>
  <c r="E9" i="1590" s="1"/>
  <c r="B8" i="1590"/>
  <c r="AQ7" i="1590"/>
  <c r="X6" i="1590" s="1"/>
  <c r="AA7" i="1590"/>
  <c r="AB7" i="1590" s="1"/>
  <c r="X7" i="1590"/>
  <c r="C7" i="1590"/>
  <c r="AH6" i="1590"/>
  <c r="AG6" i="1590"/>
  <c r="AA6" i="1590"/>
  <c r="AB6" i="1590" s="1"/>
  <c r="B6" i="1590"/>
  <c r="AD4" i="1590"/>
  <c r="AB18" i="1590" l="1"/>
  <c r="AQ19" i="1590"/>
  <c r="AL28" i="1590"/>
  <c r="AM28" i="1590" s="1"/>
  <c r="AL65" i="1590"/>
  <c r="AM65" i="1590" s="1"/>
  <c r="AL104" i="1590"/>
  <c r="AM104" i="1590" s="1"/>
  <c r="AL92" i="1590"/>
  <c r="AM92" i="1590" s="1"/>
  <c r="AL9" i="1590"/>
  <c r="AM9" i="1590" s="1"/>
  <c r="AL32" i="1590"/>
  <c r="AM32" i="1590" s="1"/>
  <c r="AL41" i="1590"/>
  <c r="AM41" i="1590" s="1"/>
  <c r="AL44" i="1590"/>
  <c r="AM44" i="1590" s="1"/>
  <c r="AL77" i="1590"/>
  <c r="AM77" i="1590" s="1"/>
  <c r="AL97" i="1590"/>
  <c r="AM97" i="1590" s="1"/>
  <c r="AL20" i="1590"/>
  <c r="AM20" i="1590" s="1"/>
  <c r="X104" i="1590"/>
  <c r="Z102" i="1590" s="1"/>
  <c r="Z105" i="1590"/>
  <c r="AB107" i="1590"/>
  <c r="X111" i="1590"/>
  <c r="X112" i="1590"/>
  <c r="Z110" i="1590" s="1"/>
  <c r="AL101" i="1590"/>
  <c r="AM101" i="1590" s="1"/>
  <c r="AL13" i="1590"/>
  <c r="AM13" i="1590" s="1"/>
  <c r="AL60" i="1590"/>
  <c r="AM60" i="1590" s="1"/>
  <c r="AL88" i="1590"/>
  <c r="AM88" i="1590" s="1"/>
  <c r="AF19" i="1590"/>
  <c r="AH19" i="1590" s="1"/>
  <c r="X59" i="1590"/>
  <c r="X87" i="1590"/>
  <c r="X96" i="1590"/>
  <c r="Z94" i="1590" s="1"/>
  <c r="X74" i="1590"/>
  <c r="X103" i="1590"/>
  <c r="X63" i="1590"/>
  <c r="AM33" i="1590"/>
  <c r="AF63" i="1590"/>
  <c r="AJ63" i="1590" s="1"/>
  <c r="AQ87" i="1590"/>
  <c r="X86" i="1590" s="1"/>
  <c r="AB10" i="1590"/>
  <c r="AF31" i="1590"/>
  <c r="AH31" i="1590" s="1"/>
  <c r="AM45" i="1590"/>
  <c r="AM64" i="1590"/>
  <c r="AF99" i="1590"/>
  <c r="AH99" i="1590" s="1"/>
  <c r="AF27" i="1590"/>
  <c r="AH27" i="1590" s="1"/>
  <c r="AE39" i="1590"/>
  <c r="AI43" i="1590"/>
  <c r="AF87" i="1590"/>
  <c r="AH87" i="1590" s="1"/>
  <c r="AE91" i="1590"/>
  <c r="AM8" i="1590"/>
  <c r="AF7" i="1590"/>
  <c r="AH7" i="1590" s="1"/>
  <c r="AF95" i="1590"/>
  <c r="AH95" i="1590" s="1"/>
  <c r="AB103" i="1590"/>
  <c r="AD103" i="1590" s="1"/>
  <c r="AV103" i="1590" s="1"/>
  <c r="AM21" i="1590"/>
  <c r="G12" i="1590"/>
  <c r="AQ31" i="1590"/>
  <c r="X30" i="1590" s="1"/>
  <c r="AB30" i="1590"/>
  <c r="AD31" i="1590" s="1"/>
  <c r="AQ55" i="1590"/>
  <c r="X54" i="1590" s="1"/>
  <c r="Z57" i="1590"/>
  <c r="AF59" i="1590"/>
  <c r="AH59" i="1590" s="1"/>
  <c r="AB62" i="1590"/>
  <c r="AQ63" i="1590"/>
  <c r="X62" i="1590" s="1"/>
  <c r="Z97" i="1590"/>
  <c r="AM100" i="1590"/>
  <c r="Z21" i="1590"/>
  <c r="AM81" i="1590"/>
  <c r="AM93" i="1590"/>
  <c r="X72" i="1590"/>
  <c r="Z70" i="1590" s="1"/>
  <c r="AD7" i="1590"/>
  <c r="AD9" i="1590" s="1"/>
  <c r="AM29" i="1590"/>
  <c r="AQ83" i="1590"/>
  <c r="X82" i="1590" s="1"/>
  <c r="AI95" i="1590"/>
  <c r="AF15" i="1590"/>
  <c r="AG15" i="1590" s="1"/>
  <c r="AE35" i="1590"/>
  <c r="AF47" i="1590"/>
  <c r="AH47" i="1590" s="1"/>
  <c r="AE51" i="1590"/>
  <c r="AB55" i="1590"/>
  <c r="AE71" i="1590"/>
  <c r="AB82" i="1590"/>
  <c r="X95" i="1590"/>
  <c r="X18" i="1590"/>
  <c r="AE19" i="1590"/>
  <c r="AA4" i="1590"/>
  <c r="AB34" i="1590"/>
  <c r="AD35" i="1590" s="1"/>
  <c r="AD37" i="1590" s="1"/>
  <c r="AB19" i="1590"/>
  <c r="AG19" i="1590"/>
  <c r="AF11" i="1590"/>
  <c r="AH11" i="1590" s="1"/>
  <c r="X32" i="1590"/>
  <c r="Z30" i="1590" s="1"/>
  <c r="X60" i="1590"/>
  <c r="Z58" i="1590" s="1"/>
  <c r="M128" i="1590"/>
  <c r="Q128" i="1590"/>
  <c r="U128" i="1590"/>
  <c r="X19" i="1590"/>
  <c r="X20" i="1590"/>
  <c r="Z18" i="1590" s="1"/>
  <c r="AF91" i="1590"/>
  <c r="AJ91" i="1590" s="1"/>
  <c r="AI39" i="1590"/>
  <c r="AE103" i="1590"/>
  <c r="AM109" i="1590"/>
  <c r="AB54" i="1590"/>
  <c r="AE15" i="1590"/>
  <c r="AM16" i="1590"/>
  <c r="AE27" i="1590"/>
  <c r="AB39" i="1590"/>
  <c r="AD39" i="1590" s="1"/>
  <c r="AD41" i="1590" s="1"/>
  <c r="Z41" i="1590"/>
  <c r="AM40" i="1590"/>
  <c r="AB42" i="1590"/>
  <c r="AD43" i="1590" s="1"/>
  <c r="AV43" i="1590" s="1"/>
  <c r="AB51" i="1590"/>
  <c r="AD51" i="1590" s="1"/>
  <c r="AD53" i="1590" s="1"/>
  <c r="X55" i="1590"/>
  <c r="AF55" i="1590"/>
  <c r="AJ55" i="1590" s="1"/>
  <c r="AM57" i="1590"/>
  <c r="AB95" i="1590"/>
  <c r="AD95" i="1590" s="1"/>
  <c r="AV95" i="1590" s="1"/>
  <c r="AM96" i="1590"/>
  <c r="AF103" i="1590"/>
  <c r="AH103" i="1590" s="1"/>
  <c r="AB58" i="1590"/>
  <c r="AB74" i="1590"/>
  <c r="AB78" i="1590"/>
  <c r="AD79" i="1590" s="1"/>
  <c r="AB91" i="1590"/>
  <c r="AD91" i="1590" s="1"/>
  <c r="AI91" i="1590"/>
  <c r="Z115" i="1590"/>
  <c r="AE7" i="1590"/>
  <c r="AE23" i="1590"/>
  <c r="AF35" i="1590"/>
  <c r="AJ35" i="1590" s="1"/>
  <c r="AF39" i="1590"/>
  <c r="AJ39" i="1590" s="1"/>
  <c r="AE47" i="1590"/>
  <c r="AF51" i="1590"/>
  <c r="AJ51" i="1590" s="1"/>
  <c r="AM61" i="1590"/>
  <c r="AM89" i="1590"/>
  <c r="AE95" i="1590"/>
  <c r="AI103" i="1590"/>
  <c r="AM105" i="1590"/>
  <c r="P128" i="1590"/>
  <c r="AD23" i="1590"/>
  <c r="AV23" i="1590" s="1"/>
  <c r="AD15" i="1590"/>
  <c r="AV15" i="1590" s="1"/>
  <c r="X10" i="1590"/>
  <c r="AE11" i="1590"/>
  <c r="X12" i="1590"/>
  <c r="Z10" i="1590" s="1"/>
  <c r="AI11" i="1590"/>
  <c r="X11" i="1590"/>
  <c r="Z13" i="1590"/>
  <c r="AB11" i="1590"/>
  <c r="AM12" i="1590"/>
  <c r="X14" i="1590"/>
  <c r="AF83" i="1590"/>
  <c r="AJ83" i="1590" s="1"/>
  <c r="AE83" i="1590"/>
  <c r="AI99" i="1590"/>
  <c r="AB99" i="1590"/>
  <c r="AD99" i="1590" s="1"/>
  <c r="X106" i="1590"/>
  <c r="AB106" i="1590"/>
  <c r="Z117" i="1590"/>
  <c r="AI7" i="1590"/>
  <c r="AL17" i="1590"/>
  <c r="AM17" i="1590" s="1"/>
  <c r="AB27" i="1590"/>
  <c r="AD27" i="1590" s="1"/>
  <c r="X31" i="1590"/>
  <c r="AE31" i="1590"/>
  <c r="AI31" i="1590"/>
  <c r="Z33" i="1590"/>
  <c r="AI35" i="1590"/>
  <c r="X35" i="1590"/>
  <c r="Z37" i="1590"/>
  <c r="AL37" i="1590"/>
  <c r="AM37" i="1590" s="1"/>
  <c r="AL36" i="1590"/>
  <c r="AM36" i="1590" s="1"/>
  <c r="X36" i="1590"/>
  <c r="Z34" i="1590" s="1"/>
  <c r="X40" i="1590"/>
  <c r="Z38" i="1590" s="1"/>
  <c r="AE43" i="1590"/>
  <c r="AB47" i="1590"/>
  <c r="AD47" i="1590" s="1"/>
  <c r="Z49" i="1590"/>
  <c r="AL49" i="1590"/>
  <c r="AM49" i="1590" s="1"/>
  <c r="AL48" i="1590"/>
  <c r="AM48" i="1590" s="1"/>
  <c r="AE59" i="1590"/>
  <c r="AE63" i="1590"/>
  <c r="Z65" i="1590"/>
  <c r="AI63" i="1590"/>
  <c r="AB63" i="1590"/>
  <c r="X64" i="1590"/>
  <c r="Z62" i="1590" s="1"/>
  <c r="AE79" i="1590"/>
  <c r="AF79" i="1590"/>
  <c r="AJ79" i="1590" s="1"/>
  <c r="Z85" i="1590"/>
  <c r="AB83" i="1590"/>
  <c r="X83" i="1590"/>
  <c r="AE107" i="1590"/>
  <c r="AF107" i="1590"/>
  <c r="X15" i="1590"/>
  <c r="AI15" i="1590"/>
  <c r="X16" i="1590"/>
  <c r="Z14" i="1590" s="1"/>
  <c r="X43" i="1590"/>
  <c r="AF43" i="1590"/>
  <c r="AJ43" i="1590" s="1"/>
  <c r="X44" i="1590"/>
  <c r="Z42" i="1590" s="1"/>
  <c r="AE55" i="1590"/>
  <c r="AF75" i="1590"/>
  <c r="AJ75" i="1590" s="1"/>
  <c r="AE75" i="1590"/>
  <c r="AM76" i="1590"/>
  <c r="AL84" i="1590"/>
  <c r="AM84" i="1590" s="1"/>
  <c r="X84" i="1590"/>
  <c r="Z82" i="1590" s="1"/>
  <c r="AL85" i="1590"/>
  <c r="AM85" i="1590" s="1"/>
  <c r="AB71" i="1590"/>
  <c r="AD71" i="1590" s="1"/>
  <c r="X71" i="1590"/>
  <c r="AI79" i="1590"/>
  <c r="X79" i="1590"/>
  <c r="X76" i="1590"/>
  <c r="Z74" i="1590" s="1"/>
  <c r="X39" i="1590"/>
  <c r="X51" i="1590"/>
  <c r="AL56" i="1590"/>
  <c r="AM56" i="1590" s="1"/>
  <c r="X56" i="1590"/>
  <c r="Z54" i="1590" s="1"/>
  <c r="Z61" i="1590"/>
  <c r="AB59" i="1590"/>
  <c r="AI59" i="1590"/>
  <c r="AB75" i="1590"/>
  <c r="X75" i="1590"/>
  <c r="AL80" i="1590"/>
  <c r="AM80" i="1590" s="1"/>
  <c r="X80" i="1590"/>
  <c r="Z78" i="1590" s="1"/>
  <c r="AE87" i="1590"/>
  <c r="AI87" i="1590"/>
  <c r="AB87" i="1590"/>
  <c r="X88" i="1590"/>
  <c r="Z86" i="1590" s="1"/>
  <c r="AQ95" i="1590"/>
  <c r="X94" i="1590" s="1"/>
  <c r="AQ103" i="1590"/>
  <c r="X102" i="1590" s="1"/>
  <c r="N128" i="1590"/>
  <c r="R128" i="1590"/>
  <c r="V128" i="1590"/>
  <c r="Z53" i="1590"/>
  <c r="AL53" i="1590"/>
  <c r="AM53" i="1590" s="1"/>
  <c r="AL52" i="1590"/>
  <c r="AM52" i="1590" s="1"/>
  <c r="X52" i="1590"/>
  <c r="Z50" i="1590" s="1"/>
  <c r="AE99" i="1590"/>
  <c r="O128" i="1590"/>
  <c r="S128" i="1590"/>
  <c r="W128" i="1590"/>
  <c r="T128" i="1590"/>
  <c r="AD87" i="1590"/>
  <c r="AI107" i="1590"/>
  <c r="X107" i="1590"/>
  <c r="AL108" i="1590"/>
  <c r="AM108" i="1590" s="1"/>
  <c r="X108" i="1590"/>
  <c r="Z106" i="1590" s="1"/>
  <c r="G7" i="1589"/>
  <c r="G8" i="1589" s="1"/>
  <c r="G9" i="1589" s="1"/>
  <c r="G11" i="1589"/>
  <c r="G12" i="1589" s="1"/>
  <c r="G13" i="1589" s="1"/>
  <c r="G15" i="1589"/>
  <c r="G16" i="1589" s="1"/>
  <c r="G17" i="1589" s="1"/>
  <c r="G18" i="1589" s="1"/>
  <c r="G19" i="1589" s="1"/>
  <c r="G20" i="1589" s="1"/>
  <c r="G21" i="1589" s="1"/>
  <c r="G23" i="1589"/>
  <c r="G24" i="1589" s="1"/>
  <c r="G25" i="1589" s="1"/>
  <c r="G27" i="1589"/>
  <c r="G28" i="1589" s="1"/>
  <c r="G29" i="1589" s="1"/>
  <c r="G31" i="1589"/>
  <c r="G32" i="1589" s="1"/>
  <c r="G33" i="1589" s="1"/>
  <c r="G35" i="1589"/>
  <c r="G36" i="1589" s="1"/>
  <c r="G37" i="1589" s="1"/>
  <c r="G39" i="1589"/>
  <c r="G40" i="1589" s="1"/>
  <c r="G41" i="1589" s="1"/>
  <c r="G43" i="1589"/>
  <c r="G44" i="1589" s="1"/>
  <c r="G45" i="1589" s="1"/>
  <c r="G47" i="1589"/>
  <c r="G48" i="1589" s="1"/>
  <c r="G49" i="1589" s="1"/>
  <c r="G51" i="1589"/>
  <c r="G52" i="1589" s="1"/>
  <c r="G53" i="1589" s="1"/>
  <c r="G55" i="1589"/>
  <c r="G56" i="1589" s="1"/>
  <c r="G57" i="1589" s="1"/>
  <c r="G59" i="1589"/>
  <c r="G60" i="1589" s="1"/>
  <c r="G61" i="1589" s="1"/>
  <c r="G67" i="1589"/>
  <c r="G68" i="1589" s="1"/>
  <c r="G69" i="1589" s="1"/>
  <c r="G71" i="1589"/>
  <c r="G72" i="1589" s="1"/>
  <c r="G73" i="1589" s="1"/>
  <c r="G75" i="1589"/>
  <c r="G76" i="1589" s="1"/>
  <c r="G77" i="1589" s="1"/>
  <c r="G79" i="1589"/>
  <c r="G80" i="1589" s="1"/>
  <c r="G81" i="1589" s="1"/>
  <c r="G83" i="1589"/>
  <c r="G84" i="1589" s="1"/>
  <c r="G85" i="1589" s="1"/>
  <c r="G87" i="1589"/>
  <c r="G88" i="1589" s="1"/>
  <c r="G89" i="1589" s="1"/>
  <c r="G91" i="1589"/>
  <c r="G92" i="1589" s="1"/>
  <c r="G93" i="1589" s="1"/>
  <c r="G95" i="1589"/>
  <c r="G96" i="1589" s="1"/>
  <c r="G97" i="1589" s="1"/>
  <c r="G99" i="1589"/>
  <c r="G100" i="1589" s="1"/>
  <c r="G101" i="1589" s="1"/>
  <c r="AD19" i="1590" l="1"/>
  <c r="AV19" i="1590" s="1"/>
  <c r="AJ59" i="1590"/>
  <c r="AV7" i="1590"/>
  <c r="AJ31" i="1590"/>
  <c r="AJ19" i="1590"/>
  <c r="AD107" i="1590"/>
  <c r="AD109" i="1590" s="1"/>
  <c r="AD11" i="1590"/>
  <c r="AV11" i="1590" s="1"/>
  <c r="AJ15" i="1590"/>
  <c r="AD25" i="1590"/>
  <c r="AJ99" i="1590"/>
  <c r="AG63" i="1590"/>
  <c r="AJ27" i="1590"/>
  <c r="AH63" i="1590"/>
  <c r="AJ87" i="1590"/>
  <c r="AJ103" i="1590"/>
  <c r="AG87" i="1590"/>
  <c r="AG103" i="1590"/>
  <c r="AG95" i="1590"/>
  <c r="AG99" i="1590"/>
  <c r="AG31" i="1590"/>
  <c r="AV31" i="1590"/>
  <c r="AD33" i="1590"/>
  <c r="AD45" i="1590"/>
  <c r="AD55" i="1590"/>
  <c r="AD57" i="1590" s="1"/>
  <c r="AJ95" i="1590"/>
  <c r="AG27" i="1590"/>
  <c r="AH15" i="1590"/>
  <c r="AG11" i="1590"/>
  <c r="AJ11" i="1590"/>
  <c r="AG59" i="1590"/>
  <c r="AJ47" i="1590"/>
  <c r="AD83" i="1590"/>
  <c r="AV83" i="1590" s="1"/>
  <c r="AG47" i="1590"/>
  <c r="AD59" i="1590"/>
  <c r="AD61" i="1590" s="1"/>
  <c r="AD63" i="1590"/>
  <c r="AD65" i="1590" s="1"/>
  <c r="AG7" i="1590"/>
  <c r="AJ7" i="1590"/>
  <c r="G13" i="1590"/>
  <c r="AD97" i="1590"/>
  <c r="AV35" i="1590"/>
  <c r="AD21" i="1590"/>
  <c r="AD17" i="1590"/>
  <c r="AD75" i="1590"/>
  <c r="AV75" i="1590" s="1"/>
  <c r="AV51" i="1590"/>
  <c r="AG35" i="1590"/>
  <c r="AG91" i="1590"/>
  <c r="AH91" i="1590"/>
  <c r="AH35" i="1590"/>
  <c r="AV39" i="1590"/>
  <c r="AG51" i="1590"/>
  <c r="AH51" i="1590"/>
  <c r="AH39" i="1590"/>
  <c r="AG39" i="1590"/>
  <c r="AH55" i="1590"/>
  <c r="AG55" i="1590"/>
  <c r="AD105" i="1590"/>
  <c r="AD73" i="1590"/>
  <c r="AV71" i="1590"/>
  <c r="AD49" i="1590"/>
  <c r="AV47" i="1590"/>
  <c r="AV79" i="1590"/>
  <c r="AD81" i="1590"/>
  <c r="AG75" i="1590"/>
  <c r="AH75" i="1590"/>
  <c r="AG43" i="1590"/>
  <c r="AH43" i="1590"/>
  <c r="AH79" i="1590"/>
  <c r="AG79" i="1590"/>
  <c r="AI2" i="1590"/>
  <c r="AG83" i="1590"/>
  <c r="AH83" i="1590"/>
  <c r="AF4" i="1590"/>
  <c r="AD89" i="1590"/>
  <c r="AV87" i="1590"/>
  <c r="AD101" i="1590"/>
  <c r="AV99" i="1590"/>
  <c r="AD29" i="1590"/>
  <c r="AV27" i="1590"/>
  <c r="AG107" i="1590"/>
  <c r="AJ107" i="1590"/>
  <c r="AH107" i="1590"/>
  <c r="AD93" i="1590"/>
  <c r="AV91" i="1590"/>
  <c r="AQ4" i="1590"/>
  <c r="I48" i="1589"/>
  <c r="AD13" i="1590" l="1"/>
  <c r="AV107" i="1590"/>
  <c r="AD85" i="1590"/>
  <c r="AV63" i="1590"/>
  <c r="AV59" i="1590"/>
  <c r="AV55" i="1590"/>
  <c r="AD77" i="1590"/>
  <c r="AH2" i="1590"/>
  <c r="AD2" i="1590" s="1"/>
  <c r="X90" i="1589"/>
  <c r="AQ83" i="1589"/>
  <c r="X82" i="1589" s="1"/>
  <c r="AQ63" i="1589"/>
  <c r="X62" i="1589" s="1"/>
  <c r="AQ43" i="1589"/>
  <c r="X42" i="1589" s="1"/>
  <c r="AQ35" i="1589"/>
  <c r="AQ23" i="1589"/>
  <c r="X22" i="1589" s="1"/>
  <c r="AQ19" i="1589"/>
  <c r="X18" i="1589" s="1"/>
  <c r="AQ7" i="1589"/>
  <c r="X6" i="1589" s="1"/>
  <c r="AK77" i="1589"/>
  <c r="AL77" i="1589" s="1"/>
  <c r="AH77" i="1589"/>
  <c r="AG77" i="1589"/>
  <c r="AA77" i="1589"/>
  <c r="J77" i="1589"/>
  <c r="B77" i="1589"/>
  <c r="AH76" i="1589"/>
  <c r="AG76" i="1589"/>
  <c r="AA76" i="1589"/>
  <c r="I76" i="1589"/>
  <c r="E76" i="1589"/>
  <c r="E77" i="1589" s="1"/>
  <c r="B76" i="1589"/>
  <c r="AA75" i="1589"/>
  <c r="Z77" i="1589" s="1"/>
  <c r="C75" i="1589"/>
  <c r="AH74" i="1589"/>
  <c r="AG74" i="1589"/>
  <c r="AA74" i="1589"/>
  <c r="AB74" i="1589" s="1"/>
  <c r="B74" i="1589"/>
  <c r="AK53" i="1589"/>
  <c r="AL53" i="1589" s="1"/>
  <c r="AH53" i="1589"/>
  <c r="AG53" i="1589"/>
  <c r="AA53" i="1589"/>
  <c r="J53" i="1589"/>
  <c r="B53" i="1589"/>
  <c r="AH52" i="1589"/>
  <c r="AG52" i="1589"/>
  <c r="AA52" i="1589"/>
  <c r="I52" i="1589"/>
  <c r="E52" i="1589"/>
  <c r="E53" i="1589" s="1"/>
  <c r="B52" i="1589"/>
  <c r="AA51" i="1589"/>
  <c r="AI51" i="1589" s="1"/>
  <c r="C51" i="1589"/>
  <c r="AH50" i="1589"/>
  <c r="AG50" i="1589"/>
  <c r="AA50" i="1589"/>
  <c r="B50" i="1589"/>
  <c r="W113" i="1589"/>
  <c r="V113" i="1589"/>
  <c r="U113" i="1589"/>
  <c r="U110" i="1589" s="1"/>
  <c r="T113" i="1589"/>
  <c r="T110" i="1589" s="1"/>
  <c r="S113" i="1589"/>
  <c r="R113" i="1589"/>
  <c r="Q113" i="1589"/>
  <c r="Q110" i="1589" s="1"/>
  <c r="P113" i="1589"/>
  <c r="P110" i="1589" s="1"/>
  <c r="O113" i="1589"/>
  <c r="N113" i="1589"/>
  <c r="N110" i="1589" s="1"/>
  <c r="M113" i="1589"/>
  <c r="M110" i="1589" s="1"/>
  <c r="W107" i="1589"/>
  <c r="V107" i="1589"/>
  <c r="U107" i="1589"/>
  <c r="T107" i="1589"/>
  <c r="S107" i="1589"/>
  <c r="R107" i="1589"/>
  <c r="Q107" i="1589"/>
  <c r="P107" i="1589"/>
  <c r="O107" i="1589"/>
  <c r="N107" i="1589"/>
  <c r="M107" i="1589"/>
  <c r="W105" i="1589"/>
  <c r="V105" i="1589"/>
  <c r="U105" i="1589"/>
  <c r="T105" i="1589"/>
  <c r="S105" i="1589"/>
  <c r="R105" i="1589"/>
  <c r="Q105" i="1589"/>
  <c r="P105" i="1589"/>
  <c r="O105" i="1589"/>
  <c r="N105" i="1589"/>
  <c r="M105" i="1589"/>
  <c r="W103" i="1589"/>
  <c r="V103" i="1589"/>
  <c r="U103" i="1589"/>
  <c r="T103" i="1589"/>
  <c r="S103" i="1589"/>
  <c r="R103" i="1589"/>
  <c r="Q103" i="1589"/>
  <c r="P103" i="1589"/>
  <c r="O103" i="1589"/>
  <c r="N103" i="1589"/>
  <c r="M103" i="1589"/>
  <c r="AK101" i="1589"/>
  <c r="AL101" i="1589" s="1"/>
  <c r="AH101" i="1589"/>
  <c r="AG101" i="1589"/>
  <c r="AA101" i="1589"/>
  <c r="J101" i="1589"/>
  <c r="B101" i="1589"/>
  <c r="AH100" i="1589"/>
  <c r="AG100" i="1589"/>
  <c r="AA100" i="1589"/>
  <c r="I100" i="1589"/>
  <c r="E100" i="1589"/>
  <c r="E101" i="1589" s="1"/>
  <c r="B100" i="1589"/>
  <c r="AA99" i="1589"/>
  <c r="AI99" i="1589" s="1"/>
  <c r="C99" i="1589"/>
  <c r="AH98" i="1589"/>
  <c r="AG98" i="1589"/>
  <c r="AA98" i="1589"/>
  <c r="AB98" i="1589" s="1"/>
  <c r="B98" i="1589"/>
  <c r="AK97" i="1589"/>
  <c r="AH97" i="1589"/>
  <c r="AG97" i="1589"/>
  <c r="AA97" i="1589"/>
  <c r="J97" i="1589"/>
  <c r="B97" i="1589"/>
  <c r="AH96" i="1589"/>
  <c r="AG96" i="1589"/>
  <c r="AA96" i="1589"/>
  <c r="I96" i="1589"/>
  <c r="E96" i="1589"/>
  <c r="E97" i="1589" s="1"/>
  <c r="B96" i="1589"/>
  <c r="AA95" i="1589"/>
  <c r="C95" i="1589"/>
  <c r="AH94" i="1589"/>
  <c r="AG94" i="1589"/>
  <c r="AA94" i="1589"/>
  <c r="B94" i="1589"/>
  <c r="AK93" i="1589"/>
  <c r="AL92" i="1589" s="1"/>
  <c r="AH93" i="1589"/>
  <c r="AG93" i="1589"/>
  <c r="AA93" i="1589"/>
  <c r="J93" i="1589"/>
  <c r="B93" i="1589"/>
  <c r="AH92" i="1589"/>
  <c r="AG92" i="1589"/>
  <c r="AA92" i="1589"/>
  <c r="I92" i="1589"/>
  <c r="E92" i="1589"/>
  <c r="E93" i="1589" s="1"/>
  <c r="B92" i="1589"/>
  <c r="AA91" i="1589"/>
  <c r="AB91" i="1589" s="1"/>
  <c r="C91" i="1589"/>
  <c r="AH90" i="1589"/>
  <c r="AG90" i="1589"/>
  <c r="AA90" i="1589"/>
  <c r="AB90" i="1589" s="1"/>
  <c r="B90" i="1589"/>
  <c r="AK89" i="1589"/>
  <c r="AH89" i="1589"/>
  <c r="AG89" i="1589"/>
  <c r="AA89" i="1589"/>
  <c r="J89" i="1589"/>
  <c r="B89" i="1589"/>
  <c r="AH88" i="1589"/>
  <c r="AG88" i="1589"/>
  <c r="AA88" i="1589"/>
  <c r="I88" i="1589"/>
  <c r="E88" i="1589"/>
  <c r="E89" i="1589" s="1"/>
  <c r="B88" i="1589"/>
  <c r="AA87" i="1589"/>
  <c r="Z89" i="1589" s="1"/>
  <c r="C87" i="1589"/>
  <c r="AH86" i="1589"/>
  <c r="AG86" i="1589"/>
  <c r="AA86" i="1589"/>
  <c r="AQ87" i="1589" s="1"/>
  <c r="B86" i="1589"/>
  <c r="AK85" i="1589"/>
  <c r="AL85" i="1589" s="1"/>
  <c r="AH85" i="1589"/>
  <c r="AG85" i="1589"/>
  <c r="AA85" i="1589"/>
  <c r="J85" i="1589"/>
  <c r="B85" i="1589"/>
  <c r="AH84" i="1589"/>
  <c r="AG84" i="1589"/>
  <c r="AA84" i="1589"/>
  <c r="I84" i="1589"/>
  <c r="E84" i="1589"/>
  <c r="E85" i="1589" s="1"/>
  <c r="B84" i="1589"/>
  <c r="AA83" i="1589"/>
  <c r="C83" i="1589"/>
  <c r="AH82" i="1589"/>
  <c r="AG82" i="1589"/>
  <c r="AA82" i="1589"/>
  <c r="AB82" i="1589" s="1"/>
  <c r="B82" i="1589"/>
  <c r="AK81" i="1589"/>
  <c r="AL81" i="1589" s="1"/>
  <c r="AH81" i="1589"/>
  <c r="AG81" i="1589"/>
  <c r="AA81" i="1589"/>
  <c r="J81" i="1589"/>
  <c r="B81" i="1589"/>
  <c r="AH80" i="1589"/>
  <c r="AG80" i="1589"/>
  <c r="AA80" i="1589"/>
  <c r="I80" i="1589"/>
  <c r="E80" i="1589"/>
  <c r="E81" i="1589" s="1"/>
  <c r="B80" i="1589"/>
  <c r="AA79" i="1589"/>
  <c r="AB79" i="1589" s="1"/>
  <c r="C79" i="1589"/>
  <c r="AH78" i="1589"/>
  <c r="AG78" i="1589"/>
  <c r="AA78" i="1589"/>
  <c r="AQ79" i="1589" s="1"/>
  <c r="B78" i="1589"/>
  <c r="AK73" i="1589"/>
  <c r="AL73" i="1589" s="1"/>
  <c r="AH73" i="1589"/>
  <c r="AG73" i="1589"/>
  <c r="AA73" i="1589"/>
  <c r="J73" i="1589"/>
  <c r="B73" i="1589"/>
  <c r="AH72" i="1589"/>
  <c r="AG72" i="1589"/>
  <c r="AA72" i="1589"/>
  <c r="I72" i="1589"/>
  <c r="E72" i="1589"/>
  <c r="E73" i="1589" s="1"/>
  <c r="B72" i="1589"/>
  <c r="AA71" i="1589"/>
  <c r="C71" i="1589"/>
  <c r="AH70" i="1589"/>
  <c r="AG70" i="1589"/>
  <c r="AA70" i="1589"/>
  <c r="AQ71" i="1589" s="1"/>
  <c r="B70" i="1589"/>
  <c r="AK69" i="1589"/>
  <c r="AL69" i="1589" s="1"/>
  <c r="AH69" i="1589"/>
  <c r="AG69" i="1589"/>
  <c r="AA69" i="1589"/>
  <c r="J69" i="1589"/>
  <c r="B69" i="1589"/>
  <c r="AH68" i="1589"/>
  <c r="AG68" i="1589"/>
  <c r="AA68" i="1589"/>
  <c r="I68" i="1589"/>
  <c r="E68" i="1589"/>
  <c r="E69" i="1589" s="1"/>
  <c r="B68" i="1589"/>
  <c r="AA67" i="1589"/>
  <c r="C67" i="1589"/>
  <c r="AH66" i="1589"/>
  <c r="AG66" i="1589"/>
  <c r="AA66" i="1589"/>
  <c r="AQ67" i="1589" s="1"/>
  <c r="B66" i="1589"/>
  <c r="AA65" i="1589"/>
  <c r="J65" i="1589"/>
  <c r="B65" i="1589"/>
  <c r="AA64" i="1589"/>
  <c r="I64" i="1589"/>
  <c r="E64" i="1589"/>
  <c r="E65" i="1589" s="1"/>
  <c r="B64" i="1589"/>
  <c r="AA63" i="1589"/>
  <c r="X63" i="1589" s="1"/>
  <c r="AA62" i="1589"/>
  <c r="AB62" i="1589" s="1"/>
  <c r="B62" i="1589"/>
  <c r="AK61" i="1589"/>
  <c r="AL61" i="1589" s="1"/>
  <c r="AH61" i="1589"/>
  <c r="AG61" i="1589"/>
  <c r="AA61" i="1589"/>
  <c r="J61" i="1589"/>
  <c r="B61" i="1589"/>
  <c r="AH60" i="1589"/>
  <c r="AG60" i="1589"/>
  <c r="AA60" i="1589"/>
  <c r="I60" i="1589"/>
  <c r="E60" i="1589"/>
  <c r="E61" i="1589" s="1"/>
  <c r="B60" i="1589"/>
  <c r="AA59" i="1589"/>
  <c r="Z61" i="1589" s="1"/>
  <c r="C59" i="1589"/>
  <c r="AH58" i="1589"/>
  <c r="AG58" i="1589"/>
  <c r="AA58" i="1589"/>
  <c r="AQ59" i="1589" s="1"/>
  <c r="B58" i="1589"/>
  <c r="AK57" i="1589"/>
  <c r="AL57" i="1589" s="1"/>
  <c r="AH57" i="1589"/>
  <c r="AG57" i="1589"/>
  <c r="AA57" i="1589"/>
  <c r="J57" i="1589"/>
  <c r="B57" i="1589"/>
  <c r="AH56" i="1589"/>
  <c r="AG56" i="1589"/>
  <c r="AA56" i="1589"/>
  <c r="I56" i="1589"/>
  <c r="E56" i="1589"/>
  <c r="E57" i="1589" s="1"/>
  <c r="B56" i="1589"/>
  <c r="AA55" i="1589"/>
  <c r="C55" i="1589"/>
  <c r="AH54" i="1589"/>
  <c r="AG54" i="1589"/>
  <c r="AA54" i="1589"/>
  <c r="AQ55" i="1589" s="1"/>
  <c r="B54" i="1589"/>
  <c r="AK49" i="1589"/>
  <c r="AL49" i="1589" s="1"/>
  <c r="AH49" i="1589"/>
  <c r="AG49" i="1589"/>
  <c r="AA49" i="1589"/>
  <c r="J49" i="1589"/>
  <c r="B49" i="1589"/>
  <c r="AH48" i="1589"/>
  <c r="AG48" i="1589"/>
  <c r="AA48" i="1589"/>
  <c r="E48" i="1589"/>
  <c r="E49" i="1589" s="1"/>
  <c r="B48" i="1589"/>
  <c r="AA47" i="1589"/>
  <c r="Z49" i="1589" s="1"/>
  <c r="C47" i="1589"/>
  <c r="AH46" i="1589"/>
  <c r="AG46" i="1589"/>
  <c r="AA46" i="1589"/>
  <c r="AQ47" i="1589" s="1"/>
  <c r="B46" i="1589"/>
  <c r="AK45" i="1589"/>
  <c r="AL44" i="1589" s="1"/>
  <c r="AH45" i="1589"/>
  <c r="AG45" i="1589"/>
  <c r="AA45" i="1589"/>
  <c r="J45" i="1589"/>
  <c r="B45" i="1589"/>
  <c r="AH44" i="1589"/>
  <c r="AG44" i="1589"/>
  <c r="AA44" i="1589"/>
  <c r="X44" i="1589"/>
  <c r="Z42" i="1589" s="1"/>
  <c r="I44" i="1589"/>
  <c r="E44" i="1589"/>
  <c r="E45" i="1589" s="1"/>
  <c r="B44" i="1589"/>
  <c r="AA43" i="1589"/>
  <c r="AI43" i="1589" s="1"/>
  <c r="X43" i="1589"/>
  <c r="C43" i="1589"/>
  <c r="AH42" i="1589"/>
  <c r="AG42" i="1589"/>
  <c r="AA42" i="1589"/>
  <c r="AB42" i="1589" s="1"/>
  <c r="B42" i="1589"/>
  <c r="AK41" i="1589"/>
  <c r="AL41" i="1589" s="1"/>
  <c r="AH41" i="1589"/>
  <c r="AG41" i="1589"/>
  <c r="AA41" i="1589"/>
  <c r="J41" i="1589"/>
  <c r="B41" i="1589"/>
  <c r="AH40" i="1589"/>
  <c r="AG40" i="1589"/>
  <c r="AA40" i="1589"/>
  <c r="I40" i="1589"/>
  <c r="E40" i="1589"/>
  <c r="E41" i="1589" s="1"/>
  <c r="B40" i="1589"/>
  <c r="AA39" i="1589"/>
  <c r="C39" i="1589"/>
  <c r="AH38" i="1589"/>
  <c r="AG38" i="1589"/>
  <c r="AA38" i="1589"/>
  <c r="B38" i="1589"/>
  <c r="AK37" i="1589"/>
  <c r="AL37" i="1589" s="1"/>
  <c r="AH37" i="1589"/>
  <c r="AG37" i="1589"/>
  <c r="AA37" i="1589"/>
  <c r="J37" i="1589"/>
  <c r="B37" i="1589"/>
  <c r="AH36" i="1589"/>
  <c r="AG36" i="1589"/>
  <c r="AA36" i="1589"/>
  <c r="I36" i="1589"/>
  <c r="E36" i="1589"/>
  <c r="E37" i="1589" s="1"/>
  <c r="B36" i="1589"/>
  <c r="AA35" i="1589"/>
  <c r="AB35" i="1589" s="1"/>
  <c r="C35" i="1589"/>
  <c r="AH34" i="1589"/>
  <c r="AG34" i="1589"/>
  <c r="AA34" i="1589"/>
  <c r="B34" i="1589"/>
  <c r="AK33" i="1589"/>
  <c r="AL33" i="1589" s="1"/>
  <c r="AH33" i="1589"/>
  <c r="AG33" i="1589"/>
  <c r="AA33" i="1589"/>
  <c r="J33" i="1589"/>
  <c r="B33" i="1589"/>
  <c r="AH32" i="1589"/>
  <c r="AG32" i="1589"/>
  <c r="AA32" i="1589"/>
  <c r="I32" i="1589"/>
  <c r="E32" i="1589"/>
  <c r="E33" i="1589" s="1"/>
  <c r="B32" i="1589"/>
  <c r="AA31" i="1589"/>
  <c r="AB31" i="1589" s="1"/>
  <c r="C31" i="1589"/>
  <c r="AH30" i="1589"/>
  <c r="AG30" i="1589"/>
  <c r="AA30" i="1589"/>
  <c r="AB30" i="1589" s="1"/>
  <c r="B30" i="1589"/>
  <c r="AK29" i="1589"/>
  <c r="AL29" i="1589" s="1"/>
  <c r="AH29" i="1589"/>
  <c r="AG29" i="1589"/>
  <c r="AA29" i="1589"/>
  <c r="B29" i="1589"/>
  <c r="AH28" i="1589"/>
  <c r="AG28" i="1589"/>
  <c r="AA28" i="1589"/>
  <c r="I28" i="1589"/>
  <c r="E28" i="1589"/>
  <c r="E29" i="1589" s="1"/>
  <c r="B28" i="1589"/>
  <c r="AA27" i="1589"/>
  <c r="AB27" i="1589" s="1"/>
  <c r="C27" i="1589"/>
  <c r="AH26" i="1589"/>
  <c r="AG26" i="1589"/>
  <c r="AA26" i="1589"/>
  <c r="AQ27" i="1589" s="1"/>
  <c r="B26" i="1589"/>
  <c r="AK25" i="1589"/>
  <c r="AL24" i="1589" s="1"/>
  <c r="AH25" i="1589"/>
  <c r="AG25" i="1589"/>
  <c r="AA25" i="1589"/>
  <c r="J25" i="1589"/>
  <c r="B25" i="1589"/>
  <c r="AH24" i="1589"/>
  <c r="AG24" i="1589"/>
  <c r="AA24" i="1589"/>
  <c r="X24" i="1589"/>
  <c r="Z22" i="1589" s="1"/>
  <c r="I24" i="1589"/>
  <c r="E24" i="1589"/>
  <c r="E25" i="1589" s="1"/>
  <c r="B24" i="1589"/>
  <c r="AA23" i="1589"/>
  <c r="AB23" i="1589" s="1"/>
  <c r="X23" i="1589"/>
  <c r="C23" i="1589"/>
  <c r="AH22" i="1589"/>
  <c r="AG22" i="1589"/>
  <c r="AA22" i="1589"/>
  <c r="AB22" i="1589" s="1"/>
  <c r="B22" i="1589"/>
  <c r="AK21" i="1589"/>
  <c r="AA21" i="1589"/>
  <c r="J21" i="1589"/>
  <c r="B21" i="1589"/>
  <c r="AA20" i="1589"/>
  <c r="X20" i="1589"/>
  <c r="Z18" i="1589" s="1"/>
  <c r="I20" i="1589"/>
  <c r="E20" i="1589"/>
  <c r="E21" i="1589" s="1"/>
  <c r="B20" i="1589"/>
  <c r="AA19" i="1589"/>
  <c r="AB19" i="1589" s="1"/>
  <c r="X19" i="1589"/>
  <c r="AA18" i="1589"/>
  <c r="AB18" i="1589" s="1"/>
  <c r="B18" i="1589"/>
  <c r="AK17" i="1589"/>
  <c r="AH17" i="1589"/>
  <c r="AG17" i="1589"/>
  <c r="AA17" i="1589"/>
  <c r="J17" i="1589"/>
  <c r="B17" i="1589"/>
  <c r="AH16" i="1589"/>
  <c r="AG16" i="1589"/>
  <c r="AA16" i="1589"/>
  <c r="I16" i="1589"/>
  <c r="E16" i="1589"/>
  <c r="E17" i="1589" s="1"/>
  <c r="B16" i="1589"/>
  <c r="AA15" i="1589"/>
  <c r="C15" i="1589"/>
  <c r="AH14" i="1589"/>
  <c r="AG14" i="1589"/>
  <c r="AA14" i="1589"/>
  <c r="AQ15" i="1589" s="1"/>
  <c r="B14" i="1589"/>
  <c r="AK13" i="1589"/>
  <c r="AL12" i="1589" s="1"/>
  <c r="AH13" i="1589"/>
  <c r="AG13" i="1589"/>
  <c r="AA13" i="1589"/>
  <c r="J13" i="1589"/>
  <c r="B13" i="1589"/>
  <c r="AH12" i="1589"/>
  <c r="AG12" i="1589"/>
  <c r="AA12" i="1589"/>
  <c r="I12" i="1589"/>
  <c r="E12" i="1589"/>
  <c r="E13" i="1589" s="1"/>
  <c r="B12" i="1589"/>
  <c r="AA11" i="1589"/>
  <c r="AB11" i="1589" s="1"/>
  <c r="C11" i="1589"/>
  <c r="AH10" i="1589"/>
  <c r="AG10" i="1589"/>
  <c r="AA10" i="1589"/>
  <c r="AQ11" i="1589" s="1"/>
  <c r="B10" i="1589"/>
  <c r="AK9" i="1589"/>
  <c r="AH9" i="1589"/>
  <c r="AG9" i="1589"/>
  <c r="AA9" i="1589"/>
  <c r="J9" i="1589"/>
  <c r="B9" i="1589"/>
  <c r="AH8" i="1589"/>
  <c r="AG8" i="1589"/>
  <c r="AA8" i="1589"/>
  <c r="X8" i="1589"/>
  <c r="Z6" i="1589" s="1"/>
  <c r="I8" i="1589"/>
  <c r="E8" i="1589"/>
  <c r="E9" i="1589" s="1"/>
  <c r="B8" i="1589"/>
  <c r="AA7" i="1589"/>
  <c r="AB7" i="1589" s="1"/>
  <c r="X7" i="1589"/>
  <c r="C7" i="1589"/>
  <c r="AH6" i="1589"/>
  <c r="AG6" i="1589"/>
  <c r="AA6" i="1589"/>
  <c r="AB6" i="1589" s="1"/>
  <c r="B6" i="1589"/>
  <c r="AD4" i="1589"/>
  <c r="AL100" i="1589" l="1"/>
  <c r="AL13" i="1589"/>
  <c r="AE19" i="1589"/>
  <c r="AL72" i="1589"/>
  <c r="AM72" i="1589" s="1"/>
  <c r="AL52" i="1589"/>
  <c r="AM52" i="1589" s="1"/>
  <c r="AF75" i="1589"/>
  <c r="AG75" i="1589" s="1"/>
  <c r="AL40" i="1589"/>
  <c r="AM40" i="1589" s="1"/>
  <c r="AL48" i="1589"/>
  <c r="AM48" i="1589" s="1"/>
  <c r="AE51" i="1589"/>
  <c r="AL36" i="1589"/>
  <c r="AM36" i="1589" s="1"/>
  <c r="AL56" i="1589"/>
  <c r="AM56" i="1589" s="1"/>
  <c r="AF71" i="1589"/>
  <c r="AH71" i="1589" s="1"/>
  <c r="AL84" i="1589"/>
  <c r="AM84" i="1589" s="1"/>
  <c r="AL76" i="1589"/>
  <c r="AM76" i="1589" s="1"/>
  <c r="AF79" i="1589"/>
  <c r="AG79" i="1589" s="1"/>
  <c r="AF51" i="1589"/>
  <c r="AH51" i="1589" s="1"/>
  <c r="AD19" i="1589"/>
  <c r="AD21" i="1589" s="1"/>
  <c r="AB38" i="1589"/>
  <c r="AQ39" i="1589"/>
  <c r="X38" i="1589" s="1"/>
  <c r="X40" i="1589"/>
  <c r="Z38" i="1589" s="1"/>
  <c r="AE39" i="1589"/>
  <c r="AF43" i="1589"/>
  <c r="AG43" i="1589" s="1"/>
  <c r="X84" i="1589"/>
  <c r="Z82" i="1589" s="1"/>
  <c r="AB75" i="1589"/>
  <c r="AD75" i="1589" s="1"/>
  <c r="AL28" i="1589"/>
  <c r="AM28" i="1589" s="1"/>
  <c r="AM69" i="1589"/>
  <c r="AI75" i="1589"/>
  <c r="AQ31" i="1589"/>
  <c r="X30" i="1589" s="1"/>
  <c r="AB50" i="1589"/>
  <c r="AQ51" i="1589"/>
  <c r="X50" i="1589" s="1"/>
  <c r="X75" i="1589"/>
  <c r="AB94" i="1589"/>
  <c r="AQ95" i="1589"/>
  <c r="X94" i="1589" s="1"/>
  <c r="AI91" i="1589"/>
  <c r="AE91" i="1589"/>
  <c r="AQ99" i="1589"/>
  <c r="AM77" i="1589"/>
  <c r="AQ75" i="1589"/>
  <c r="X74" i="1589" s="1"/>
  <c r="AE75" i="1589"/>
  <c r="AB14" i="1589"/>
  <c r="X36" i="1589"/>
  <c r="Z34" i="1589" s="1"/>
  <c r="AE11" i="1589"/>
  <c r="AM61" i="1589"/>
  <c r="AM92" i="1589"/>
  <c r="AM81" i="1589"/>
  <c r="AF35" i="1589"/>
  <c r="AG35" i="1589" s="1"/>
  <c r="AM24" i="1589"/>
  <c r="AI7" i="1589"/>
  <c r="X46" i="1589"/>
  <c r="X70" i="1589"/>
  <c r="X86" i="1589"/>
  <c r="Z53" i="1589"/>
  <c r="AI23" i="1589"/>
  <c r="AE35" i="1589"/>
  <c r="X76" i="1589"/>
  <c r="Z74" i="1589" s="1"/>
  <c r="AL60" i="1589"/>
  <c r="AM60" i="1589" s="1"/>
  <c r="AB99" i="1589"/>
  <c r="AD99" i="1589" s="1"/>
  <c r="AE27" i="1589"/>
  <c r="AF59" i="1589"/>
  <c r="AG59" i="1589" s="1"/>
  <c r="AB70" i="1589"/>
  <c r="AL80" i="1589"/>
  <c r="AM80" i="1589" s="1"/>
  <c r="AB83" i="1589"/>
  <c r="AD83" i="1589" s="1"/>
  <c r="AB86" i="1589"/>
  <c r="AL93" i="1589"/>
  <c r="AM93" i="1589" s="1"/>
  <c r="AL32" i="1589"/>
  <c r="AM32" i="1589" s="1"/>
  <c r="AM73" i="1589"/>
  <c r="AI83" i="1589"/>
  <c r="AF83" i="1589"/>
  <c r="AH83" i="1589" s="1"/>
  <c r="AM53" i="1589"/>
  <c r="AB10" i="1589"/>
  <c r="AD11" i="1589" s="1"/>
  <c r="Z29" i="1589"/>
  <c r="AF31" i="1589"/>
  <c r="AH31" i="1589" s="1"/>
  <c r="X60" i="1589"/>
  <c r="Z58" i="1589" s="1"/>
  <c r="AB51" i="1589"/>
  <c r="AD7" i="1589"/>
  <c r="AD9" i="1589" s="1"/>
  <c r="AF11" i="1589"/>
  <c r="AG11" i="1589" s="1"/>
  <c r="AI27" i="1589"/>
  <c r="X28" i="1589"/>
  <c r="Z26" i="1589" s="1"/>
  <c r="AF39" i="1589"/>
  <c r="AH39" i="1589" s="1"/>
  <c r="AB43" i="1589"/>
  <c r="AD43" i="1589" s="1"/>
  <c r="P116" i="1589"/>
  <c r="T116" i="1589"/>
  <c r="X52" i="1589"/>
  <c r="Z50" i="1589" s="1"/>
  <c r="AB63" i="1589"/>
  <c r="AD63" i="1589" s="1"/>
  <c r="X51" i="1589"/>
  <c r="AE59" i="1589"/>
  <c r="AE63" i="1589"/>
  <c r="AE15" i="1589"/>
  <c r="AD23" i="1589"/>
  <c r="AV23" i="1589" s="1"/>
  <c r="X27" i="1589"/>
  <c r="AF27" i="1589"/>
  <c r="AG27" i="1589" s="1"/>
  <c r="AE31" i="1589"/>
  <c r="AM37" i="1589"/>
  <c r="AM41" i="1589"/>
  <c r="AB71" i="1589"/>
  <c r="X80" i="1589"/>
  <c r="Z78" i="1589" s="1"/>
  <c r="AE79" i="1589"/>
  <c r="AB87" i="1589"/>
  <c r="AF91" i="1589"/>
  <c r="AH91" i="1589" s="1"/>
  <c r="AM101" i="1589"/>
  <c r="Z105" i="1589"/>
  <c r="X11" i="1589"/>
  <c r="AI11" i="1589"/>
  <c r="X12" i="1589"/>
  <c r="Z10" i="1589" s="1"/>
  <c r="AM12" i="1589"/>
  <c r="AM13" i="1589"/>
  <c r="AI31" i="1589"/>
  <c r="Z33" i="1589"/>
  <c r="Z45" i="1589"/>
  <c r="AM44" i="1589"/>
  <c r="AM49" i="1589"/>
  <c r="AE71" i="1589"/>
  <c r="AI87" i="1589"/>
  <c r="AE87" i="1589"/>
  <c r="Z103" i="1589"/>
  <c r="V110" i="1589"/>
  <c r="V116" i="1589" s="1"/>
  <c r="AM29" i="1589"/>
  <c r="AA4" i="1589"/>
  <c r="AD31" i="1589"/>
  <c r="AV31" i="1589" s="1"/>
  <c r="AM33" i="1589"/>
  <c r="AE43" i="1589"/>
  <c r="AM57" i="1589"/>
  <c r="AI71" i="1589"/>
  <c r="AE83" i="1589"/>
  <c r="AM85" i="1589"/>
  <c r="X87" i="1589"/>
  <c r="R110" i="1589"/>
  <c r="R116" i="1589" s="1"/>
  <c r="AD91" i="1589"/>
  <c r="AF7" i="1589"/>
  <c r="AJ7" i="1589" s="1"/>
  <c r="AF15" i="1589"/>
  <c r="AE23" i="1589"/>
  <c r="AF23" i="1589"/>
  <c r="AJ23" i="1589" s="1"/>
  <c r="X34" i="1589"/>
  <c r="AB34" i="1589"/>
  <c r="AD35" i="1589" s="1"/>
  <c r="AF47" i="1589"/>
  <c r="AJ47" i="1589" s="1"/>
  <c r="AE47" i="1589"/>
  <c r="AB54" i="1589"/>
  <c r="X54" i="1589"/>
  <c r="AI55" i="1589"/>
  <c r="X55" i="1589"/>
  <c r="Z57" i="1589"/>
  <c r="AB55" i="1589"/>
  <c r="AF99" i="1589"/>
  <c r="AJ99" i="1589" s="1"/>
  <c r="AE99" i="1589"/>
  <c r="AM100" i="1589"/>
  <c r="X100" i="1589"/>
  <c r="Z98" i="1589" s="1"/>
  <c r="X72" i="1589"/>
  <c r="Z70" i="1589" s="1"/>
  <c r="X92" i="1589"/>
  <c r="Z90" i="1589" s="1"/>
  <c r="X83" i="1589"/>
  <c r="X99" i="1589"/>
  <c r="X91" i="1589"/>
  <c r="X31" i="1589"/>
  <c r="X71" i="1589"/>
  <c r="X35" i="1589"/>
  <c r="X32" i="1589"/>
  <c r="Z30" i="1589" s="1"/>
  <c r="AE7" i="1589"/>
  <c r="X10" i="1589"/>
  <c r="X26" i="1589"/>
  <c r="AB26" i="1589"/>
  <c r="AD27" i="1589" s="1"/>
  <c r="X64" i="1589"/>
  <c r="Z62" i="1589" s="1"/>
  <c r="AL8" i="1589"/>
  <c r="AM8" i="1589" s="1"/>
  <c r="AL9" i="1589"/>
  <c r="AM9" i="1589" s="1"/>
  <c r="AI15" i="1589"/>
  <c r="X15" i="1589"/>
  <c r="AB15" i="1589"/>
  <c r="AL17" i="1589"/>
  <c r="AM17" i="1589" s="1"/>
  <c r="AL16" i="1589"/>
  <c r="AM16" i="1589" s="1"/>
  <c r="X16" i="1589"/>
  <c r="Z14" i="1589" s="1"/>
  <c r="X56" i="1589"/>
  <c r="Z54" i="1589" s="1"/>
  <c r="AE95" i="1589"/>
  <c r="AF95" i="1589"/>
  <c r="AJ95" i="1589" s="1"/>
  <c r="AB47" i="1589"/>
  <c r="X48" i="1589"/>
  <c r="Z46" i="1589" s="1"/>
  <c r="X47" i="1589"/>
  <c r="AI47" i="1589"/>
  <c r="N116" i="1589"/>
  <c r="AB66" i="1589"/>
  <c r="X66" i="1589"/>
  <c r="AI67" i="1589"/>
  <c r="X67" i="1589"/>
  <c r="AB67" i="1589"/>
  <c r="AL89" i="1589"/>
  <c r="AM89" i="1589" s="1"/>
  <c r="AL88" i="1589"/>
  <c r="AM88" i="1589" s="1"/>
  <c r="X88" i="1589"/>
  <c r="Z86" i="1589" s="1"/>
  <c r="Z97" i="1589"/>
  <c r="AI95" i="1589"/>
  <c r="X95" i="1589"/>
  <c r="AB95" i="1589"/>
  <c r="O110" i="1589"/>
  <c r="O116" i="1589" s="1"/>
  <c r="S110" i="1589"/>
  <c r="S116" i="1589" s="1"/>
  <c r="W110" i="1589"/>
  <c r="W116" i="1589" s="1"/>
  <c r="Z13" i="1589"/>
  <c r="Z37" i="1589"/>
  <c r="AI39" i="1589"/>
  <c r="X39" i="1589"/>
  <c r="AL45" i="1589"/>
  <c r="AM45" i="1589" s="1"/>
  <c r="AE55" i="1589"/>
  <c r="X68" i="1589"/>
  <c r="Z66" i="1589" s="1"/>
  <c r="AL68" i="1589"/>
  <c r="AM68" i="1589" s="1"/>
  <c r="AE67" i="1589"/>
  <c r="X78" i="1589"/>
  <c r="AB78" i="1589"/>
  <c r="AD79" i="1589" s="1"/>
  <c r="AL25" i="1589"/>
  <c r="AM25" i="1589" s="1"/>
  <c r="AI35" i="1589"/>
  <c r="AB39" i="1589"/>
  <c r="AB46" i="1589"/>
  <c r="AF55" i="1589"/>
  <c r="X58" i="1589"/>
  <c r="AB58" i="1589"/>
  <c r="AB59" i="1589"/>
  <c r="AI59" i="1589"/>
  <c r="X59" i="1589"/>
  <c r="AF67" i="1589"/>
  <c r="AF87" i="1589"/>
  <c r="AL96" i="1589"/>
  <c r="AM96" i="1589" s="1"/>
  <c r="X96" i="1589"/>
  <c r="Z94" i="1589" s="1"/>
  <c r="AL97" i="1589"/>
  <c r="AM97" i="1589" s="1"/>
  <c r="M116" i="1589"/>
  <c r="Q116" i="1589"/>
  <c r="U116" i="1589"/>
  <c r="X79" i="1589"/>
  <c r="AI79" i="1589"/>
  <c r="AK41" i="1588"/>
  <c r="AL41" i="1588" s="1"/>
  <c r="AH41" i="1588"/>
  <c r="AG41" i="1588"/>
  <c r="AA41" i="1588"/>
  <c r="J41" i="1588"/>
  <c r="G41" i="1588"/>
  <c r="B41" i="1588"/>
  <c r="AH40" i="1588"/>
  <c r="AG40" i="1588"/>
  <c r="AA40" i="1588"/>
  <c r="G40" i="1588"/>
  <c r="E40" i="1588"/>
  <c r="E41" i="1588" s="1"/>
  <c r="B40" i="1588"/>
  <c r="AA39" i="1588"/>
  <c r="AI39" i="1588" s="1"/>
  <c r="C39" i="1588"/>
  <c r="AH38" i="1588"/>
  <c r="AG38" i="1588"/>
  <c r="AA38" i="1588"/>
  <c r="AB38" i="1588" s="1"/>
  <c r="G38" i="1588"/>
  <c r="B38" i="1588"/>
  <c r="AG51" i="1589" l="1"/>
  <c r="AJ71" i="1589"/>
  <c r="AG71" i="1589"/>
  <c r="AF39" i="1588"/>
  <c r="AH39" i="1588" s="1"/>
  <c r="AJ83" i="1589"/>
  <c r="AJ51" i="1589"/>
  <c r="AJ59" i="1589"/>
  <c r="AV75" i="1589"/>
  <c r="AD77" i="1589"/>
  <c r="AD39" i="1589"/>
  <c r="AV39" i="1589" s="1"/>
  <c r="AJ43" i="1589"/>
  <c r="AH75" i="1589"/>
  <c r="AV19" i="1589"/>
  <c r="AH43" i="1589"/>
  <c r="AJ75" i="1589"/>
  <c r="X98" i="1589"/>
  <c r="AG39" i="1589"/>
  <c r="AV7" i="1589"/>
  <c r="AJ35" i="1589"/>
  <c r="X14" i="1589"/>
  <c r="AJ79" i="1589"/>
  <c r="AJ27" i="1589"/>
  <c r="AG91" i="1589"/>
  <c r="AD87" i="1589"/>
  <c r="AV87" i="1589" s="1"/>
  <c r="AD33" i="1589"/>
  <c r="AH79" i="1589"/>
  <c r="AH11" i="1589"/>
  <c r="AD15" i="1589"/>
  <c r="AD17" i="1589" s="1"/>
  <c r="AD95" i="1589"/>
  <c r="AV95" i="1589" s="1"/>
  <c r="AJ39" i="1589"/>
  <c r="AD51" i="1589"/>
  <c r="AD53" i="1589" s="1"/>
  <c r="AD71" i="1589"/>
  <c r="AV71" i="1589" s="1"/>
  <c r="AG83" i="1589"/>
  <c r="AH59" i="1589"/>
  <c r="AH35" i="1589"/>
  <c r="AD13" i="1589"/>
  <c r="AV11" i="1589"/>
  <c r="AG31" i="1589"/>
  <c r="AJ31" i="1589"/>
  <c r="AD85" i="1589"/>
  <c r="AV83" i="1589"/>
  <c r="AV43" i="1589"/>
  <c r="AD45" i="1589"/>
  <c r="AV99" i="1589"/>
  <c r="AD101" i="1589"/>
  <c r="AJ91" i="1589"/>
  <c r="AJ11" i="1589"/>
  <c r="AH27" i="1589"/>
  <c r="AI2" i="1589"/>
  <c r="AD25" i="1589"/>
  <c r="AV91" i="1589"/>
  <c r="AD93" i="1589"/>
  <c r="AH55" i="1589"/>
  <c r="AG55" i="1589"/>
  <c r="AD81" i="1589"/>
  <c r="AV79" i="1589"/>
  <c r="AD65" i="1589"/>
  <c r="AV63" i="1589"/>
  <c r="AH87" i="1589"/>
  <c r="AG87" i="1589"/>
  <c r="AJ55" i="1589"/>
  <c r="AD55" i="1589"/>
  <c r="AV35" i="1589"/>
  <c r="AD37" i="1589"/>
  <c r="AH15" i="1589"/>
  <c r="AG15" i="1589"/>
  <c r="AJ15" i="1589"/>
  <c r="AG67" i="1589"/>
  <c r="AH67" i="1589"/>
  <c r="AD59" i="1589"/>
  <c r="AD67" i="1589"/>
  <c r="AD47" i="1589"/>
  <c r="AJ87" i="1589"/>
  <c r="AH95" i="1589"/>
  <c r="AG95" i="1589"/>
  <c r="AQ4" i="1589"/>
  <c r="AG7" i="1589"/>
  <c r="AF4" i="1589"/>
  <c r="AH7" i="1589"/>
  <c r="AJ67" i="1589"/>
  <c r="AD29" i="1589"/>
  <c r="AV27" i="1589"/>
  <c r="AG23" i="1589"/>
  <c r="AH23" i="1589"/>
  <c r="AH99" i="1589"/>
  <c r="AG99" i="1589"/>
  <c r="AG47" i="1589"/>
  <c r="AH47" i="1589"/>
  <c r="X40" i="1588"/>
  <c r="Z38" i="1588" s="1"/>
  <c r="AL40" i="1588"/>
  <c r="AM40" i="1588" s="1"/>
  <c r="AM41" i="1588"/>
  <c r="AB39" i="1588"/>
  <c r="AD39" i="1588" s="1"/>
  <c r="X38" i="1588"/>
  <c r="AE39" i="1588"/>
  <c r="J49" i="1588"/>
  <c r="AG39" i="1588" l="1"/>
  <c r="AJ39" i="1588"/>
  <c r="AD41" i="1589"/>
  <c r="AD97" i="1589"/>
  <c r="AD73" i="1589"/>
  <c r="AD89" i="1589"/>
  <c r="AV51" i="1589"/>
  <c r="AV15" i="1589"/>
  <c r="AD69" i="1589"/>
  <c r="AV67" i="1589"/>
  <c r="AD61" i="1589"/>
  <c r="AV59" i="1589"/>
  <c r="AH2" i="1589"/>
  <c r="AD2" i="1589" s="1"/>
  <c r="AV47" i="1589"/>
  <c r="AD49" i="1589"/>
  <c r="AD57" i="1589"/>
  <c r="AV55" i="1589"/>
  <c r="AD41" i="1588"/>
  <c r="AV39" i="1588"/>
  <c r="AA97" i="1588"/>
  <c r="AA96" i="1588"/>
  <c r="AA95" i="1588"/>
  <c r="AA94" i="1588"/>
  <c r="AA93" i="1588"/>
  <c r="AA92" i="1588"/>
  <c r="AA91" i="1588"/>
  <c r="X91" i="1588" s="1"/>
  <c r="AA90" i="1588"/>
  <c r="AQ91" i="1588" s="1"/>
  <c r="AA89" i="1588"/>
  <c r="AA88" i="1588"/>
  <c r="AA87" i="1588"/>
  <c r="AA86" i="1588"/>
  <c r="AB86" i="1588" s="1"/>
  <c r="AA85" i="1588"/>
  <c r="AA84" i="1588"/>
  <c r="AA83" i="1588"/>
  <c r="X83" i="1588" s="1"/>
  <c r="AA82" i="1588"/>
  <c r="AQ83" i="1588" s="1"/>
  <c r="AA81" i="1588"/>
  <c r="AA80" i="1588"/>
  <c r="AA79" i="1588"/>
  <c r="AA78" i="1588"/>
  <c r="AB78" i="1588" s="1"/>
  <c r="AA77" i="1588"/>
  <c r="AA76" i="1588"/>
  <c r="AA75" i="1588"/>
  <c r="AA74" i="1588"/>
  <c r="AQ75" i="1588" s="1"/>
  <c r="AB74" i="1588" s="1"/>
  <c r="AA73" i="1588"/>
  <c r="AA72" i="1588"/>
  <c r="AA71" i="1588"/>
  <c r="AA70" i="1588"/>
  <c r="AQ71" i="1588" s="1"/>
  <c r="X70" i="1588" s="1"/>
  <c r="AA69" i="1588"/>
  <c r="AA68" i="1588"/>
  <c r="AA67" i="1588"/>
  <c r="AA66" i="1588"/>
  <c r="AA65" i="1588"/>
  <c r="AA64" i="1588"/>
  <c r="AA63" i="1588"/>
  <c r="AA62" i="1588"/>
  <c r="AA61" i="1588"/>
  <c r="AA60" i="1588"/>
  <c r="AA59" i="1588"/>
  <c r="AA58" i="1588"/>
  <c r="AQ59" i="1588" s="1"/>
  <c r="AA57" i="1588"/>
  <c r="AA56" i="1588"/>
  <c r="AA55" i="1588"/>
  <c r="AI55" i="1588" s="1"/>
  <c r="AA54" i="1588"/>
  <c r="AA53" i="1588"/>
  <c r="AA52" i="1588"/>
  <c r="AA51" i="1588"/>
  <c r="AA50" i="1588"/>
  <c r="AA49" i="1588"/>
  <c r="AA48" i="1588"/>
  <c r="AA47" i="1588"/>
  <c r="AA46" i="1588"/>
  <c r="AQ47" i="1588" s="1"/>
  <c r="AA45" i="1588"/>
  <c r="AA44" i="1588"/>
  <c r="AA43" i="1588"/>
  <c r="AA42" i="1588"/>
  <c r="AA37" i="1588"/>
  <c r="AA36" i="1588"/>
  <c r="AA35" i="1588"/>
  <c r="X39" i="1588" s="1"/>
  <c r="AA34" i="1588"/>
  <c r="AQ35" i="1588" s="1"/>
  <c r="AA33" i="1588"/>
  <c r="AA32" i="1588"/>
  <c r="AA31" i="1588"/>
  <c r="AA30" i="1588"/>
  <c r="AA29" i="1588"/>
  <c r="AA28" i="1588"/>
  <c r="AA27" i="1588"/>
  <c r="X27" i="1588" s="1"/>
  <c r="AA26" i="1588"/>
  <c r="AQ27" i="1588" s="1"/>
  <c r="AA25" i="1588"/>
  <c r="AA24" i="1588"/>
  <c r="AA23" i="1588"/>
  <c r="AA22" i="1588"/>
  <c r="AB22" i="1588" s="1"/>
  <c r="AA21" i="1588"/>
  <c r="AA20" i="1588"/>
  <c r="AA19" i="1588"/>
  <c r="AB19" i="1588" s="1"/>
  <c r="AA18" i="1588"/>
  <c r="AA17" i="1588"/>
  <c r="AA16" i="1588"/>
  <c r="AA15" i="1588"/>
  <c r="AA14" i="1588"/>
  <c r="AA13" i="1588"/>
  <c r="AA12" i="1588"/>
  <c r="AA11" i="1588"/>
  <c r="X11" i="1588" s="1"/>
  <c r="AA10" i="1588"/>
  <c r="AQ11" i="1588" s="1"/>
  <c r="X86" i="1588"/>
  <c r="X78" i="1588"/>
  <c r="X63" i="1588"/>
  <c r="X56" i="1588"/>
  <c r="X55" i="1588"/>
  <c r="X44" i="1588"/>
  <c r="Z42" i="1588" s="1"/>
  <c r="X43" i="1588"/>
  <c r="X22" i="1588"/>
  <c r="X20" i="1588"/>
  <c r="X19" i="1588"/>
  <c r="AA9" i="1588"/>
  <c r="AA8" i="1588"/>
  <c r="AA7" i="1588"/>
  <c r="AA6" i="1588"/>
  <c r="AB6" i="1588" s="1"/>
  <c r="X6" i="1588"/>
  <c r="W109" i="1588"/>
  <c r="W106" i="1588" s="1"/>
  <c r="V109" i="1588"/>
  <c r="V106" i="1588" s="1"/>
  <c r="U109" i="1588"/>
  <c r="U106" i="1588" s="1"/>
  <c r="O109" i="1588"/>
  <c r="O106" i="1588" s="1"/>
  <c r="N109" i="1588"/>
  <c r="N106" i="1588" s="1"/>
  <c r="M109" i="1588"/>
  <c r="M106" i="1588" s="1"/>
  <c r="W103" i="1588"/>
  <c r="V103" i="1588"/>
  <c r="U103" i="1588"/>
  <c r="T103" i="1588"/>
  <c r="S103" i="1588"/>
  <c r="R103" i="1588"/>
  <c r="Q103" i="1588"/>
  <c r="P103" i="1588"/>
  <c r="O103" i="1588"/>
  <c r="N103" i="1588"/>
  <c r="M103" i="1588"/>
  <c r="W101" i="1588"/>
  <c r="V101" i="1588"/>
  <c r="U101" i="1588"/>
  <c r="T101" i="1588"/>
  <c r="S101" i="1588"/>
  <c r="R101" i="1588"/>
  <c r="Q101" i="1588"/>
  <c r="P101" i="1588"/>
  <c r="O101" i="1588"/>
  <c r="N101" i="1588"/>
  <c r="M101" i="1588"/>
  <c r="W99" i="1588"/>
  <c r="V99" i="1588"/>
  <c r="U99" i="1588"/>
  <c r="T99" i="1588"/>
  <c r="S99" i="1588"/>
  <c r="R99" i="1588"/>
  <c r="Q99" i="1588"/>
  <c r="P99" i="1588"/>
  <c r="O99" i="1588"/>
  <c r="N99" i="1588"/>
  <c r="M99" i="1588"/>
  <c r="AK97" i="1588"/>
  <c r="AH97" i="1588"/>
  <c r="AG97" i="1588"/>
  <c r="J97" i="1588"/>
  <c r="G97" i="1588"/>
  <c r="B97" i="1588"/>
  <c r="AH96" i="1588"/>
  <c r="AG96" i="1588"/>
  <c r="G96" i="1588"/>
  <c r="E96" i="1588"/>
  <c r="E97" i="1588" s="1"/>
  <c r="B96" i="1588"/>
  <c r="C95" i="1588"/>
  <c r="AH94" i="1588"/>
  <c r="AG94" i="1588"/>
  <c r="G94" i="1588"/>
  <c r="B94" i="1588"/>
  <c r="AK93" i="1588"/>
  <c r="AH93" i="1588"/>
  <c r="AG93" i="1588"/>
  <c r="J93" i="1588"/>
  <c r="B93" i="1588"/>
  <c r="AH92" i="1588"/>
  <c r="AG92" i="1588"/>
  <c r="G92" i="1588"/>
  <c r="E92" i="1588"/>
  <c r="E93" i="1588" s="1"/>
  <c r="B92" i="1588"/>
  <c r="C91" i="1588"/>
  <c r="AH90" i="1588"/>
  <c r="AG90" i="1588"/>
  <c r="G90" i="1588"/>
  <c r="B90" i="1588"/>
  <c r="AK89" i="1588"/>
  <c r="AL88" i="1588" s="1"/>
  <c r="AH89" i="1588"/>
  <c r="AG89" i="1588"/>
  <c r="J89" i="1588"/>
  <c r="B89" i="1588"/>
  <c r="AH88" i="1588"/>
  <c r="AG88" i="1588"/>
  <c r="G88" i="1588"/>
  <c r="E88" i="1588"/>
  <c r="E89" i="1588" s="1"/>
  <c r="B88" i="1588"/>
  <c r="C87" i="1588"/>
  <c r="AH86" i="1588"/>
  <c r="AG86" i="1588"/>
  <c r="G86" i="1588"/>
  <c r="B86" i="1588"/>
  <c r="AK85" i="1588"/>
  <c r="AL85" i="1588" s="1"/>
  <c r="AH85" i="1588"/>
  <c r="AG85" i="1588"/>
  <c r="J85" i="1588"/>
  <c r="G85" i="1588"/>
  <c r="B85" i="1588"/>
  <c r="AH84" i="1588"/>
  <c r="AG84" i="1588"/>
  <c r="G84" i="1588"/>
  <c r="E84" i="1588"/>
  <c r="E85" i="1588" s="1"/>
  <c r="B84" i="1588"/>
  <c r="C83" i="1588"/>
  <c r="AH82" i="1588"/>
  <c r="AG82" i="1588"/>
  <c r="G82" i="1588"/>
  <c r="B82" i="1588"/>
  <c r="AK81" i="1588"/>
  <c r="AL81" i="1588" s="1"/>
  <c r="AH81" i="1588"/>
  <c r="AG81" i="1588"/>
  <c r="J81" i="1588"/>
  <c r="G81" i="1588"/>
  <c r="B81" i="1588"/>
  <c r="AH80" i="1588"/>
  <c r="AG80" i="1588"/>
  <c r="G80" i="1588"/>
  <c r="E80" i="1588"/>
  <c r="E81" i="1588" s="1"/>
  <c r="B80" i="1588"/>
  <c r="C79" i="1588"/>
  <c r="AH78" i="1588"/>
  <c r="AG78" i="1588"/>
  <c r="G78" i="1588"/>
  <c r="B78" i="1588"/>
  <c r="AK77" i="1588"/>
  <c r="AL77" i="1588" s="1"/>
  <c r="AH77" i="1588"/>
  <c r="AG77" i="1588"/>
  <c r="J77" i="1588"/>
  <c r="G77" i="1588"/>
  <c r="B77" i="1588"/>
  <c r="AH76" i="1588"/>
  <c r="AG76" i="1588"/>
  <c r="G76" i="1588"/>
  <c r="E76" i="1588"/>
  <c r="E77" i="1588" s="1"/>
  <c r="B76" i="1588"/>
  <c r="C75" i="1588"/>
  <c r="AH74" i="1588"/>
  <c r="AG74" i="1588"/>
  <c r="G74" i="1588"/>
  <c r="B74" i="1588"/>
  <c r="AK73" i="1588"/>
  <c r="AH73" i="1588"/>
  <c r="AG73" i="1588"/>
  <c r="J73" i="1588"/>
  <c r="G73" i="1588"/>
  <c r="B73" i="1588"/>
  <c r="AH72" i="1588"/>
  <c r="AG72" i="1588"/>
  <c r="G72" i="1588"/>
  <c r="E72" i="1588"/>
  <c r="E73" i="1588" s="1"/>
  <c r="B72" i="1588"/>
  <c r="C71" i="1588"/>
  <c r="AH70" i="1588"/>
  <c r="AG70" i="1588"/>
  <c r="G70" i="1588"/>
  <c r="B70" i="1588"/>
  <c r="AK69" i="1588"/>
  <c r="AL69" i="1588" s="1"/>
  <c r="AH69" i="1588"/>
  <c r="AG69" i="1588"/>
  <c r="J69" i="1588"/>
  <c r="G69" i="1588"/>
  <c r="B69" i="1588"/>
  <c r="AH68" i="1588"/>
  <c r="AG68" i="1588"/>
  <c r="G68" i="1588"/>
  <c r="E68" i="1588"/>
  <c r="E69" i="1588" s="1"/>
  <c r="B68" i="1588"/>
  <c r="C67" i="1588"/>
  <c r="AH66" i="1588"/>
  <c r="AG66" i="1588"/>
  <c r="G66" i="1588"/>
  <c r="B66" i="1588"/>
  <c r="J65" i="1588"/>
  <c r="G65" i="1588"/>
  <c r="B65" i="1588"/>
  <c r="G64" i="1588"/>
  <c r="E64" i="1588"/>
  <c r="E65" i="1588" s="1"/>
  <c r="B64" i="1588"/>
  <c r="AQ63" i="1588"/>
  <c r="X62" i="1588" s="1"/>
  <c r="G62" i="1588"/>
  <c r="B62" i="1588"/>
  <c r="AK61" i="1588"/>
  <c r="AL60" i="1588" s="1"/>
  <c r="AH61" i="1588"/>
  <c r="AG61" i="1588"/>
  <c r="J61" i="1588"/>
  <c r="G61" i="1588"/>
  <c r="B61" i="1588"/>
  <c r="AH60" i="1588"/>
  <c r="AG60" i="1588"/>
  <c r="G60" i="1588"/>
  <c r="E60" i="1588"/>
  <c r="E61" i="1588" s="1"/>
  <c r="B60" i="1588"/>
  <c r="C59" i="1588"/>
  <c r="AH58" i="1588"/>
  <c r="AG58" i="1588"/>
  <c r="G58" i="1588"/>
  <c r="B58" i="1588"/>
  <c r="AK57" i="1588"/>
  <c r="AH57" i="1588"/>
  <c r="AG57" i="1588"/>
  <c r="J57" i="1588"/>
  <c r="G57" i="1588"/>
  <c r="B57" i="1588"/>
  <c r="AH56" i="1588"/>
  <c r="AG56" i="1588"/>
  <c r="G56" i="1588"/>
  <c r="E56" i="1588"/>
  <c r="E57" i="1588" s="1"/>
  <c r="B56" i="1588"/>
  <c r="AQ55" i="1588"/>
  <c r="X54" i="1588" s="1"/>
  <c r="C55" i="1588"/>
  <c r="AH54" i="1588"/>
  <c r="AG54" i="1588"/>
  <c r="G54" i="1588"/>
  <c r="B54" i="1588"/>
  <c r="AK53" i="1588"/>
  <c r="AL52" i="1588" s="1"/>
  <c r="AH53" i="1588"/>
  <c r="AG53" i="1588"/>
  <c r="J53" i="1588"/>
  <c r="G53" i="1588"/>
  <c r="B53" i="1588"/>
  <c r="AH52" i="1588"/>
  <c r="AG52" i="1588"/>
  <c r="G52" i="1588"/>
  <c r="E52" i="1588"/>
  <c r="E53" i="1588" s="1"/>
  <c r="B52" i="1588"/>
  <c r="C51" i="1588"/>
  <c r="AH50" i="1588"/>
  <c r="AG50" i="1588"/>
  <c r="G50" i="1588"/>
  <c r="B50" i="1588"/>
  <c r="AK49" i="1588"/>
  <c r="AH49" i="1588"/>
  <c r="AG49" i="1588"/>
  <c r="G49" i="1588"/>
  <c r="B49" i="1588"/>
  <c r="AH48" i="1588"/>
  <c r="AG48" i="1588"/>
  <c r="G48" i="1588"/>
  <c r="E48" i="1588"/>
  <c r="E49" i="1588" s="1"/>
  <c r="B48" i="1588"/>
  <c r="C47" i="1588"/>
  <c r="AH46" i="1588"/>
  <c r="AG46" i="1588"/>
  <c r="G46" i="1588"/>
  <c r="B46" i="1588"/>
  <c r="AK45" i="1588"/>
  <c r="AL45" i="1588" s="1"/>
  <c r="AH45" i="1588"/>
  <c r="AG45" i="1588"/>
  <c r="J45" i="1588"/>
  <c r="G45" i="1588"/>
  <c r="B45" i="1588"/>
  <c r="AH44" i="1588"/>
  <c r="AG44" i="1588"/>
  <c r="G44" i="1588"/>
  <c r="E44" i="1588"/>
  <c r="E45" i="1588" s="1"/>
  <c r="B44" i="1588"/>
  <c r="AQ43" i="1588"/>
  <c r="X42" i="1588" s="1"/>
  <c r="C43" i="1588"/>
  <c r="AH42" i="1588"/>
  <c r="AG42" i="1588"/>
  <c r="G42" i="1588"/>
  <c r="B42" i="1588"/>
  <c r="AK37" i="1588"/>
  <c r="AH37" i="1588"/>
  <c r="AG37" i="1588"/>
  <c r="J37" i="1588"/>
  <c r="G37" i="1588"/>
  <c r="B37" i="1588"/>
  <c r="AH36" i="1588"/>
  <c r="AG36" i="1588"/>
  <c r="G36" i="1588"/>
  <c r="E36" i="1588"/>
  <c r="E37" i="1588" s="1"/>
  <c r="B36" i="1588"/>
  <c r="C35" i="1588"/>
  <c r="AH34" i="1588"/>
  <c r="AG34" i="1588"/>
  <c r="G34" i="1588"/>
  <c r="B34" i="1588"/>
  <c r="AK33" i="1588"/>
  <c r="AL33" i="1588" s="1"/>
  <c r="AH33" i="1588"/>
  <c r="AG33" i="1588"/>
  <c r="J33" i="1588"/>
  <c r="G33" i="1588"/>
  <c r="B33" i="1588"/>
  <c r="AH32" i="1588"/>
  <c r="AG32" i="1588"/>
  <c r="G32" i="1588"/>
  <c r="E32" i="1588"/>
  <c r="E33" i="1588" s="1"/>
  <c r="B32" i="1588"/>
  <c r="C31" i="1588"/>
  <c r="AH30" i="1588"/>
  <c r="AG30" i="1588"/>
  <c r="G30" i="1588"/>
  <c r="B30" i="1588"/>
  <c r="AK29" i="1588"/>
  <c r="AH29" i="1588"/>
  <c r="AG29" i="1588"/>
  <c r="B29" i="1588"/>
  <c r="AH28" i="1588"/>
  <c r="AG28" i="1588"/>
  <c r="T109" i="1588"/>
  <c r="S109" i="1588"/>
  <c r="R109" i="1588"/>
  <c r="Q109" i="1588"/>
  <c r="Q106" i="1588" s="1"/>
  <c r="P109" i="1588"/>
  <c r="G28" i="1588"/>
  <c r="E28" i="1588"/>
  <c r="E29" i="1588" s="1"/>
  <c r="B28" i="1588"/>
  <c r="C27" i="1588"/>
  <c r="AH26" i="1588"/>
  <c r="AG26" i="1588"/>
  <c r="G26" i="1588"/>
  <c r="B26" i="1588"/>
  <c r="AK25" i="1588"/>
  <c r="AL24" i="1588" s="1"/>
  <c r="AH25" i="1588"/>
  <c r="AG25" i="1588"/>
  <c r="J25" i="1588"/>
  <c r="G25" i="1588"/>
  <c r="B25" i="1588"/>
  <c r="AH24" i="1588"/>
  <c r="AG24" i="1588"/>
  <c r="G24" i="1588"/>
  <c r="E24" i="1588"/>
  <c r="E25" i="1588" s="1"/>
  <c r="B24" i="1588"/>
  <c r="C23" i="1588"/>
  <c r="AH22" i="1588"/>
  <c r="AG22" i="1588"/>
  <c r="G22" i="1588"/>
  <c r="B22" i="1588"/>
  <c r="AK21" i="1588"/>
  <c r="J21" i="1588"/>
  <c r="G21" i="1588"/>
  <c r="B21" i="1588"/>
  <c r="G20" i="1588"/>
  <c r="E20" i="1588"/>
  <c r="E21" i="1588" s="1"/>
  <c r="B20" i="1588"/>
  <c r="AQ19" i="1588"/>
  <c r="X18" i="1588" s="1"/>
  <c r="G18" i="1588"/>
  <c r="B18" i="1588"/>
  <c r="AK17" i="1588"/>
  <c r="AL17" i="1588" s="1"/>
  <c r="AH17" i="1588"/>
  <c r="AG17" i="1588"/>
  <c r="J17" i="1588"/>
  <c r="G17" i="1588"/>
  <c r="B17" i="1588"/>
  <c r="AH16" i="1588"/>
  <c r="AG16" i="1588"/>
  <c r="G16" i="1588"/>
  <c r="E16" i="1588"/>
  <c r="E17" i="1588" s="1"/>
  <c r="B16" i="1588"/>
  <c r="C15" i="1588"/>
  <c r="AH14" i="1588"/>
  <c r="AG14" i="1588"/>
  <c r="G14" i="1588"/>
  <c r="B14" i="1588"/>
  <c r="AK13" i="1588"/>
  <c r="AH13" i="1588"/>
  <c r="AG13" i="1588"/>
  <c r="J13" i="1588"/>
  <c r="G13" i="1588"/>
  <c r="B13" i="1588"/>
  <c r="AH12" i="1588"/>
  <c r="AG12" i="1588"/>
  <c r="G12" i="1588"/>
  <c r="E12" i="1588"/>
  <c r="E13" i="1588" s="1"/>
  <c r="B12" i="1588"/>
  <c r="C11" i="1588"/>
  <c r="AH10" i="1588"/>
  <c r="AG10" i="1588"/>
  <c r="G10" i="1588"/>
  <c r="B10" i="1588"/>
  <c r="AK9" i="1588"/>
  <c r="AL8" i="1588" s="1"/>
  <c r="AH9" i="1588"/>
  <c r="AG9" i="1588"/>
  <c r="J9" i="1588"/>
  <c r="G9" i="1588"/>
  <c r="B9" i="1588"/>
  <c r="AH8" i="1588"/>
  <c r="AG8" i="1588"/>
  <c r="G8" i="1588"/>
  <c r="E8" i="1588"/>
  <c r="E9" i="1588" s="1"/>
  <c r="B8" i="1588"/>
  <c r="C7" i="1588"/>
  <c r="AH6" i="1588"/>
  <c r="AG6" i="1588"/>
  <c r="G6" i="1588"/>
  <c r="B6" i="1588"/>
  <c r="AD4" i="1588"/>
  <c r="AF55" i="1588" l="1"/>
  <c r="AG55" i="1588" s="1"/>
  <c r="AM45" i="1588"/>
  <c r="AE19" i="1588"/>
  <c r="AM77" i="1588"/>
  <c r="X92" i="1588"/>
  <c r="AM17" i="1588"/>
  <c r="X64" i="1588"/>
  <c r="AL25" i="1588"/>
  <c r="AM25" i="1588" s="1"/>
  <c r="AL16" i="1588"/>
  <c r="AL9" i="1588"/>
  <c r="AM9" i="1588" s="1"/>
  <c r="AL93" i="1588"/>
  <c r="AM93" i="1588" s="1"/>
  <c r="X96" i="1588"/>
  <c r="AL89" i="1588"/>
  <c r="X35" i="1588"/>
  <c r="X67" i="1588"/>
  <c r="X75" i="1588"/>
  <c r="X87" i="1588"/>
  <c r="X95" i="1588"/>
  <c r="X12" i="1588"/>
  <c r="X24" i="1588"/>
  <c r="X28" i="1588"/>
  <c r="X36" i="1588"/>
  <c r="X72" i="1588"/>
  <c r="AL80" i="1588"/>
  <c r="X48" i="1588"/>
  <c r="AL84" i="1588"/>
  <c r="AL61" i="1588"/>
  <c r="AM61" i="1588" s="1"/>
  <c r="X51" i="1588"/>
  <c r="X60" i="1588"/>
  <c r="X68" i="1588"/>
  <c r="X84" i="1588"/>
  <c r="AL53" i="1588"/>
  <c r="AM53" i="1588" s="1"/>
  <c r="X16" i="1588"/>
  <c r="X23" i="1588"/>
  <c r="X31" i="1588"/>
  <c r="X52" i="1588"/>
  <c r="X79" i="1588"/>
  <c r="X15" i="1588"/>
  <c r="X47" i="1588"/>
  <c r="X71" i="1588"/>
  <c r="X32" i="1588"/>
  <c r="X80" i="1588"/>
  <c r="AL76" i="1588"/>
  <c r="X76" i="1588"/>
  <c r="X88" i="1588"/>
  <c r="X59" i="1588"/>
  <c r="X74" i="1588"/>
  <c r="AM33" i="1588"/>
  <c r="AB54" i="1588"/>
  <c r="AB62" i="1588"/>
  <c r="AB18" i="1588"/>
  <c r="AD19" i="1588" s="1"/>
  <c r="AB42" i="1588"/>
  <c r="AB70" i="1588"/>
  <c r="Z54" i="1588"/>
  <c r="U112" i="1588"/>
  <c r="Z18" i="1588"/>
  <c r="Z99" i="1588"/>
  <c r="AB43" i="1588"/>
  <c r="AI43" i="1588"/>
  <c r="AF43" i="1588"/>
  <c r="AG43" i="1588" s="1"/>
  <c r="AL32" i="1588"/>
  <c r="AL44" i="1588"/>
  <c r="AH55" i="1588"/>
  <c r="AM69" i="1588"/>
  <c r="AE55" i="1588"/>
  <c r="AM85" i="1588"/>
  <c r="M112" i="1588"/>
  <c r="AM81" i="1588"/>
  <c r="AM89" i="1588"/>
  <c r="Z101" i="1588"/>
  <c r="R106" i="1588"/>
  <c r="R112" i="1588" s="1"/>
  <c r="AL28" i="1588"/>
  <c r="G29" i="1588"/>
  <c r="S106" i="1588"/>
  <c r="S112" i="1588" s="1"/>
  <c r="T106" i="1588"/>
  <c r="T112" i="1588" s="1"/>
  <c r="AL13" i="1588"/>
  <c r="AM13" i="1588" s="1"/>
  <c r="AL12" i="1588"/>
  <c r="P106" i="1588"/>
  <c r="P112" i="1588" s="1"/>
  <c r="AL49" i="1588"/>
  <c r="AM49" i="1588" s="1"/>
  <c r="AL48" i="1588"/>
  <c r="AB55" i="1588"/>
  <c r="Z57" i="1588"/>
  <c r="AL57" i="1588"/>
  <c r="AM57" i="1588" s="1"/>
  <c r="AL56" i="1588"/>
  <c r="AM56" i="1588" s="1"/>
  <c r="V112" i="1588"/>
  <c r="Q112" i="1588"/>
  <c r="AJ55" i="1588"/>
  <c r="AL72" i="1588"/>
  <c r="AL73" i="1588"/>
  <c r="AM73" i="1588" s="1"/>
  <c r="AL96" i="1588"/>
  <c r="AL97" i="1588"/>
  <c r="AM97" i="1588" s="1"/>
  <c r="O112" i="1588"/>
  <c r="AL37" i="1588"/>
  <c r="AM37" i="1588" s="1"/>
  <c r="AL36" i="1588"/>
  <c r="AL29" i="1588"/>
  <c r="AM29" i="1588" s="1"/>
  <c r="AL68" i="1588"/>
  <c r="AL92" i="1588"/>
  <c r="W112" i="1588"/>
  <c r="N112" i="1588"/>
  <c r="Z45" i="1588"/>
  <c r="T28" i="1587"/>
  <c r="S28" i="1587"/>
  <c r="R28" i="1587"/>
  <c r="Q28" i="1587"/>
  <c r="P28" i="1587"/>
  <c r="O28" i="1587"/>
  <c r="AD55" i="1588" l="1"/>
  <c r="AV55" i="1588" s="1"/>
  <c r="AD43" i="1588"/>
  <c r="AD45" i="1588" s="1"/>
  <c r="AE43" i="1588"/>
  <c r="AH43" i="1588"/>
  <c r="AJ43" i="1588"/>
  <c r="AM44" i="1588"/>
  <c r="AD21" i="1588"/>
  <c r="AV19" i="1588"/>
  <c r="AD57" i="1588"/>
  <c r="AK81" i="1587"/>
  <c r="AL81" i="1587" s="1"/>
  <c r="AH81" i="1587"/>
  <c r="AG81" i="1587"/>
  <c r="AA81" i="1587"/>
  <c r="J81" i="1587"/>
  <c r="G81" i="1587"/>
  <c r="B81" i="1587"/>
  <c r="AH80" i="1587"/>
  <c r="AG80" i="1587"/>
  <c r="AA80" i="1587"/>
  <c r="G80" i="1587"/>
  <c r="E80" i="1587"/>
  <c r="E81" i="1587" s="1"/>
  <c r="B80" i="1587"/>
  <c r="AA79" i="1587"/>
  <c r="C79" i="1587"/>
  <c r="AH78" i="1587"/>
  <c r="AG78" i="1587"/>
  <c r="AA78" i="1587"/>
  <c r="AB78" i="1587" s="1"/>
  <c r="G78" i="1587"/>
  <c r="B78" i="1587"/>
  <c r="AV43" i="1588" l="1"/>
  <c r="AL80" i="1587"/>
  <c r="AM80" i="1587" s="1"/>
  <c r="AF79" i="1587"/>
  <c r="AH79" i="1587" s="1"/>
  <c r="AI79" i="1587"/>
  <c r="Z81" i="1587"/>
  <c r="AE79" i="1587"/>
  <c r="AM81" i="1587"/>
  <c r="X80" i="1587"/>
  <c r="Z78" i="1587" s="1"/>
  <c r="AQ79" i="1587"/>
  <c r="X78" i="1587" s="1"/>
  <c r="AB79" i="1587"/>
  <c r="AD79" i="1587" s="1"/>
  <c r="AA93" i="1587"/>
  <c r="AA92" i="1587"/>
  <c r="AA91" i="1587"/>
  <c r="AA90" i="1587"/>
  <c r="AQ91" i="1587" s="1"/>
  <c r="AA89" i="1587"/>
  <c r="AA88" i="1587"/>
  <c r="AA87" i="1587"/>
  <c r="AA86" i="1587"/>
  <c r="AQ87" i="1587" s="1"/>
  <c r="AA85" i="1587"/>
  <c r="AA84" i="1587"/>
  <c r="AA83" i="1587"/>
  <c r="AA82" i="1587"/>
  <c r="AA77" i="1587"/>
  <c r="AA76" i="1587"/>
  <c r="AA75" i="1587"/>
  <c r="X79" i="1587" s="1"/>
  <c r="AA74" i="1587"/>
  <c r="AA73" i="1587"/>
  <c r="AA72" i="1587"/>
  <c r="AA71" i="1587"/>
  <c r="X71" i="1587" s="1"/>
  <c r="AA70" i="1587"/>
  <c r="AA69" i="1587"/>
  <c r="AA68" i="1587"/>
  <c r="AA67" i="1587"/>
  <c r="X67" i="1587" s="1"/>
  <c r="AA66" i="1587"/>
  <c r="AA65" i="1587"/>
  <c r="AA64" i="1587"/>
  <c r="AA63" i="1587"/>
  <c r="AA62" i="1587"/>
  <c r="AQ63" i="1587" s="1"/>
  <c r="AA61" i="1587"/>
  <c r="AA60" i="1587"/>
  <c r="AA59" i="1587"/>
  <c r="X59" i="1587" s="1"/>
  <c r="AA58" i="1587"/>
  <c r="AA57" i="1587"/>
  <c r="AA56" i="1587"/>
  <c r="AA55" i="1587"/>
  <c r="Z57" i="1587" s="1"/>
  <c r="AA54" i="1587"/>
  <c r="AQ55" i="1587" s="1"/>
  <c r="AA53" i="1587"/>
  <c r="AA52" i="1587"/>
  <c r="AA51" i="1587"/>
  <c r="Z53" i="1587" s="1"/>
  <c r="AA50" i="1587"/>
  <c r="AA49" i="1587"/>
  <c r="AA48" i="1587"/>
  <c r="AA47" i="1587"/>
  <c r="Z49" i="1587" s="1"/>
  <c r="AA46" i="1587"/>
  <c r="AQ47" i="1587" s="1"/>
  <c r="AA45" i="1587"/>
  <c r="AA44" i="1587"/>
  <c r="AA43" i="1587"/>
  <c r="Z45" i="1587" s="1"/>
  <c r="AA42" i="1587"/>
  <c r="AA41" i="1587"/>
  <c r="AA40" i="1587"/>
  <c r="AA39" i="1587"/>
  <c r="Z41" i="1587" s="1"/>
  <c r="AA38" i="1587"/>
  <c r="AA37" i="1587"/>
  <c r="AA36" i="1587"/>
  <c r="AA35" i="1587"/>
  <c r="Z37" i="1587" s="1"/>
  <c r="AA34" i="1587"/>
  <c r="AA33" i="1587"/>
  <c r="AA32" i="1587"/>
  <c r="AA31" i="1587"/>
  <c r="Z33" i="1587" s="1"/>
  <c r="AA30" i="1587"/>
  <c r="AA29" i="1587"/>
  <c r="AA28" i="1587"/>
  <c r="AA27" i="1587"/>
  <c r="AA26" i="1587"/>
  <c r="AQ27" i="1587" s="1"/>
  <c r="AA25" i="1587"/>
  <c r="AA24" i="1587"/>
  <c r="AA23" i="1587"/>
  <c r="AA22" i="1587"/>
  <c r="AA21" i="1587"/>
  <c r="AA20" i="1587"/>
  <c r="AA19" i="1587"/>
  <c r="AA18" i="1587"/>
  <c r="AA17" i="1587"/>
  <c r="AA16" i="1587"/>
  <c r="AA15" i="1587"/>
  <c r="AB15" i="1587" s="1"/>
  <c r="AA14" i="1587"/>
  <c r="AQ15" i="1587" s="1"/>
  <c r="AA13" i="1587"/>
  <c r="AA12" i="1587"/>
  <c r="AA11" i="1587"/>
  <c r="AA10" i="1587"/>
  <c r="AQ11" i="1587" s="1"/>
  <c r="X52" i="1587"/>
  <c r="X51" i="1587"/>
  <c r="X40" i="1587"/>
  <c r="X39" i="1587"/>
  <c r="X20" i="1587"/>
  <c r="X19" i="1587"/>
  <c r="AA9" i="1587"/>
  <c r="AA8" i="1587"/>
  <c r="AA7" i="1587"/>
  <c r="AA6" i="1587"/>
  <c r="AJ79" i="1587" l="1"/>
  <c r="AG79" i="1587"/>
  <c r="X27" i="1587"/>
  <c r="Z29" i="1587"/>
  <c r="X87" i="1587"/>
  <c r="Z89" i="1587"/>
  <c r="X11" i="1587"/>
  <c r="Z13" i="1587"/>
  <c r="AD81" i="1587"/>
  <c r="AV79" i="1587"/>
  <c r="W105" i="1587"/>
  <c r="V105" i="1587"/>
  <c r="V102" i="1587" s="1"/>
  <c r="U105" i="1587"/>
  <c r="U102" i="1587" s="1"/>
  <c r="T105" i="1587"/>
  <c r="T102" i="1587" s="1"/>
  <c r="S105" i="1587"/>
  <c r="R105" i="1587"/>
  <c r="R102" i="1587" s="1"/>
  <c r="Q105" i="1587"/>
  <c r="Q102" i="1587" s="1"/>
  <c r="P105" i="1587"/>
  <c r="O105" i="1587"/>
  <c r="N105" i="1587"/>
  <c r="N102" i="1587" s="1"/>
  <c r="M105" i="1587"/>
  <c r="M102" i="1587" s="1"/>
  <c r="W99" i="1587"/>
  <c r="V99" i="1587"/>
  <c r="U99" i="1587"/>
  <c r="T99" i="1587"/>
  <c r="S99" i="1587"/>
  <c r="R99" i="1587"/>
  <c r="Q99" i="1587"/>
  <c r="P99" i="1587"/>
  <c r="O99" i="1587"/>
  <c r="N99" i="1587"/>
  <c r="M99" i="1587"/>
  <c r="W97" i="1587"/>
  <c r="V97" i="1587"/>
  <c r="U97" i="1587"/>
  <c r="T97" i="1587"/>
  <c r="S97" i="1587"/>
  <c r="R97" i="1587"/>
  <c r="Q97" i="1587"/>
  <c r="P97" i="1587"/>
  <c r="O97" i="1587"/>
  <c r="N97" i="1587"/>
  <c r="M97" i="1587"/>
  <c r="W95" i="1587"/>
  <c r="V95" i="1587"/>
  <c r="U95" i="1587"/>
  <c r="T95" i="1587"/>
  <c r="S95" i="1587"/>
  <c r="R95" i="1587"/>
  <c r="Q95" i="1587"/>
  <c r="P95" i="1587"/>
  <c r="O95" i="1587"/>
  <c r="N95" i="1587"/>
  <c r="M95" i="1587"/>
  <c r="AK93" i="1587"/>
  <c r="AL92" i="1587" s="1"/>
  <c r="AH93" i="1587"/>
  <c r="AG93" i="1587"/>
  <c r="J93" i="1587"/>
  <c r="G93" i="1587"/>
  <c r="B93" i="1587"/>
  <c r="AH92" i="1587"/>
  <c r="AG92" i="1587"/>
  <c r="AF91" i="1587"/>
  <c r="AJ91" i="1587" s="1"/>
  <c r="G92" i="1587"/>
  <c r="E92" i="1587"/>
  <c r="E93" i="1587" s="1"/>
  <c r="B92" i="1587"/>
  <c r="AI91" i="1587"/>
  <c r="AE91" i="1587"/>
  <c r="C91" i="1587"/>
  <c r="AH90" i="1587"/>
  <c r="AG90" i="1587"/>
  <c r="X90" i="1587"/>
  <c r="G90" i="1587"/>
  <c r="B90" i="1587"/>
  <c r="AK89" i="1587"/>
  <c r="AH89" i="1587"/>
  <c r="AG89" i="1587"/>
  <c r="J89" i="1587"/>
  <c r="B89" i="1587"/>
  <c r="AH88" i="1587"/>
  <c r="AG88" i="1587"/>
  <c r="AF87" i="1587"/>
  <c r="G88" i="1587"/>
  <c r="E88" i="1587"/>
  <c r="E89" i="1587" s="1"/>
  <c r="B88" i="1587"/>
  <c r="X86" i="1587"/>
  <c r="AI87" i="1587"/>
  <c r="C87" i="1587"/>
  <c r="AH86" i="1587"/>
  <c r="AG86" i="1587"/>
  <c r="AB86" i="1587"/>
  <c r="G86" i="1587"/>
  <c r="B86" i="1587"/>
  <c r="AK85" i="1587"/>
  <c r="AH85" i="1587"/>
  <c r="AG85" i="1587"/>
  <c r="J85" i="1587"/>
  <c r="B85" i="1587"/>
  <c r="AH84" i="1587"/>
  <c r="AG84" i="1587"/>
  <c r="AE83" i="1587"/>
  <c r="G84" i="1587"/>
  <c r="E84" i="1587"/>
  <c r="E85" i="1587" s="1"/>
  <c r="B84" i="1587"/>
  <c r="AI83" i="1587"/>
  <c r="C83" i="1587"/>
  <c r="AH82" i="1587"/>
  <c r="AG82" i="1587"/>
  <c r="AB82" i="1587"/>
  <c r="X82" i="1587"/>
  <c r="G82" i="1587"/>
  <c r="B82" i="1587"/>
  <c r="AK77" i="1587"/>
  <c r="X76" i="1587" s="1"/>
  <c r="AH77" i="1587"/>
  <c r="AG77" i="1587"/>
  <c r="J77" i="1587"/>
  <c r="G77" i="1587"/>
  <c r="B77" i="1587"/>
  <c r="AH76" i="1587"/>
  <c r="AG76" i="1587"/>
  <c r="G76" i="1587"/>
  <c r="E76" i="1587"/>
  <c r="E77" i="1587" s="1"/>
  <c r="B76" i="1587"/>
  <c r="C75" i="1587"/>
  <c r="AH74" i="1587"/>
  <c r="AG74" i="1587"/>
  <c r="AB74" i="1587"/>
  <c r="G74" i="1587"/>
  <c r="B74" i="1587"/>
  <c r="AK73" i="1587"/>
  <c r="AL73" i="1587" s="1"/>
  <c r="AM73" i="1587" s="1"/>
  <c r="AH73" i="1587"/>
  <c r="AG73" i="1587"/>
  <c r="AE71" i="1587"/>
  <c r="J73" i="1587"/>
  <c r="G73" i="1587"/>
  <c r="B73" i="1587"/>
  <c r="AH72" i="1587"/>
  <c r="AG72" i="1587"/>
  <c r="G72" i="1587"/>
  <c r="E72" i="1587"/>
  <c r="E73" i="1587" s="1"/>
  <c r="B72" i="1587"/>
  <c r="AQ71" i="1587"/>
  <c r="X70" i="1587" s="1"/>
  <c r="AI71" i="1587"/>
  <c r="AB71" i="1587"/>
  <c r="C71" i="1587"/>
  <c r="AH70" i="1587"/>
  <c r="AG70" i="1587"/>
  <c r="AB70" i="1587"/>
  <c r="G70" i="1587"/>
  <c r="B70" i="1587"/>
  <c r="AK69" i="1587"/>
  <c r="AH69" i="1587"/>
  <c r="AG69" i="1587"/>
  <c r="J69" i="1587"/>
  <c r="G69" i="1587"/>
  <c r="B69" i="1587"/>
  <c r="AH68" i="1587"/>
  <c r="AG68" i="1587"/>
  <c r="AF67" i="1587"/>
  <c r="G68" i="1587"/>
  <c r="E68" i="1587"/>
  <c r="E69" i="1587" s="1"/>
  <c r="B68" i="1587"/>
  <c r="AB67" i="1587"/>
  <c r="C67" i="1587"/>
  <c r="AH66" i="1587"/>
  <c r="AG66" i="1587"/>
  <c r="G66" i="1587"/>
  <c r="B66" i="1587"/>
  <c r="AK65" i="1587"/>
  <c r="AH65" i="1587"/>
  <c r="AG65" i="1587"/>
  <c r="J65" i="1587"/>
  <c r="G65" i="1587"/>
  <c r="B65" i="1587"/>
  <c r="AH64" i="1587"/>
  <c r="AG64" i="1587"/>
  <c r="AF63" i="1587"/>
  <c r="AJ63" i="1587" s="1"/>
  <c r="G64" i="1587"/>
  <c r="E64" i="1587"/>
  <c r="E65" i="1587" s="1"/>
  <c r="B64" i="1587"/>
  <c r="AI63" i="1587"/>
  <c r="AE63" i="1587"/>
  <c r="C63" i="1587"/>
  <c r="AH62" i="1587"/>
  <c r="AG62" i="1587"/>
  <c r="X62" i="1587"/>
  <c r="G62" i="1587"/>
  <c r="B62" i="1587"/>
  <c r="J61" i="1587"/>
  <c r="G61" i="1587"/>
  <c r="B61" i="1587"/>
  <c r="AE59" i="1587"/>
  <c r="G60" i="1587"/>
  <c r="E60" i="1587"/>
  <c r="E61" i="1587" s="1"/>
  <c r="B60" i="1587"/>
  <c r="AQ59" i="1587"/>
  <c r="X58" i="1587" s="1"/>
  <c r="AB59" i="1587"/>
  <c r="AB58" i="1587"/>
  <c r="G58" i="1587"/>
  <c r="B58" i="1587"/>
  <c r="AK57" i="1587"/>
  <c r="AH57" i="1587"/>
  <c r="AG57" i="1587"/>
  <c r="J57" i="1587"/>
  <c r="G57" i="1587"/>
  <c r="B57" i="1587"/>
  <c r="AH56" i="1587"/>
  <c r="AG56" i="1587"/>
  <c r="AF55" i="1587"/>
  <c r="AH55" i="1587" s="1"/>
  <c r="G56" i="1587"/>
  <c r="E56" i="1587"/>
  <c r="E57" i="1587" s="1"/>
  <c r="B56" i="1587"/>
  <c r="X54" i="1587"/>
  <c r="C55" i="1587"/>
  <c r="AH54" i="1587"/>
  <c r="AG54" i="1587"/>
  <c r="AB54" i="1587"/>
  <c r="G54" i="1587"/>
  <c r="B54" i="1587"/>
  <c r="AK53" i="1587"/>
  <c r="AL53" i="1587" s="1"/>
  <c r="AM53" i="1587" s="1"/>
  <c r="AH53" i="1587"/>
  <c r="AG53" i="1587"/>
  <c r="J53" i="1587"/>
  <c r="G53" i="1587"/>
  <c r="B53" i="1587"/>
  <c r="AH52" i="1587"/>
  <c r="AG52" i="1587"/>
  <c r="Z50" i="1587"/>
  <c r="G52" i="1587"/>
  <c r="E52" i="1587"/>
  <c r="E53" i="1587" s="1"/>
  <c r="B52" i="1587"/>
  <c r="AQ51" i="1587"/>
  <c r="X50" i="1587" s="1"/>
  <c r="AI51" i="1587"/>
  <c r="AB51" i="1587"/>
  <c r="C51" i="1587"/>
  <c r="AH50" i="1587"/>
  <c r="AG50" i="1587"/>
  <c r="AB50" i="1587"/>
  <c r="G50" i="1587"/>
  <c r="B50" i="1587"/>
  <c r="AK49" i="1587"/>
  <c r="X48" i="1587" s="1"/>
  <c r="AH49" i="1587"/>
  <c r="AG49" i="1587"/>
  <c r="J49" i="1587"/>
  <c r="G49" i="1587"/>
  <c r="B49" i="1587"/>
  <c r="AH48" i="1587"/>
  <c r="AG48" i="1587"/>
  <c r="G48" i="1587"/>
  <c r="E48" i="1587"/>
  <c r="E49" i="1587" s="1"/>
  <c r="B48" i="1587"/>
  <c r="AE47" i="1587"/>
  <c r="C47" i="1587"/>
  <c r="AH46" i="1587"/>
  <c r="AG46" i="1587"/>
  <c r="X46" i="1587"/>
  <c r="G46" i="1587"/>
  <c r="B46" i="1587"/>
  <c r="AK45" i="1587"/>
  <c r="AH45" i="1587"/>
  <c r="AG45" i="1587"/>
  <c r="J45" i="1587"/>
  <c r="G45" i="1587"/>
  <c r="B45" i="1587"/>
  <c r="AH44" i="1587"/>
  <c r="AG44" i="1587"/>
  <c r="AF43" i="1587"/>
  <c r="AH43" i="1587" s="1"/>
  <c r="G44" i="1587"/>
  <c r="E44" i="1587"/>
  <c r="E45" i="1587" s="1"/>
  <c r="B44" i="1587"/>
  <c r="C43" i="1587"/>
  <c r="AH42" i="1587"/>
  <c r="AG42" i="1587"/>
  <c r="AB42" i="1587"/>
  <c r="AQ43" i="1587"/>
  <c r="X42" i="1587" s="1"/>
  <c r="G42" i="1587"/>
  <c r="B42" i="1587"/>
  <c r="AK41" i="1587"/>
  <c r="AH41" i="1587"/>
  <c r="AG41" i="1587"/>
  <c r="J41" i="1587"/>
  <c r="G41" i="1587"/>
  <c r="B41" i="1587"/>
  <c r="AH40" i="1587"/>
  <c r="AG40" i="1587"/>
  <c r="Z38" i="1587"/>
  <c r="G40" i="1587"/>
  <c r="E40" i="1587"/>
  <c r="E41" i="1587" s="1"/>
  <c r="B40" i="1587"/>
  <c r="AQ39" i="1587"/>
  <c r="X38" i="1587" s="1"/>
  <c r="AI39" i="1587"/>
  <c r="AE39" i="1587"/>
  <c r="C39" i="1587"/>
  <c r="AH38" i="1587"/>
  <c r="AG38" i="1587"/>
  <c r="AB38" i="1587"/>
  <c r="G38" i="1587"/>
  <c r="B38" i="1587"/>
  <c r="AK37" i="1587"/>
  <c r="AH37" i="1587"/>
  <c r="AG37" i="1587"/>
  <c r="J37" i="1587"/>
  <c r="G37" i="1587"/>
  <c r="B37" i="1587"/>
  <c r="AH36" i="1587"/>
  <c r="AG36" i="1587"/>
  <c r="G36" i="1587"/>
  <c r="E36" i="1587"/>
  <c r="E37" i="1587" s="1"/>
  <c r="B36" i="1587"/>
  <c r="AB35" i="1587"/>
  <c r="C35" i="1587"/>
  <c r="AH34" i="1587"/>
  <c r="AG34" i="1587"/>
  <c r="AQ35" i="1587"/>
  <c r="X34" i="1587" s="1"/>
  <c r="G34" i="1587"/>
  <c r="B34" i="1587"/>
  <c r="AK33" i="1587"/>
  <c r="AH33" i="1587"/>
  <c r="AG33" i="1587"/>
  <c r="J33" i="1587"/>
  <c r="G33" i="1587"/>
  <c r="B33" i="1587"/>
  <c r="AH32" i="1587"/>
  <c r="AG32" i="1587"/>
  <c r="AE31" i="1587"/>
  <c r="G32" i="1587"/>
  <c r="E32" i="1587"/>
  <c r="E33" i="1587" s="1"/>
  <c r="B32" i="1587"/>
  <c r="AF31" i="1587"/>
  <c r="AH31" i="1587" s="1"/>
  <c r="AI31" i="1587"/>
  <c r="C31" i="1587"/>
  <c r="AH30" i="1587"/>
  <c r="AG30" i="1587"/>
  <c r="AB30" i="1587"/>
  <c r="G30" i="1587"/>
  <c r="B30" i="1587"/>
  <c r="AK29" i="1587"/>
  <c r="X28" i="1587" s="1"/>
  <c r="AH29" i="1587"/>
  <c r="AG29" i="1587"/>
  <c r="G29" i="1587"/>
  <c r="B29" i="1587"/>
  <c r="AH28" i="1587"/>
  <c r="AG28" i="1587"/>
  <c r="G28" i="1587"/>
  <c r="E28" i="1587"/>
  <c r="E29" i="1587" s="1"/>
  <c r="B28" i="1587"/>
  <c r="X26" i="1587"/>
  <c r="AF27" i="1587"/>
  <c r="AH27" i="1587" s="1"/>
  <c r="AB27" i="1587"/>
  <c r="C27" i="1587"/>
  <c r="AH26" i="1587"/>
  <c r="AG26" i="1587"/>
  <c r="AB26" i="1587"/>
  <c r="G26" i="1587"/>
  <c r="B26" i="1587"/>
  <c r="AK25" i="1587"/>
  <c r="AH25" i="1587"/>
  <c r="AG25" i="1587"/>
  <c r="J25" i="1587"/>
  <c r="G25" i="1587"/>
  <c r="B25" i="1587"/>
  <c r="AH24" i="1587"/>
  <c r="AG24" i="1587"/>
  <c r="AF23" i="1587"/>
  <c r="AJ23" i="1587" s="1"/>
  <c r="G24" i="1587"/>
  <c r="E24" i="1587"/>
  <c r="E25" i="1587" s="1"/>
  <c r="B24" i="1587"/>
  <c r="AI23" i="1587"/>
  <c r="AE23" i="1587"/>
  <c r="AB23" i="1587"/>
  <c r="C23" i="1587"/>
  <c r="AH22" i="1587"/>
  <c r="AG22" i="1587"/>
  <c r="AB22" i="1587"/>
  <c r="G22" i="1587"/>
  <c r="B22" i="1587"/>
  <c r="AK21" i="1587"/>
  <c r="J21" i="1587"/>
  <c r="G21" i="1587"/>
  <c r="B21" i="1587"/>
  <c r="AE19" i="1587"/>
  <c r="Z18" i="1587"/>
  <c r="G20" i="1587"/>
  <c r="E20" i="1587"/>
  <c r="E21" i="1587" s="1"/>
  <c r="B20" i="1587"/>
  <c r="AQ19" i="1587"/>
  <c r="X18" i="1587" s="1"/>
  <c r="AB19" i="1587"/>
  <c r="AB18" i="1587"/>
  <c r="G18" i="1587"/>
  <c r="B18" i="1587"/>
  <c r="AK17" i="1587"/>
  <c r="AH17" i="1587"/>
  <c r="AG17" i="1587"/>
  <c r="J17" i="1587"/>
  <c r="G17" i="1587"/>
  <c r="B17" i="1587"/>
  <c r="AH16" i="1587"/>
  <c r="AG16" i="1587"/>
  <c r="AF15" i="1587"/>
  <c r="G16" i="1587"/>
  <c r="E16" i="1587"/>
  <c r="E17" i="1587" s="1"/>
  <c r="B16" i="1587"/>
  <c r="AI15" i="1587"/>
  <c r="C15" i="1587"/>
  <c r="AH14" i="1587"/>
  <c r="AG14" i="1587"/>
  <c r="X14" i="1587"/>
  <c r="G14" i="1587"/>
  <c r="B14" i="1587"/>
  <c r="AK13" i="1587"/>
  <c r="AH13" i="1587"/>
  <c r="AG13" i="1587"/>
  <c r="J13" i="1587"/>
  <c r="G13" i="1587"/>
  <c r="B13" i="1587"/>
  <c r="AH12" i="1587"/>
  <c r="AG12" i="1587"/>
  <c r="AF11" i="1587"/>
  <c r="AH11" i="1587" s="1"/>
  <c r="G12" i="1587"/>
  <c r="E12" i="1587"/>
  <c r="E13" i="1587" s="1"/>
  <c r="B12" i="1587"/>
  <c r="X10" i="1587"/>
  <c r="AB11" i="1587"/>
  <c r="C11" i="1587"/>
  <c r="AH10" i="1587"/>
  <c r="AG10" i="1587"/>
  <c r="AB10" i="1587"/>
  <c r="G10" i="1587"/>
  <c r="B10" i="1587"/>
  <c r="AK9" i="1587"/>
  <c r="AL8" i="1587" s="1"/>
  <c r="AM8" i="1587" s="1"/>
  <c r="AH9" i="1587"/>
  <c r="AG9" i="1587"/>
  <c r="J9" i="1587"/>
  <c r="G9" i="1587"/>
  <c r="B9" i="1587"/>
  <c r="AH8" i="1587"/>
  <c r="AG8" i="1587"/>
  <c r="AF7" i="1587"/>
  <c r="G8" i="1587"/>
  <c r="E8" i="1587"/>
  <c r="E9" i="1587" s="1"/>
  <c r="B8" i="1587"/>
  <c r="AI7" i="1587"/>
  <c r="AE7" i="1587"/>
  <c r="C7" i="1587"/>
  <c r="AH6" i="1587"/>
  <c r="AG6" i="1587"/>
  <c r="AB6" i="1587"/>
  <c r="G6" i="1587"/>
  <c r="B6" i="1587"/>
  <c r="AD4" i="1587"/>
  <c r="AD27" i="1587" l="1"/>
  <c r="X15" i="1587"/>
  <c r="X31" i="1587"/>
  <c r="AJ7" i="1587"/>
  <c r="AH7" i="1587"/>
  <c r="X91" i="1587"/>
  <c r="AL9" i="1587"/>
  <c r="AM9" i="1587" s="1"/>
  <c r="X35" i="1587"/>
  <c r="AL93" i="1587"/>
  <c r="AM93" i="1587" s="1"/>
  <c r="X83" i="1587"/>
  <c r="X44" i="1587"/>
  <c r="Z42" i="1587" s="1"/>
  <c r="X43" i="1587"/>
  <c r="X75" i="1587"/>
  <c r="X84" i="1587"/>
  <c r="Z82" i="1587" s="1"/>
  <c r="X88" i="1587"/>
  <c r="Z86" i="1587" s="1"/>
  <c r="X60" i="1587"/>
  <c r="Z58" i="1587" s="1"/>
  <c r="AJ27" i="1587"/>
  <c r="X64" i="1587"/>
  <c r="Z62" i="1587" s="1"/>
  <c r="X47" i="1587"/>
  <c r="X24" i="1587"/>
  <c r="Z22" i="1587" s="1"/>
  <c r="X23" i="1587"/>
  <c r="X8" i="1587"/>
  <c r="Z6" i="1587" s="1"/>
  <c r="X32" i="1587"/>
  <c r="Z30" i="1587" s="1"/>
  <c r="X56" i="1587"/>
  <c r="Z54" i="1587" s="1"/>
  <c r="X55" i="1587"/>
  <c r="X92" i="1587"/>
  <c r="Z90" i="1587" s="1"/>
  <c r="X7" i="1587"/>
  <c r="X63" i="1587"/>
  <c r="AD11" i="1587"/>
  <c r="AV11" i="1587" s="1"/>
  <c r="T108" i="1587"/>
  <c r="P102" i="1587"/>
  <c r="P108" i="1587" s="1"/>
  <c r="AL69" i="1587"/>
  <c r="AM69" i="1587" s="1"/>
  <c r="X68" i="1587"/>
  <c r="Z66" i="1587" s="1"/>
  <c r="AL64" i="1587"/>
  <c r="AM64" i="1587" s="1"/>
  <c r="AL65" i="1587"/>
  <c r="AM65" i="1587" s="1"/>
  <c r="AL24" i="1587"/>
  <c r="AM24" i="1587" s="1"/>
  <c r="AL25" i="1587"/>
  <c r="AM25" i="1587" s="1"/>
  <c r="AL68" i="1587"/>
  <c r="AM68" i="1587" s="1"/>
  <c r="AL72" i="1587"/>
  <c r="AM72" i="1587" s="1"/>
  <c r="X72" i="1587"/>
  <c r="Z70" i="1587" s="1"/>
  <c r="AL12" i="1587"/>
  <c r="AM12" i="1587" s="1"/>
  <c r="X12" i="1587"/>
  <c r="Z10" i="1587" s="1"/>
  <c r="AL17" i="1587"/>
  <c r="AM17" i="1587" s="1"/>
  <c r="X16" i="1587"/>
  <c r="Z14" i="1587" s="1"/>
  <c r="AL37" i="1587"/>
  <c r="AM37" i="1587" s="1"/>
  <c r="X36" i="1587"/>
  <c r="Z34" i="1587" s="1"/>
  <c r="AG67" i="1587"/>
  <c r="AH67" i="1587"/>
  <c r="X6" i="1587"/>
  <c r="AE11" i="1587"/>
  <c r="AB14" i="1587"/>
  <c r="AD15" i="1587" s="1"/>
  <c r="AE27" i="1587"/>
  <c r="AQ31" i="1587"/>
  <c r="X30" i="1587" s="1"/>
  <c r="AI35" i="1587"/>
  <c r="AF35" i="1587"/>
  <c r="AG35" i="1587" s="1"/>
  <c r="AB43" i="1587"/>
  <c r="AD43" i="1587" s="1"/>
  <c r="AB46" i="1587"/>
  <c r="AI47" i="1587"/>
  <c r="AB55" i="1587"/>
  <c r="AD55" i="1587" s="1"/>
  <c r="AB62" i="1587"/>
  <c r="AE67" i="1587"/>
  <c r="AF71" i="1587"/>
  <c r="AH71" i="1587" s="1"/>
  <c r="AB83" i="1587"/>
  <c r="AD83" i="1587" s="1"/>
  <c r="AJ87" i="1587"/>
  <c r="AB90" i="1587"/>
  <c r="Z97" i="1587"/>
  <c r="AB7" i="1587"/>
  <c r="AD7" i="1587" s="1"/>
  <c r="X22" i="1587"/>
  <c r="AB39" i="1587"/>
  <c r="AD39" i="1587" s="1"/>
  <c r="AF39" i="1587"/>
  <c r="AH39" i="1587" s="1"/>
  <c r="AI43" i="1587"/>
  <c r="AB47" i="1587"/>
  <c r="AF47" i="1587"/>
  <c r="AJ47" i="1587" s="1"/>
  <c r="AF51" i="1587"/>
  <c r="AG51" i="1587" s="1"/>
  <c r="AG55" i="1587"/>
  <c r="AB63" i="1587"/>
  <c r="AB87" i="1587"/>
  <c r="AD87" i="1587" s="1"/>
  <c r="AB91" i="1587"/>
  <c r="Z95" i="1587"/>
  <c r="AI55" i="1587"/>
  <c r="AE55" i="1587"/>
  <c r="AD19" i="1587"/>
  <c r="AV19" i="1587" s="1"/>
  <c r="AD51" i="1587"/>
  <c r="AD53" i="1587" s="1"/>
  <c r="AD23" i="1587"/>
  <c r="AV23" i="1587" s="1"/>
  <c r="AD59" i="1587"/>
  <c r="AV59" i="1587" s="1"/>
  <c r="AG7" i="1587"/>
  <c r="AG15" i="1587"/>
  <c r="AH15" i="1587"/>
  <c r="AG23" i="1587"/>
  <c r="AH23" i="1587"/>
  <c r="AV27" i="1587"/>
  <c r="AD29" i="1587"/>
  <c r="AE15" i="1587"/>
  <c r="AL28" i="1587"/>
  <c r="AM28" i="1587" s="1"/>
  <c r="Z26" i="1587"/>
  <c r="AL41" i="1587"/>
  <c r="AM41" i="1587" s="1"/>
  <c r="AL40" i="1587"/>
  <c r="AM40" i="1587" s="1"/>
  <c r="AG11" i="1587"/>
  <c r="AI11" i="1587"/>
  <c r="AL16" i="1587"/>
  <c r="AM16" i="1587" s="1"/>
  <c r="AI27" i="1587"/>
  <c r="AJ31" i="1587"/>
  <c r="AL36" i="1587"/>
  <c r="AM36" i="1587" s="1"/>
  <c r="AL45" i="1587"/>
  <c r="AM45" i="1587" s="1"/>
  <c r="AL44" i="1587"/>
  <c r="AM44" i="1587" s="1"/>
  <c r="AE51" i="1587"/>
  <c r="AD71" i="1587"/>
  <c r="AL84" i="1587"/>
  <c r="AM84" i="1587" s="1"/>
  <c r="AL85" i="1587"/>
  <c r="AM85" i="1587" s="1"/>
  <c r="AH91" i="1587"/>
  <c r="AG91" i="1587"/>
  <c r="AM92" i="1587"/>
  <c r="N108" i="1587"/>
  <c r="R108" i="1587"/>
  <c r="V108" i="1587"/>
  <c r="AL76" i="1587"/>
  <c r="AM76" i="1587" s="1"/>
  <c r="Z74" i="1587"/>
  <c r="AL77" i="1587"/>
  <c r="AM77" i="1587" s="1"/>
  <c r="AH87" i="1587"/>
  <c r="AG87" i="1587"/>
  <c r="O102" i="1587"/>
  <c r="O108" i="1587" s="1"/>
  <c r="S102" i="1587"/>
  <c r="S108" i="1587" s="1"/>
  <c r="W102" i="1587"/>
  <c r="W108" i="1587" s="1"/>
  <c r="AJ11" i="1587"/>
  <c r="AL33" i="1587"/>
  <c r="AM33" i="1587" s="1"/>
  <c r="AL32" i="1587"/>
  <c r="AM32" i="1587" s="1"/>
  <c r="AA4" i="1587"/>
  <c r="AL13" i="1587"/>
  <c r="AM13" i="1587" s="1"/>
  <c r="AJ15" i="1587"/>
  <c r="AG27" i="1587"/>
  <c r="AL29" i="1587"/>
  <c r="AM29" i="1587" s="1"/>
  <c r="AG31" i="1587"/>
  <c r="AE43" i="1587"/>
  <c r="AL57" i="1587"/>
  <c r="AM57" i="1587" s="1"/>
  <c r="AL56" i="1587"/>
  <c r="AM56" i="1587" s="1"/>
  <c r="AI75" i="1587"/>
  <c r="AB75" i="1587"/>
  <c r="AD75" i="1587" s="1"/>
  <c r="AE75" i="1587"/>
  <c r="AF83" i="1587"/>
  <c r="AJ83" i="1587" s="1"/>
  <c r="AB31" i="1587"/>
  <c r="AD31" i="1587" s="1"/>
  <c r="AB34" i="1587"/>
  <c r="AD35" i="1587" s="1"/>
  <c r="AE35" i="1587"/>
  <c r="AG43" i="1587"/>
  <c r="AL49" i="1587"/>
  <c r="AM49" i="1587" s="1"/>
  <c r="AL48" i="1587"/>
  <c r="AM48" i="1587" s="1"/>
  <c r="Z46" i="1587"/>
  <c r="AH63" i="1587"/>
  <c r="AG63" i="1587"/>
  <c r="AQ67" i="1587"/>
  <c r="X66" i="1587" s="1"/>
  <c r="AB66" i="1587"/>
  <c r="AD67" i="1587" s="1"/>
  <c r="AF75" i="1587"/>
  <c r="AJ75" i="1587" s="1"/>
  <c r="AE87" i="1587"/>
  <c r="AL88" i="1587"/>
  <c r="AM88" i="1587" s="1"/>
  <c r="AL89" i="1587"/>
  <c r="AM89" i="1587" s="1"/>
  <c r="M108" i="1587"/>
  <c r="Q108" i="1587"/>
  <c r="U108" i="1587"/>
  <c r="AJ43" i="1587"/>
  <c r="AI67" i="1587"/>
  <c r="X74" i="1587"/>
  <c r="AJ67" i="1587"/>
  <c r="AJ39" i="1587"/>
  <c r="AL52" i="1587"/>
  <c r="AM52" i="1587" s="1"/>
  <c r="AJ55" i="1587"/>
  <c r="AJ85" i="1586"/>
  <c r="AK85" i="1586" s="1"/>
  <c r="AG85" i="1586"/>
  <c r="AF85" i="1586"/>
  <c r="Z85" i="1586"/>
  <c r="J85" i="1586"/>
  <c r="B85" i="1586"/>
  <c r="AG84" i="1586"/>
  <c r="AF84" i="1586"/>
  <c r="Z84" i="1586"/>
  <c r="G84" i="1586"/>
  <c r="E84" i="1586"/>
  <c r="E85" i="1586" s="1"/>
  <c r="B84" i="1586"/>
  <c r="Z83" i="1586"/>
  <c r="AA83" i="1586" s="1"/>
  <c r="C83" i="1586"/>
  <c r="AG82" i="1586"/>
  <c r="AF82" i="1586"/>
  <c r="Z82" i="1586"/>
  <c r="AP83" i="1586" s="1"/>
  <c r="X82" i="1586" s="1"/>
  <c r="G82" i="1586"/>
  <c r="B82" i="1586"/>
  <c r="AJ29" i="1586"/>
  <c r="AK29" i="1586" s="1"/>
  <c r="AG29" i="1586"/>
  <c r="AF29" i="1586"/>
  <c r="Z29" i="1586"/>
  <c r="G29" i="1586"/>
  <c r="B29" i="1586"/>
  <c r="AG28" i="1586"/>
  <c r="AF28" i="1586"/>
  <c r="Z28" i="1586"/>
  <c r="G28" i="1586"/>
  <c r="E28" i="1586"/>
  <c r="E29" i="1586" s="1"/>
  <c r="B28" i="1586"/>
  <c r="Z27" i="1586"/>
  <c r="X27" i="1586" s="1"/>
  <c r="C27" i="1586"/>
  <c r="AG26" i="1586"/>
  <c r="AF26" i="1586"/>
  <c r="Z26" i="1586"/>
  <c r="AA26" i="1586" s="1"/>
  <c r="G26" i="1586"/>
  <c r="B26" i="1586"/>
  <c r="AJ13" i="1586"/>
  <c r="AK13" i="1586" s="1"/>
  <c r="AG13" i="1586"/>
  <c r="AF13" i="1586"/>
  <c r="Z13" i="1586"/>
  <c r="J13" i="1586"/>
  <c r="G13" i="1586"/>
  <c r="B13" i="1586"/>
  <c r="AG12" i="1586"/>
  <c r="AF12" i="1586"/>
  <c r="Z12" i="1586"/>
  <c r="G12" i="1586"/>
  <c r="E12" i="1586"/>
  <c r="E13" i="1586" s="1"/>
  <c r="B12" i="1586"/>
  <c r="Z11" i="1586"/>
  <c r="C11" i="1586"/>
  <c r="AG10" i="1586"/>
  <c r="AF10" i="1586"/>
  <c r="Z10" i="1586"/>
  <c r="G10" i="1586"/>
  <c r="B10" i="1586"/>
  <c r="AP71" i="1586"/>
  <c r="AP59" i="1586"/>
  <c r="AP51" i="1586"/>
  <c r="AP39" i="1586"/>
  <c r="AP19" i="1586"/>
  <c r="AC4" i="1586"/>
  <c r="Z89" i="1586"/>
  <c r="Z88" i="1586"/>
  <c r="Z87" i="1586"/>
  <c r="Z86" i="1586"/>
  <c r="AP87" i="1586" s="1"/>
  <c r="Z81" i="1586"/>
  <c r="Z80" i="1586"/>
  <c r="Z79" i="1586"/>
  <c r="Z78" i="1586"/>
  <c r="AP79" i="1586" s="1"/>
  <c r="Z77" i="1586"/>
  <c r="Z76" i="1586"/>
  <c r="Z75" i="1586"/>
  <c r="Z74" i="1586"/>
  <c r="AP75" i="1586" s="1"/>
  <c r="Z73" i="1586"/>
  <c r="Z72" i="1586"/>
  <c r="Z71" i="1586"/>
  <c r="X71" i="1586" s="1"/>
  <c r="Z70" i="1586"/>
  <c r="Z69" i="1586"/>
  <c r="Z68" i="1586"/>
  <c r="Z67" i="1586"/>
  <c r="Z66" i="1586"/>
  <c r="AP67" i="1586" s="1"/>
  <c r="Z65" i="1586"/>
  <c r="Z64" i="1586"/>
  <c r="Z63" i="1586"/>
  <c r="Z62" i="1586"/>
  <c r="AP63" i="1586" s="1"/>
  <c r="Z61" i="1586"/>
  <c r="Z60" i="1586"/>
  <c r="Z59" i="1586"/>
  <c r="X59" i="1586" s="1"/>
  <c r="Z58" i="1586"/>
  <c r="Z57" i="1586"/>
  <c r="Z56" i="1586"/>
  <c r="Z55" i="1586"/>
  <c r="Z54" i="1586"/>
  <c r="AP55" i="1586" s="1"/>
  <c r="Z53" i="1586"/>
  <c r="Z52" i="1586"/>
  <c r="Z51" i="1586"/>
  <c r="Z50" i="1586"/>
  <c r="Z49" i="1586"/>
  <c r="Z48" i="1586"/>
  <c r="Z47" i="1586"/>
  <c r="Z46" i="1586"/>
  <c r="AP47" i="1586" s="1"/>
  <c r="Z45" i="1586"/>
  <c r="Z44" i="1586"/>
  <c r="Z43" i="1586"/>
  <c r="Z42" i="1586"/>
  <c r="AP43" i="1586" s="1"/>
  <c r="Z41" i="1586"/>
  <c r="Z40" i="1586"/>
  <c r="Z39" i="1586"/>
  <c r="Z38" i="1586"/>
  <c r="Z37" i="1586"/>
  <c r="Z36" i="1586"/>
  <c r="Z35" i="1586"/>
  <c r="Z34" i="1586"/>
  <c r="AP35" i="1586" s="1"/>
  <c r="Z33" i="1586"/>
  <c r="Z32" i="1586"/>
  <c r="Z31" i="1586"/>
  <c r="Z30" i="1586"/>
  <c r="AP31" i="1586" s="1"/>
  <c r="Z25" i="1586"/>
  <c r="Z24" i="1586"/>
  <c r="Z23" i="1586"/>
  <c r="Z22" i="1586"/>
  <c r="AP23" i="1586" s="1"/>
  <c r="Z21" i="1586"/>
  <c r="Z20" i="1586"/>
  <c r="Z19" i="1586"/>
  <c r="Z18" i="1586"/>
  <c r="Z17" i="1586"/>
  <c r="Z16" i="1586"/>
  <c r="Z15" i="1586"/>
  <c r="Z14" i="1586"/>
  <c r="AP15" i="1586" s="1"/>
  <c r="X52" i="1586"/>
  <c r="X51" i="1586"/>
  <c r="X40" i="1586"/>
  <c r="X39" i="1586"/>
  <c r="X20" i="1586"/>
  <c r="X19" i="1586"/>
  <c r="Z9" i="1586"/>
  <c r="Z8" i="1586"/>
  <c r="Z7" i="1586"/>
  <c r="Z6" i="1586"/>
  <c r="AP7" i="1586" s="1"/>
  <c r="AD21" i="1587" l="1"/>
  <c r="AK84" i="1586"/>
  <c r="AL84" i="1586" s="1"/>
  <c r="AJ35" i="1587"/>
  <c r="AD91" i="1587"/>
  <c r="AV91" i="1587" s="1"/>
  <c r="AG71" i="1587"/>
  <c r="AD13" i="1587"/>
  <c r="AD47" i="1587"/>
  <c r="AD49" i="1587" s="1"/>
  <c r="AD63" i="1587"/>
  <c r="AV63" i="1587" s="1"/>
  <c r="AH51" i="1587"/>
  <c r="AH35" i="1587"/>
  <c r="AV87" i="1587"/>
  <c r="AD89" i="1587"/>
  <c r="AD9" i="1587"/>
  <c r="AV7" i="1587"/>
  <c r="AD85" i="1587"/>
  <c r="AV83" i="1587"/>
  <c r="AD25" i="1587"/>
  <c r="AD61" i="1587"/>
  <c r="AH47" i="1587"/>
  <c r="AG47" i="1587"/>
  <c r="AJ71" i="1587"/>
  <c r="AJ51" i="1587"/>
  <c r="AG39" i="1587"/>
  <c r="AV51" i="1587"/>
  <c r="AV75" i="1587"/>
  <c r="AD77" i="1587"/>
  <c r="AV71" i="1587"/>
  <c r="AD73" i="1587"/>
  <c r="AH75" i="1587"/>
  <c r="AG75" i="1587"/>
  <c r="AD41" i="1587"/>
  <c r="AV39" i="1587"/>
  <c r="AD57" i="1587"/>
  <c r="AV55" i="1587"/>
  <c r="AI2" i="1587"/>
  <c r="AD17" i="1587"/>
  <c r="AV15" i="1587"/>
  <c r="AF4" i="1587"/>
  <c r="AH83" i="1587"/>
  <c r="AG83" i="1587"/>
  <c r="AQ4" i="1587"/>
  <c r="AD37" i="1587"/>
  <c r="AV35" i="1587"/>
  <c r="AD33" i="1587"/>
  <c r="AV31" i="1587"/>
  <c r="AD69" i="1587"/>
  <c r="AV67" i="1587"/>
  <c r="AD45" i="1587"/>
  <c r="AV43" i="1587"/>
  <c r="AE83" i="1586"/>
  <c r="AF83" i="1586" s="1"/>
  <c r="AD11" i="1586"/>
  <c r="AE11" i="1586"/>
  <c r="AF11" i="1586" s="1"/>
  <c r="AK28" i="1586"/>
  <c r="AL28" i="1586" s="1"/>
  <c r="AK12" i="1586"/>
  <c r="AL12" i="1586" s="1"/>
  <c r="AD83" i="1586"/>
  <c r="AL85" i="1586"/>
  <c r="AP11" i="1586"/>
  <c r="X10" i="1586" s="1"/>
  <c r="AP27" i="1586"/>
  <c r="X26" i="1586" s="1"/>
  <c r="AA27" i="1586"/>
  <c r="AC27" i="1586" s="1"/>
  <c r="AU27" i="1586" s="1"/>
  <c r="AA10" i="1586"/>
  <c r="AH27" i="1586"/>
  <c r="AL13" i="1586"/>
  <c r="AA11" i="1586"/>
  <c r="X11" i="1586"/>
  <c r="AH11" i="1586"/>
  <c r="AA82" i="1586"/>
  <c r="AC83" i="1586" s="1"/>
  <c r="X83" i="1586"/>
  <c r="AH83" i="1586"/>
  <c r="AD27" i="1586"/>
  <c r="AL29" i="1586"/>
  <c r="X12" i="1586"/>
  <c r="Y10" i="1586" s="1"/>
  <c r="AE27" i="1586"/>
  <c r="AG11" i="1586" l="1"/>
  <c r="AD93" i="1587"/>
  <c r="AI11" i="1586"/>
  <c r="AH2" i="1587"/>
  <c r="AD2" i="1587" s="1"/>
  <c r="AV47" i="1587"/>
  <c r="AD65" i="1587"/>
  <c r="AI83" i="1586"/>
  <c r="AC29" i="1586"/>
  <c r="AG83" i="1586"/>
  <c r="AC11" i="1586"/>
  <c r="AU11" i="1586" s="1"/>
  <c r="AC85" i="1586"/>
  <c r="AU83" i="1586"/>
  <c r="AG27" i="1586"/>
  <c r="AF27" i="1586"/>
  <c r="AI27" i="1586"/>
  <c r="W101" i="1586"/>
  <c r="V101" i="1586"/>
  <c r="V98" i="1586" s="1"/>
  <c r="U101" i="1586"/>
  <c r="U98" i="1586" s="1"/>
  <c r="T101" i="1586"/>
  <c r="S101" i="1586"/>
  <c r="R101" i="1586"/>
  <c r="R98" i="1586" s="1"/>
  <c r="Q101" i="1586"/>
  <c r="Q98" i="1586" s="1"/>
  <c r="P101" i="1586"/>
  <c r="O101" i="1586"/>
  <c r="N101" i="1586"/>
  <c r="N98" i="1586" s="1"/>
  <c r="M101" i="1586"/>
  <c r="M98" i="1586" s="1"/>
  <c r="T98" i="1586"/>
  <c r="W95" i="1586"/>
  <c r="V95" i="1586"/>
  <c r="U95" i="1586"/>
  <c r="T95" i="1586"/>
  <c r="S95" i="1586"/>
  <c r="R95" i="1586"/>
  <c r="Q95" i="1586"/>
  <c r="P95" i="1586"/>
  <c r="O95" i="1586"/>
  <c r="N95" i="1586"/>
  <c r="M95" i="1586"/>
  <c r="W93" i="1586"/>
  <c r="V93" i="1586"/>
  <c r="U93" i="1586"/>
  <c r="T93" i="1586"/>
  <c r="S93" i="1586"/>
  <c r="R93" i="1586"/>
  <c r="Q93" i="1586"/>
  <c r="P93" i="1586"/>
  <c r="O93" i="1586"/>
  <c r="N93" i="1586"/>
  <c r="M93" i="1586"/>
  <c r="W91" i="1586"/>
  <c r="V91" i="1586"/>
  <c r="U91" i="1586"/>
  <c r="T91" i="1586"/>
  <c r="S91" i="1586"/>
  <c r="R91" i="1586"/>
  <c r="Q91" i="1586"/>
  <c r="P91" i="1586"/>
  <c r="O91" i="1586"/>
  <c r="N91" i="1586"/>
  <c r="M91" i="1586"/>
  <c r="AJ89" i="1586"/>
  <c r="AG89" i="1586"/>
  <c r="AF89" i="1586"/>
  <c r="J89" i="1586"/>
  <c r="G89" i="1586"/>
  <c r="B89" i="1586"/>
  <c r="AG88" i="1586"/>
  <c r="AF88" i="1586"/>
  <c r="AE87" i="1586"/>
  <c r="AI87" i="1586" s="1"/>
  <c r="G88" i="1586"/>
  <c r="E88" i="1586"/>
  <c r="E89" i="1586" s="1"/>
  <c r="B88" i="1586"/>
  <c r="AH87" i="1586"/>
  <c r="AD87" i="1586"/>
  <c r="C87" i="1586"/>
  <c r="AG86" i="1586"/>
  <c r="AF86" i="1586"/>
  <c r="X86" i="1586"/>
  <c r="G86" i="1586"/>
  <c r="B86" i="1586"/>
  <c r="AJ81" i="1586"/>
  <c r="AG81" i="1586"/>
  <c r="AF81" i="1586"/>
  <c r="J81" i="1586"/>
  <c r="B81" i="1586"/>
  <c r="AG80" i="1586"/>
  <c r="AF80" i="1586"/>
  <c r="AE79" i="1586"/>
  <c r="G80" i="1586"/>
  <c r="E80" i="1586"/>
  <c r="E81" i="1586" s="1"/>
  <c r="B80" i="1586"/>
  <c r="X78" i="1586"/>
  <c r="AH79" i="1586"/>
  <c r="C79" i="1586"/>
  <c r="AG78" i="1586"/>
  <c r="AF78" i="1586"/>
  <c r="AA78" i="1586"/>
  <c r="G78" i="1586"/>
  <c r="B78" i="1586"/>
  <c r="AJ77" i="1586"/>
  <c r="AG77" i="1586"/>
  <c r="AF77" i="1586"/>
  <c r="J77" i="1586"/>
  <c r="G77" i="1586"/>
  <c r="B77" i="1586"/>
  <c r="AG76" i="1586"/>
  <c r="AF76" i="1586"/>
  <c r="G76" i="1586"/>
  <c r="E76" i="1586"/>
  <c r="E77" i="1586" s="1"/>
  <c r="B76" i="1586"/>
  <c r="C75" i="1586"/>
  <c r="AG74" i="1586"/>
  <c r="AF74" i="1586"/>
  <c r="AA74" i="1586"/>
  <c r="G74" i="1586"/>
  <c r="B74" i="1586"/>
  <c r="AJ73" i="1586"/>
  <c r="AG73" i="1586"/>
  <c r="AF73" i="1586"/>
  <c r="AD71" i="1586"/>
  <c r="J73" i="1586"/>
  <c r="G73" i="1586"/>
  <c r="B73" i="1586"/>
  <c r="AG72" i="1586"/>
  <c r="AF72" i="1586"/>
  <c r="G72" i="1586"/>
  <c r="E72" i="1586"/>
  <c r="E73" i="1586" s="1"/>
  <c r="B72" i="1586"/>
  <c r="AH71" i="1586"/>
  <c r="AA71" i="1586"/>
  <c r="C71" i="1586"/>
  <c r="AG70" i="1586"/>
  <c r="AF70" i="1586"/>
  <c r="X70" i="1586"/>
  <c r="G70" i="1586"/>
  <c r="B70" i="1586"/>
  <c r="AJ69" i="1586"/>
  <c r="AK68" i="1586" s="1"/>
  <c r="AG69" i="1586"/>
  <c r="AF69" i="1586"/>
  <c r="J69" i="1586"/>
  <c r="G69" i="1586"/>
  <c r="B69" i="1586"/>
  <c r="AG68" i="1586"/>
  <c r="AF68" i="1586"/>
  <c r="AE67" i="1586"/>
  <c r="G68" i="1586"/>
  <c r="E68" i="1586"/>
  <c r="E69" i="1586" s="1"/>
  <c r="B68" i="1586"/>
  <c r="AA67" i="1586"/>
  <c r="C67" i="1586"/>
  <c r="AG66" i="1586"/>
  <c r="AF66" i="1586"/>
  <c r="G66" i="1586"/>
  <c r="B66" i="1586"/>
  <c r="AJ65" i="1586"/>
  <c r="AG65" i="1586"/>
  <c r="AF65" i="1586"/>
  <c r="J65" i="1586"/>
  <c r="G65" i="1586"/>
  <c r="B65" i="1586"/>
  <c r="AG64" i="1586"/>
  <c r="AF64" i="1586"/>
  <c r="AE63" i="1586"/>
  <c r="AI63" i="1586" s="1"/>
  <c r="G64" i="1586"/>
  <c r="E64" i="1586"/>
  <c r="E65" i="1586" s="1"/>
  <c r="B64" i="1586"/>
  <c r="X62" i="1586"/>
  <c r="AD63" i="1586"/>
  <c r="C63" i="1586"/>
  <c r="AG62" i="1586"/>
  <c r="AF62" i="1586"/>
  <c r="AA62" i="1586"/>
  <c r="G62" i="1586"/>
  <c r="B62" i="1586"/>
  <c r="J61" i="1586"/>
  <c r="G61" i="1586"/>
  <c r="B61" i="1586"/>
  <c r="G60" i="1586"/>
  <c r="E60" i="1586"/>
  <c r="E61" i="1586" s="1"/>
  <c r="B60" i="1586"/>
  <c r="X58" i="1586"/>
  <c r="AA59" i="1586"/>
  <c r="AA58" i="1586"/>
  <c r="G58" i="1586"/>
  <c r="B58" i="1586"/>
  <c r="AJ57" i="1586"/>
  <c r="AG57" i="1586"/>
  <c r="AF57" i="1586"/>
  <c r="AD55" i="1586"/>
  <c r="J57" i="1586"/>
  <c r="G57" i="1586"/>
  <c r="B57" i="1586"/>
  <c r="AG56" i="1586"/>
  <c r="AF56" i="1586"/>
  <c r="G56" i="1586"/>
  <c r="E56" i="1586"/>
  <c r="E57" i="1586" s="1"/>
  <c r="B56" i="1586"/>
  <c r="AH55" i="1586"/>
  <c r="AA55" i="1586"/>
  <c r="Y57" i="1586"/>
  <c r="C55" i="1586"/>
  <c r="AG54" i="1586"/>
  <c r="AF54" i="1586"/>
  <c r="X54" i="1586"/>
  <c r="G54" i="1586"/>
  <c r="B54" i="1586"/>
  <c r="AJ53" i="1586"/>
  <c r="AG53" i="1586"/>
  <c r="AF53" i="1586"/>
  <c r="AD51" i="1586"/>
  <c r="J53" i="1586"/>
  <c r="G53" i="1586"/>
  <c r="B53" i="1586"/>
  <c r="AG52" i="1586"/>
  <c r="AF52" i="1586"/>
  <c r="Y50" i="1586"/>
  <c r="G52" i="1586"/>
  <c r="E52" i="1586"/>
  <c r="E53" i="1586" s="1"/>
  <c r="B52" i="1586"/>
  <c r="X50" i="1586"/>
  <c r="AA51" i="1586"/>
  <c r="Y53" i="1586"/>
  <c r="C51" i="1586"/>
  <c r="AG50" i="1586"/>
  <c r="AF50" i="1586"/>
  <c r="AA50" i="1586"/>
  <c r="G50" i="1586"/>
  <c r="B50" i="1586"/>
  <c r="AJ49" i="1586"/>
  <c r="AG49" i="1586"/>
  <c r="AF49" i="1586"/>
  <c r="AD47" i="1586"/>
  <c r="J49" i="1586"/>
  <c r="G49" i="1586"/>
  <c r="B49" i="1586"/>
  <c r="AG48" i="1586"/>
  <c r="AF48" i="1586"/>
  <c r="G48" i="1586"/>
  <c r="E48" i="1586"/>
  <c r="E49" i="1586" s="1"/>
  <c r="B48" i="1586"/>
  <c r="X46" i="1586"/>
  <c r="Y49" i="1586"/>
  <c r="C47" i="1586"/>
  <c r="AG46" i="1586"/>
  <c r="AF46" i="1586"/>
  <c r="AA46" i="1586"/>
  <c r="G46" i="1586"/>
  <c r="B46" i="1586"/>
  <c r="AJ45" i="1586"/>
  <c r="AG45" i="1586"/>
  <c r="AF45" i="1586"/>
  <c r="J45" i="1586"/>
  <c r="G45" i="1586"/>
  <c r="B45" i="1586"/>
  <c r="AG44" i="1586"/>
  <c r="AF44" i="1586"/>
  <c r="AE43" i="1586"/>
  <c r="AG43" i="1586" s="1"/>
  <c r="G44" i="1586"/>
  <c r="E44" i="1586"/>
  <c r="E45" i="1586" s="1"/>
  <c r="B44" i="1586"/>
  <c r="AA43" i="1586"/>
  <c r="Y45" i="1586"/>
  <c r="C43" i="1586"/>
  <c r="AG42" i="1586"/>
  <c r="AF42" i="1586"/>
  <c r="X42" i="1586"/>
  <c r="G42" i="1586"/>
  <c r="B42" i="1586"/>
  <c r="AJ41" i="1586"/>
  <c r="AG41" i="1586"/>
  <c r="AF41" i="1586"/>
  <c r="J41" i="1586"/>
  <c r="G41" i="1586"/>
  <c r="B41" i="1586"/>
  <c r="AG40" i="1586"/>
  <c r="AF40" i="1586"/>
  <c r="AD39" i="1586"/>
  <c r="Y38" i="1586"/>
  <c r="G40" i="1586"/>
  <c r="E40" i="1586"/>
  <c r="E41" i="1586" s="1"/>
  <c r="B40" i="1586"/>
  <c r="X38" i="1586"/>
  <c r="Y41" i="1586"/>
  <c r="C39" i="1586"/>
  <c r="AG38" i="1586"/>
  <c r="AF38" i="1586"/>
  <c r="AA38" i="1586"/>
  <c r="G38" i="1586"/>
  <c r="B38" i="1586"/>
  <c r="AJ37" i="1586"/>
  <c r="AG37" i="1586"/>
  <c r="AF37" i="1586"/>
  <c r="J37" i="1586"/>
  <c r="G37" i="1586"/>
  <c r="B37" i="1586"/>
  <c r="AG36" i="1586"/>
  <c r="AF36" i="1586"/>
  <c r="AE35" i="1586"/>
  <c r="AF35" i="1586" s="1"/>
  <c r="G36" i="1586"/>
  <c r="E36" i="1586"/>
  <c r="E37" i="1586" s="1"/>
  <c r="B36" i="1586"/>
  <c r="X34" i="1586"/>
  <c r="AD35" i="1586"/>
  <c r="Y37" i="1586"/>
  <c r="C35" i="1586"/>
  <c r="AG34" i="1586"/>
  <c r="AF34" i="1586"/>
  <c r="AA34" i="1586"/>
  <c r="G34" i="1586"/>
  <c r="B34" i="1586"/>
  <c r="AJ33" i="1586"/>
  <c r="AG33" i="1586"/>
  <c r="AF33" i="1586"/>
  <c r="J33" i="1586"/>
  <c r="G33" i="1586"/>
  <c r="B33" i="1586"/>
  <c r="AG32" i="1586"/>
  <c r="AF32" i="1586"/>
  <c r="AE31" i="1586"/>
  <c r="AG31" i="1586" s="1"/>
  <c r="G32" i="1586"/>
  <c r="E32" i="1586"/>
  <c r="E33" i="1586" s="1"/>
  <c r="B32" i="1586"/>
  <c r="X30" i="1586"/>
  <c r="AD31" i="1586"/>
  <c r="Y33" i="1586"/>
  <c r="C31" i="1586"/>
  <c r="AG30" i="1586"/>
  <c r="AF30" i="1586"/>
  <c r="AA30" i="1586"/>
  <c r="G30" i="1586"/>
  <c r="B30" i="1586"/>
  <c r="AJ25" i="1586"/>
  <c r="AG25" i="1586"/>
  <c r="AF25" i="1586"/>
  <c r="J25" i="1586"/>
  <c r="G25" i="1586"/>
  <c r="B25" i="1586"/>
  <c r="AG24" i="1586"/>
  <c r="AF24" i="1586"/>
  <c r="AE23" i="1586"/>
  <c r="AG23" i="1586" s="1"/>
  <c r="G24" i="1586"/>
  <c r="E24" i="1586"/>
  <c r="E25" i="1586" s="1"/>
  <c r="B24" i="1586"/>
  <c r="X22" i="1586"/>
  <c r="C23" i="1586"/>
  <c r="AG22" i="1586"/>
  <c r="AF22" i="1586"/>
  <c r="AA22" i="1586"/>
  <c r="G22" i="1586"/>
  <c r="B22" i="1586"/>
  <c r="AJ21" i="1586"/>
  <c r="J21" i="1586"/>
  <c r="G21" i="1586"/>
  <c r="B21" i="1586"/>
  <c r="G20" i="1586"/>
  <c r="E20" i="1586"/>
  <c r="E21" i="1586" s="1"/>
  <c r="B20" i="1586"/>
  <c r="X18" i="1586"/>
  <c r="AA19" i="1586"/>
  <c r="AA18" i="1586"/>
  <c r="Y18" i="1586"/>
  <c r="G18" i="1586"/>
  <c r="B18" i="1586"/>
  <c r="AJ17" i="1586"/>
  <c r="AG17" i="1586"/>
  <c r="AF17" i="1586"/>
  <c r="AD15" i="1586"/>
  <c r="J17" i="1586"/>
  <c r="G17" i="1586"/>
  <c r="B17" i="1586"/>
  <c r="AG16" i="1586"/>
  <c r="AF16" i="1586"/>
  <c r="AE15" i="1586"/>
  <c r="AF15" i="1586" s="1"/>
  <c r="G16" i="1586"/>
  <c r="E16" i="1586"/>
  <c r="E17" i="1586" s="1"/>
  <c r="B16" i="1586"/>
  <c r="AA15" i="1586"/>
  <c r="C15" i="1586"/>
  <c r="AG14" i="1586"/>
  <c r="AF14" i="1586"/>
  <c r="AA14" i="1586"/>
  <c r="G14" i="1586"/>
  <c r="B14" i="1586"/>
  <c r="AJ9" i="1586"/>
  <c r="AK9" i="1586" s="1"/>
  <c r="AL9" i="1586" s="1"/>
  <c r="AG9" i="1586"/>
  <c r="AF9" i="1586"/>
  <c r="J9" i="1586"/>
  <c r="G9" i="1586"/>
  <c r="B9" i="1586"/>
  <c r="AG8" i="1586"/>
  <c r="AF8" i="1586"/>
  <c r="AE7" i="1586"/>
  <c r="AI7" i="1586" s="1"/>
  <c r="G8" i="1586"/>
  <c r="E8" i="1586"/>
  <c r="E9" i="1586" s="1"/>
  <c r="B8" i="1586"/>
  <c r="C7" i="1586"/>
  <c r="AG6" i="1586"/>
  <c r="AF6" i="1586"/>
  <c r="AA6" i="1586"/>
  <c r="G6" i="1586"/>
  <c r="B6" i="1586"/>
  <c r="AC15" i="1586" l="1"/>
  <c r="AC13" i="1586"/>
  <c r="AK8" i="1586"/>
  <c r="X79" i="1586"/>
  <c r="AK89" i="1586"/>
  <c r="AL89" i="1586" s="1"/>
  <c r="X87" i="1586"/>
  <c r="X7" i="1586"/>
  <c r="X44" i="1586"/>
  <c r="Y42" i="1586" s="1"/>
  <c r="X43" i="1586"/>
  <c r="X56" i="1586"/>
  <c r="Y54" i="1586" s="1"/>
  <c r="X55" i="1586"/>
  <c r="AK65" i="1586"/>
  <c r="AL65" i="1586" s="1"/>
  <c r="X63" i="1586"/>
  <c r="X76" i="1586"/>
  <c r="Y74" i="1586" s="1"/>
  <c r="X75" i="1586"/>
  <c r="X15" i="1586"/>
  <c r="X36" i="1586"/>
  <c r="Y34" i="1586" s="1"/>
  <c r="X35" i="1586"/>
  <c r="X67" i="1586"/>
  <c r="X23" i="1586"/>
  <c r="X48" i="1586"/>
  <c r="Y46" i="1586" s="1"/>
  <c r="X47" i="1586"/>
  <c r="X31" i="1586"/>
  <c r="AK64" i="1586"/>
  <c r="AL64" i="1586" s="1"/>
  <c r="AK72" i="1586"/>
  <c r="AL72" i="1586" s="1"/>
  <c r="X72" i="1586"/>
  <c r="Y70" i="1586" s="1"/>
  <c r="AK88" i="1586"/>
  <c r="AL88" i="1586" s="1"/>
  <c r="X60" i="1586"/>
  <c r="Y58" i="1586" s="1"/>
  <c r="X84" i="1586"/>
  <c r="Y82" i="1586" s="1"/>
  <c r="X28" i="1586"/>
  <c r="Y26" i="1586" s="1"/>
  <c r="AK17" i="1586"/>
  <c r="AL17" i="1586" s="1"/>
  <c r="X16" i="1586"/>
  <c r="Y14" i="1586" s="1"/>
  <c r="X32" i="1586"/>
  <c r="Y30" i="1586" s="1"/>
  <c r="X8" i="1586"/>
  <c r="Y6" i="1586" s="1"/>
  <c r="AK25" i="1586"/>
  <c r="AL25" i="1586" s="1"/>
  <c r="X24" i="1586"/>
  <c r="Y22" i="1586" s="1"/>
  <c r="AG35" i="1586"/>
  <c r="AK36" i="1586"/>
  <c r="AL36" i="1586" s="1"/>
  <c r="AK37" i="1586"/>
  <c r="AL37" i="1586" s="1"/>
  <c r="X64" i="1586"/>
  <c r="Y62" i="1586" s="1"/>
  <c r="AK69" i="1586"/>
  <c r="AL69" i="1586" s="1"/>
  <c r="X68" i="1586"/>
  <c r="Y66" i="1586" s="1"/>
  <c r="X80" i="1586"/>
  <c r="Y78" i="1586" s="1"/>
  <c r="X88" i="1586"/>
  <c r="Y86" i="1586" s="1"/>
  <c r="T104" i="1586"/>
  <c r="P98" i="1586"/>
  <c r="P104" i="1586" s="1"/>
  <c r="AF43" i="1586"/>
  <c r="AK24" i="1586"/>
  <c r="AL24" i="1586" s="1"/>
  <c r="AK73" i="1586"/>
  <c r="AL73" i="1586" s="1"/>
  <c r="AF67" i="1586"/>
  <c r="AG67" i="1586"/>
  <c r="AH47" i="1586"/>
  <c r="AA7" i="1586"/>
  <c r="AC7" i="1586" s="1"/>
  <c r="AD23" i="1586"/>
  <c r="AA31" i="1586"/>
  <c r="AC31" i="1586" s="1"/>
  <c r="AI31" i="1586"/>
  <c r="AA35" i="1586"/>
  <c r="AC35" i="1586" s="1"/>
  <c r="AU35" i="1586" s="1"/>
  <c r="AH35" i="1586"/>
  <c r="AA42" i="1586"/>
  <c r="AC43" i="1586" s="1"/>
  <c r="AC45" i="1586" s="1"/>
  <c r="AH43" i="1586"/>
  <c r="AA47" i="1586"/>
  <c r="AC47" i="1586" s="1"/>
  <c r="AE47" i="1586"/>
  <c r="AI47" i="1586" s="1"/>
  <c r="AH51" i="1586"/>
  <c r="AA54" i="1586"/>
  <c r="AC55" i="1586" s="1"/>
  <c r="AE55" i="1586"/>
  <c r="AI55" i="1586" s="1"/>
  <c r="AD59" i="1586"/>
  <c r="AH63" i="1586"/>
  <c r="AA70" i="1586"/>
  <c r="AC71" i="1586" s="1"/>
  <c r="AE71" i="1586"/>
  <c r="AG71" i="1586" s="1"/>
  <c r="AI79" i="1586"/>
  <c r="AA86" i="1586"/>
  <c r="Y93" i="1586"/>
  <c r="X6" i="1586"/>
  <c r="AH31" i="1586"/>
  <c r="X14" i="1586"/>
  <c r="AL68" i="1586"/>
  <c r="AD67" i="1586"/>
  <c r="AA79" i="1586"/>
  <c r="AC79" i="1586" s="1"/>
  <c r="AA87" i="1586"/>
  <c r="Y91" i="1586"/>
  <c r="AD7" i="1586"/>
  <c r="AH7" i="1586"/>
  <c r="AL8" i="1586"/>
  <c r="AC19" i="1586"/>
  <c r="AU19" i="1586" s="1"/>
  <c r="AD19" i="1586"/>
  <c r="AD43" i="1586"/>
  <c r="AE51" i="1586"/>
  <c r="AA63" i="1586"/>
  <c r="AC63" i="1586" s="1"/>
  <c r="AU63" i="1586" s="1"/>
  <c r="AC59" i="1586"/>
  <c r="AC61" i="1586" s="1"/>
  <c r="AG7" i="1586"/>
  <c r="AF7" i="1586"/>
  <c r="AU15" i="1586"/>
  <c r="AC17" i="1586"/>
  <c r="Z4" i="1586"/>
  <c r="AH23" i="1586"/>
  <c r="AG15" i="1586"/>
  <c r="AK16" i="1586"/>
  <c r="AL16" i="1586" s="1"/>
  <c r="AH15" i="1586"/>
  <c r="AI23" i="1586"/>
  <c r="AF31" i="1586"/>
  <c r="AE39" i="1586"/>
  <c r="AK41" i="1586"/>
  <c r="AL41" i="1586" s="1"/>
  <c r="AK40" i="1586"/>
  <c r="AL40" i="1586" s="1"/>
  <c r="AC51" i="1586"/>
  <c r="AK76" i="1586"/>
  <c r="AL76" i="1586" s="1"/>
  <c r="AK77" i="1586"/>
  <c r="AL77" i="1586" s="1"/>
  <c r="AG87" i="1586"/>
  <c r="AF87" i="1586"/>
  <c r="N104" i="1586"/>
  <c r="R104" i="1586"/>
  <c r="V104" i="1586"/>
  <c r="AI15" i="1586"/>
  <c r="AH75" i="1586"/>
  <c r="AA75" i="1586"/>
  <c r="AC75" i="1586" s="1"/>
  <c r="AD75" i="1586"/>
  <c r="AG79" i="1586"/>
  <c r="AF79" i="1586"/>
  <c r="O98" i="1586"/>
  <c r="O104" i="1586" s="1"/>
  <c r="S98" i="1586"/>
  <c r="S104" i="1586" s="1"/>
  <c r="W98" i="1586"/>
  <c r="W104" i="1586" s="1"/>
  <c r="AF23" i="1586"/>
  <c r="AA39" i="1586"/>
  <c r="AC39" i="1586" s="1"/>
  <c r="AH39" i="1586"/>
  <c r="AK49" i="1586"/>
  <c r="AL49" i="1586" s="1"/>
  <c r="AK48" i="1586"/>
  <c r="AL48" i="1586" s="1"/>
  <c r="AK53" i="1586"/>
  <c r="AL53" i="1586" s="1"/>
  <c r="AK52" i="1586"/>
  <c r="AL52" i="1586" s="1"/>
  <c r="AK57" i="1586"/>
  <c r="AL57" i="1586" s="1"/>
  <c r="AK56" i="1586"/>
  <c r="AL56" i="1586" s="1"/>
  <c r="AE75" i="1586"/>
  <c r="AI75" i="1586" s="1"/>
  <c r="AA23" i="1586"/>
  <c r="AC23" i="1586" s="1"/>
  <c r="AK33" i="1586"/>
  <c r="AL33" i="1586" s="1"/>
  <c r="AK32" i="1586"/>
  <c r="AL32" i="1586" s="1"/>
  <c r="AK45" i="1586"/>
  <c r="AL45" i="1586" s="1"/>
  <c r="AK44" i="1586"/>
  <c r="AL44" i="1586" s="1"/>
  <c r="AG63" i="1586"/>
  <c r="AF63" i="1586"/>
  <c r="X66" i="1586"/>
  <c r="AA66" i="1586"/>
  <c r="AC67" i="1586" s="1"/>
  <c r="AD79" i="1586"/>
  <c r="AK80" i="1586"/>
  <c r="AL80" i="1586" s="1"/>
  <c r="AK81" i="1586"/>
  <c r="AL81" i="1586" s="1"/>
  <c r="M104" i="1586"/>
  <c r="Q104" i="1586"/>
  <c r="U104" i="1586"/>
  <c r="AI35" i="1586"/>
  <c r="AI43" i="1586"/>
  <c r="AH67" i="1586"/>
  <c r="X74" i="1586"/>
  <c r="AI67" i="1586"/>
  <c r="Y50" i="1585"/>
  <c r="Y3" i="1585" s="1"/>
  <c r="Y15" i="1585" s="1"/>
  <c r="AC21" i="1586" l="1"/>
  <c r="AU43" i="1586"/>
  <c r="AI71" i="1586"/>
  <c r="AC49" i="1586"/>
  <c r="AU47" i="1586"/>
  <c r="AC37" i="1586"/>
  <c r="AC87" i="1586"/>
  <c r="AC89" i="1586" s="1"/>
  <c r="AF71" i="1586"/>
  <c r="AC9" i="1586"/>
  <c r="AU7" i="1586"/>
  <c r="AC81" i="1586"/>
  <c r="AU79" i="1586"/>
  <c r="AG51" i="1586"/>
  <c r="AF51" i="1586"/>
  <c r="AC65" i="1586"/>
  <c r="AG47" i="1586"/>
  <c r="AF47" i="1586"/>
  <c r="AI51" i="1586"/>
  <c r="AE4" i="1586"/>
  <c r="AU59" i="1586"/>
  <c r="AG55" i="1586"/>
  <c r="AF55" i="1586"/>
  <c r="AC41" i="1586"/>
  <c r="AU39" i="1586"/>
  <c r="AU23" i="1586"/>
  <c r="AC25" i="1586"/>
  <c r="AH2" i="1586"/>
  <c r="AC69" i="1586"/>
  <c r="AU67" i="1586"/>
  <c r="AI39" i="1586"/>
  <c r="AP4" i="1586"/>
  <c r="AC33" i="1586"/>
  <c r="AU31" i="1586"/>
  <c r="AU71" i="1586"/>
  <c r="AC73" i="1586"/>
  <c r="AC57" i="1586"/>
  <c r="AU55" i="1586"/>
  <c r="AG39" i="1586"/>
  <c r="AF39" i="1586"/>
  <c r="AG75" i="1586"/>
  <c r="AF75" i="1586"/>
  <c r="AU75" i="1586"/>
  <c r="AC77" i="1586"/>
  <c r="AC53" i="1586"/>
  <c r="AU51" i="1586"/>
  <c r="AC4" i="1584"/>
  <c r="AG2" i="1586" l="1"/>
  <c r="AC2" i="1586" s="1"/>
  <c r="AU87" i="1586"/>
  <c r="E3" i="1532"/>
  <c r="K3" i="1532"/>
  <c r="L3" i="1532"/>
  <c r="N3" i="1532"/>
  <c r="U3" i="1532"/>
  <c r="V3" i="1532"/>
  <c r="W89" i="1584" l="1"/>
  <c r="V89" i="1584"/>
  <c r="V86" i="1584" s="1"/>
  <c r="U89" i="1584"/>
  <c r="U86" i="1584" s="1"/>
  <c r="T89" i="1584"/>
  <c r="S89" i="1584"/>
  <c r="R89" i="1584"/>
  <c r="R86" i="1584" s="1"/>
  <c r="Q89" i="1584"/>
  <c r="Q86" i="1584" s="1"/>
  <c r="P89" i="1584"/>
  <c r="O89" i="1584"/>
  <c r="N89" i="1584"/>
  <c r="N86" i="1584" s="1"/>
  <c r="M89" i="1584"/>
  <c r="M86" i="1584" s="1"/>
  <c r="W83" i="1584"/>
  <c r="V83" i="1584"/>
  <c r="U83" i="1584"/>
  <c r="T83" i="1584"/>
  <c r="S83" i="1584"/>
  <c r="R83" i="1584"/>
  <c r="Q83" i="1584"/>
  <c r="P83" i="1584"/>
  <c r="O83" i="1584"/>
  <c r="N83" i="1584"/>
  <c r="M83" i="1584"/>
  <c r="W81" i="1584"/>
  <c r="V81" i="1584"/>
  <c r="U81" i="1584"/>
  <c r="T81" i="1584"/>
  <c r="S81" i="1584"/>
  <c r="R81" i="1584"/>
  <c r="Q81" i="1584"/>
  <c r="P81" i="1584"/>
  <c r="O81" i="1584"/>
  <c r="N81" i="1584"/>
  <c r="M81" i="1584"/>
  <c r="W79" i="1584"/>
  <c r="V79" i="1584"/>
  <c r="U79" i="1584"/>
  <c r="T79" i="1584"/>
  <c r="S79" i="1584"/>
  <c r="R79" i="1584"/>
  <c r="Q79" i="1584"/>
  <c r="P79" i="1584"/>
  <c r="O79" i="1584"/>
  <c r="N79" i="1584"/>
  <c r="M79" i="1584"/>
  <c r="AJ77" i="1584"/>
  <c r="AK77" i="1584" s="1"/>
  <c r="AG77" i="1584"/>
  <c r="AF77" i="1584"/>
  <c r="Z77" i="1584"/>
  <c r="J77" i="1584"/>
  <c r="G77" i="1584"/>
  <c r="B77" i="1584"/>
  <c r="AG76" i="1584"/>
  <c r="AF76" i="1584"/>
  <c r="Z76" i="1584"/>
  <c r="G76" i="1584"/>
  <c r="E76" i="1584"/>
  <c r="E77" i="1584" s="1"/>
  <c r="B76" i="1584"/>
  <c r="Z75" i="1584"/>
  <c r="C75" i="1584"/>
  <c r="AG74" i="1584"/>
  <c r="AF74" i="1584"/>
  <c r="Z74" i="1584"/>
  <c r="G74" i="1584"/>
  <c r="B74" i="1584"/>
  <c r="AJ73" i="1584"/>
  <c r="AG73" i="1584"/>
  <c r="AF73" i="1584"/>
  <c r="Z73" i="1584"/>
  <c r="J73" i="1584"/>
  <c r="B73" i="1584"/>
  <c r="AG72" i="1584"/>
  <c r="AF72" i="1584"/>
  <c r="Z72" i="1584"/>
  <c r="G72" i="1584"/>
  <c r="E72" i="1584"/>
  <c r="E73" i="1584" s="1"/>
  <c r="B72" i="1584"/>
  <c r="AP71" i="1584"/>
  <c r="X70" i="1584" s="1"/>
  <c r="Z71" i="1584"/>
  <c r="C71" i="1584"/>
  <c r="AG70" i="1584"/>
  <c r="AF70" i="1584"/>
  <c r="Z70" i="1584"/>
  <c r="AA70" i="1584" s="1"/>
  <c r="G70" i="1584"/>
  <c r="B70" i="1584"/>
  <c r="AJ69" i="1584"/>
  <c r="AG69" i="1584"/>
  <c r="AF69" i="1584"/>
  <c r="Z69" i="1584"/>
  <c r="J69" i="1584"/>
  <c r="G69" i="1584"/>
  <c r="B69" i="1584"/>
  <c r="AG68" i="1584"/>
  <c r="AF68" i="1584"/>
  <c r="Z68" i="1584"/>
  <c r="G68" i="1584"/>
  <c r="E68" i="1584"/>
  <c r="E69" i="1584" s="1"/>
  <c r="B68" i="1584"/>
  <c r="Z67" i="1584"/>
  <c r="C67" i="1584"/>
  <c r="AG66" i="1584"/>
  <c r="AF66" i="1584"/>
  <c r="Z66" i="1584"/>
  <c r="G66" i="1584"/>
  <c r="B66" i="1584"/>
  <c r="AJ65" i="1584"/>
  <c r="AK64" i="1584" s="1"/>
  <c r="AG65" i="1584"/>
  <c r="AF65" i="1584"/>
  <c r="Z65" i="1584"/>
  <c r="J65" i="1584"/>
  <c r="G65" i="1584"/>
  <c r="B65" i="1584"/>
  <c r="AG64" i="1584"/>
  <c r="AF64" i="1584"/>
  <c r="Z64" i="1584"/>
  <c r="G64" i="1584"/>
  <c r="E64" i="1584"/>
  <c r="E65" i="1584" s="1"/>
  <c r="B64" i="1584"/>
  <c r="Z63" i="1584"/>
  <c r="AH63" i="1584" s="1"/>
  <c r="C63" i="1584"/>
  <c r="AG62" i="1584"/>
  <c r="AF62" i="1584"/>
  <c r="Z62" i="1584"/>
  <c r="G62" i="1584"/>
  <c r="B62" i="1584"/>
  <c r="AJ61" i="1584"/>
  <c r="AK61" i="1584" s="1"/>
  <c r="AG61" i="1584"/>
  <c r="AF61" i="1584"/>
  <c r="Z61" i="1584"/>
  <c r="J61" i="1584"/>
  <c r="G61" i="1584"/>
  <c r="B61" i="1584"/>
  <c r="AG60" i="1584"/>
  <c r="AF60" i="1584"/>
  <c r="Z60" i="1584"/>
  <c r="G60" i="1584"/>
  <c r="E60" i="1584"/>
  <c r="E61" i="1584" s="1"/>
  <c r="B60" i="1584"/>
  <c r="Z59" i="1584"/>
  <c r="AA59" i="1584" s="1"/>
  <c r="C59" i="1584"/>
  <c r="AG58" i="1584"/>
  <c r="AF58" i="1584"/>
  <c r="Z58" i="1584"/>
  <c r="AP59" i="1584" s="1"/>
  <c r="G58" i="1584"/>
  <c r="B58" i="1584"/>
  <c r="AJ57" i="1584"/>
  <c r="AK57" i="1584" s="1"/>
  <c r="AG57" i="1584"/>
  <c r="AF57" i="1584"/>
  <c r="Z57" i="1584"/>
  <c r="J57" i="1584"/>
  <c r="G57" i="1584"/>
  <c r="B57" i="1584"/>
  <c r="AG56" i="1584"/>
  <c r="AF56" i="1584"/>
  <c r="Z56" i="1584"/>
  <c r="G56" i="1584"/>
  <c r="E56" i="1584"/>
  <c r="E57" i="1584" s="1"/>
  <c r="B56" i="1584"/>
  <c r="Z55" i="1584"/>
  <c r="AH55" i="1584" s="1"/>
  <c r="C55" i="1584"/>
  <c r="AG54" i="1584"/>
  <c r="AF54" i="1584"/>
  <c r="Z54" i="1584"/>
  <c r="G54" i="1584"/>
  <c r="B54" i="1584"/>
  <c r="Z53" i="1584"/>
  <c r="J53" i="1584"/>
  <c r="G53" i="1584"/>
  <c r="B53" i="1584"/>
  <c r="Z52" i="1584"/>
  <c r="G52" i="1584"/>
  <c r="E52" i="1584"/>
  <c r="E53" i="1584" s="1"/>
  <c r="B52" i="1584"/>
  <c r="AP51" i="1584"/>
  <c r="X50" i="1584" s="1"/>
  <c r="Z51" i="1584"/>
  <c r="AA51" i="1584" s="1"/>
  <c r="Z50" i="1584"/>
  <c r="AA50" i="1584" s="1"/>
  <c r="G50" i="1584"/>
  <c r="B50" i="1584"/>
  <c r="AJ49" i="1584"/>
  <c r="AG49" i="1584"/>
  <c r="AF49" i="1584"/>
  <c r="Z49" i="1584"/>
  <c r="J49" i="1584"/>
  <c r="G49" i="1584"/>
  <c r="B49" i="1584"/>
  <c r="AG48" i="1584"/>
  <c r="AF48" i="1584"/>
  <c r="Z48" i="1584"/>
  <c r="G48" i="1584"/>
  <c r="E48" i="1584"/>
  <c r="E49" i="1584" s="1"/>
  <c r="B48" i="1584"/>
  <c r="Z47" i="1584"/>
  <c r="Y49" i="1584" s="1"/>
  <c r="C47" i="1584"/>
  <c r="AG46" i="1584"/>
  <c r="AF46" i="1584"/>
  <c r="Z46" i="1584"/>
  <c r="G46" i="1584"/>
  <c r="B46" i="1584"/>
  <c r="AJ45" i="1584"/>
  <c r="AK45" i="1584" s="1"/>
  <c r="AG45" i="1584"/>
  <c r="AF45" i="1584"/>
  <c r="Z45" i="1584"/>
  <c r="J45" i="1584"/>
  <c r="G45" i="1584"/>
  <c r="B45" i="1584"/>
  <c r="AG44" i="1584"/>
  <c r="AF44" i="1584"/>
  <c r="Z44" i="1584"/>
  <c r="X44" i="1584"/>
  <c r="Y42" i="1584" s="1"/>
  <c r="G44" i="1584"/>
  <c r="E44" i="1584"/>
  <c r="E45" i="1584" s="1"/>
  <c r="B44" i="1584"/>
  <c r="AP43" i="1584"/>
  <c r="X42" i="1584" s="1"/>
  <c r="Z43" i="1584"/>
  <c r="Y45" i="1584" s="1"/>
  <c r="X43" i="1584"/>
  <c r="C43" i="1584"/>
  <c r="AG42" i="1584"/>
  <c r="AF42" i="1584"/>
  <c r="Z42" i="1584"/>
  <c r="AA42" i="1584" s="1"/>
  <c r="G42" i="1584"/>
  <c r="B42" i="1584"/>
  <c r="AJ41" i="1584"/>
  <c r="AG41" i="1584"/>
  <c r="AF41" i="1584"/>
  <c r="Z41" i="1584"/>
  <c r="J41" i="1584"/>
  <c r="G41" i="1584"/>
  <c r="B41" i="1584"/>
  <c r="AG40" i="1584"/>
  <c r="AF40" i="1584"/>
  <c r="Z40" i="1584"/>
  <c r="G40" i="1584"/>
  <c r="E40" i="1584"/>
  <c r="E41" i="1584" s="1"/>
  <c r="B40" i="1584"/>
  <c r="Z39" i="1584"/>
  <c r="Y41" i="1584" s="1"/>
  <c r="C39" i="1584"/>
  <c r="AG38" i="1584"/>
  <c r="AF38" i="1584"/>
  <c r="Z38" i="1584"/>
  <c r="G38" i="1584"/>
  <c r="B38" i="1584"/>
  <c r="AJ37" i="1584"/>
  <c r="AG37" i="1584"/>
  <c r="AF37" i="1584"/>
  <c r="Z37" i="1584"/>
  <c r="J37" i="1584"/>
  <c r="G37" i="1584"/>
  <c r="B37" i="1584"/>
  <c r="AG36" i="1584"/>
  <c r="AF36" i="1584"/>
  <c r="Z36" i="1584"/>
  <c r="G36" i="1584"/>
  <c r="E36" i="1584"/>
  <c r="E37" i="1584" s="1"/>
  <c r="B36" i="1584"/>
  <c r="Z35" i="1584"/>
  <c r="Y37" i="1584" s="1"/>
  <c r="C35" i="1584"/>
  <c r="AG34" i="1584"/>
  <c r="AF34" i="1584"/>
  <c r="Z34" i="1584"/>
  <c r="AP35" i="1584" s="1"/>
  <c r="G34" i="1584"/>
  <c r="B34" i="1584"/>
  <c r="AJ33" i="1584"/>
  <c r="AK33" i="1584" s="1"/>
  <c r="AG33" i="1584"/>
  <c r="AF33" i="1584"/>
  <c r="Z33" i="1584"/>
  <c r="J33" i="1584"/>
  <c r="G33" i="1584"/>
  <c r="B33" i="1584"/>
  <c r="AG32" i="1584"/>
  <c r="AF32" i="1584"/>
  <c r="Z32" i="1584"/>
  <c r="X32" i="1584"/>
  <c r="Y30" i="1584" s="1"/>
  <c r="G32" i="1584"/>
  <c r="E32" i="1584"/>
  <c r="E33" i="1584" s="1"/>
  <c r="B32" i="1584"/>
  <c r="AP31" i="1584"/>
  <c r="X30" i="1584" s="1"/>
  <c r="Z31" i="1584"/>
  <c r="Y33" i="1584" s="1"/>
  <c r="X31" i="1584"/>
  <c r="C31" i="1584"/>
  <c r="AG30" i="1584"/>
  <c r="AF30" i="1584"/>
  <c r="Z30" i="1584"/>
  <c r="AA30" i="1584" s="1"/>
  <c r="G30" i="1584"/>
  <c r="B30" i="1584"/>
  <c r="AJ29" i="1584"/>
  <c r="AG29" i="1584"/>
  <c r="AF29" i="1584"/>
  <c r="Z29" i="1584"/>
  <c r="J29" i="1584"/>
  <c r="G29" i="1584"/>
  <c r="B29" i="1584"/>
  <c r="AG28" i="1584"/>
  <c r="AF28" i="1584"/>
  <c r="Z28" i="1584"/>
  <c r="G28" i="1584"/>
  <c r="E28" i="1584"/>
  <c r="E29" i="1584" s="1"/>
  <c r="B28" i="1584"/>
  <c r="Z27" i="1584"/>
  <c r="C27" i="1584"/>
  <c r="AG26" i="1584"/>
  <c r="AF26" i="1584"/>
  <c r="Z26" i="1584"/>
  <c r="AP27" i="1584" s="1"/>
  <c r="X26" i="1584" s="1"/>
  <c r="G26" i="1584"/>
  <c r="B26" i="1584"/>
  <c r="AJ25" i="1584"/>
  <c r="AK24" i="1584" s="1"/>
  <c r="AG25" i="1584"/>
  <c r="AF25" i="1584"/>
  <c r="Z25" i="1584"/>
  <c r="J25" i="1584"/>
  <c r="G25" i="1584"/>
  <c r="B25" i="1584"/>
  <c r="AG24" i="1584"/>
  <c r="AF24" i="1584"/>
  <c r="Z24" i="1584"/>
  <c r="G24" i="1584"/>
  <c r="E24" i="1584"/>
  <c r="E25" i="1584" s="1"/>
  <c r="B24" i="1584"/>
  <c r="Z23" i="1584"/>
  <c r="AA23" i="1584" s="1"/>
  <c r="C23" i="1584"/>
  <c r="AG22" i="1584"/>
  <c r="AF22" i="1584"/>
  <c r="Z22" i="1584"/>
  <c r="G22" i="1584"/>
  <c r="B22" i="1584"/>
  <c r="AJ21" i="1584"/>
  <c r="AK21" i="1584" s="1"/>
  <c r="AG21" i="1584"/>
  <c r="AF21" i="1584"/>
  <c r="Z21" i="1584"/>
  <c r="J21" i="1584"/>
  <c r="G21" i="1584"/>
  <c r="B21" i="1584"/>
  <c r="AG20" i="1584"/>
  <c r="AF20" i="1584"/>
  <c r="Z20" i="1584"/>
  <c r="G20" i="1584"/>
  <c r="E20" i="1584"/>
  <c r="E21" i="1584" s="1"/>
  <c r="B20" i="1584"/>
  <c r="AP19" i="1584"/>
  <c r="X18" i="1584" s="1"/>
  <c r="Z19" i="1584"/>
  <c r="C19" i="1584"/>
  <c r="AG18" i="1584"/>
  <c r="AF18" i="1584"/>
  <c r="Z18" i="1584"/>
  <c r="AA18" i="1584" s="1"/>
  <c r="G18" i="1584"/>
  <c r="B18" i="1584"/>
  <c r="AJ17" i="1584"/>
  <c r="Z17" i="1584"/>
  <c r="J17" i="1584"/>
  <c r="G17" i="1584"/>
  <c r="B17" i="1584"/>
  <c r="Z16" i="1584"/>
  <c r="X16" i="1584"/>
  <c r="Y14" i="1584" s="1"/>
  <c r="G16" i="1584"/>
  <c r="E16" i="1584"/>
  <c r="E17" i="1584" s="1"/>
  <c r="B16" i="1584"/>
  <c r="AP15" i="1584"/>
  <c r="X14" i="1584" s="1"/>
  <c r="Z15" i="1584"/>
  <c r="AA15" i="1584" s="1"/>
  <c r="X15" i="1584"/>
  <c r="Z14" i="1584"/>
  <c r="AA14" i="1584" s="1"/>
  <c r="G14" i="1584"/>
  <c r="B14" i="1584"/>
  <c r="AJ13" i="1584"/>
  <c r="AK13" i="1584" s="1"/>
  <c r="AG13" i="1584"/>
  <c r="AF13" i="1584"/>
  <c r="Z13" i="1584"/>
  <c r="J13" i="1584"/>
  <c r="G13" i="1584"/>
  <c r="B13" i="1584"/>
  <c r="AG12" i="1584"/>
  <c r="AF12" i="1584"/>
  <c r="Z12" i="1584"/>
  <c r="G12" i="1584"/>
  <c r="E12" i="1584"/>
  <c r="E13" i="1584" s="1"/>
  <c r="B12" i="1584"/>
  <c r="Z11" i="1584"/>
  <c r="C11" i="1584"/>
  <c r="AG10" i="1584"/>
  <c r="AF10" i="1584"/>
  <c r="Z10" i="1584"/>
  <c r="G10" i="1584"/>
  <c r="B10" i="1584"/>
  <c r="AJ9" i="1584"/>
  <c r="AK9" i="1584" s="1"/>
  <c r="AG9" i="1584"/>
  <c r="AF9" i="1584"/>
  <c r="Z9" i="1584"/>
  <c r="J9" i="1584"/>
  <c r="G9" i="1584"/>
  <c r="B9" i="1584"/>
  <c r="AG8" i="1584"/>
  <c r="AF8" i="1584"/>
  <c r="Z8" i="1584"/>
  <c r="G8" i="1584"/>
  <c r="E8" i="1584"/>
  <c r="E9" i="1584" s="1"/>
  <c r="B8" i="1584"/>
  <c r="Z7" i="1584"/>
  <c r="AA7" i="1584" s="1"/>
  <c r="C7" i="1584"/>
  <c r="AG6" i="1584"/>
  <c r="AF6" i="1584"/>
  <c r="Z6" i="1584"/>
  <c r="AP7" i="1584" s="1"/>
  <c r="G6" i="1584"/>
  <c r="B6" i="1584"/>
  <c r="AD75" i="1584" l="1"/>
  <c r="AE75" i="1584"/>
  <c r="AI75" i="1584" s="1"/>
  <c r="AK25" i="1584"/>
  <c r="AL25" i="1584" s="1"/>
  <c r="AK56" i="1584"/>
  <c r="AL56" i="1584" s="1"/>
  <c r="AE59" i="1584"/>
  <c r="AF59" i="1584" s="1"/>
  <c r="AA31" i="1584"/>
  <c r="AC31" i="1584" s="1"/>
  <c r="AC33" i="1584" s="1"/>
  <c r="AE11" i="1584"/>
  <c r="AF11" i="1584" s="1"/>
  <c r="AA26" i="1584"/>
  <c r="AE19" i="1584"/>
  <c r="AG19" i="1584" s="1"/>
  <c r="AE55" i="1584"/>
  <c r="AI55" i="1584" s="1"/>
  <c r="AD43" i="1584"/>
  <c r="AK76" i="1584"/>
  <c r="AL76" i="1584" s="1"/>
  <c r="AL13" i="1584"/>
  <c r="AK12" i="1584"/>
  <c r="AL12" i="1584" s="1"/>
  <c r="AH31" i="1584"/>
  <c r="L19" i="1532"/>
  <c r="K19" i="1532"/>
  <c r="AA38" i="1584"/>
  <c r="AP39" i="1584"/>
  <c r="X38" i="1584" s="1"/>
  <c r="AA46" i="1584"/>
  <c r="AP47" i="1584"/>
  <c r="X46" i="1584" s="1"/>
  <c r="X12" i="1584"/>
  <c r="Y10" i="1584" s="1"/>
  <c r="AP23" i="1584"/>
  <c r="X22" i="1584" s="1"/>
  <c r="AA10" i="1584"/>
  <c r="AP11" i="1584"/>
  <c r="X34" i="1584"/>
  <c r="AP55" i="1584"/>
  <c r="X54" i="1584" s="1"/>
  <c r="AP63" i="1584"/>
  <c r="X62" i="1584" s="1"/>
  <c r="AA66" i="1584"/>
  <c r="AP67" i="1584"/>
  <c r="X66" i="1584" s="1"/>
  <c r="AP75" i="1584"/>
  <c r="X74" i="1584" s="1"/>
  <c r="AH11" i="1584"/>
  <c r="AH23" i="1584"/>
  <c r="AD23" i="1584"/>
  <c r="AE27" i="1584"/>
  <c r="AI27" i="1584" s="1"/>
  <c r="AD7" i="1584"/>
  <c r="AE47" i="1584"/>
  <c r="AG47" i="1584" s="1"/>
  <c r="AL61" i="1584"/>
  <c r="Y25" i="1584"/>
  <c r="AA39" i="1584"/>
  <c r="AA62" i="1584"/>
  <c r="AK65" i="1584"/>
  <c r="AL65" i="1584" s="1"/>
  <c r="Y29" i="1584"/>
  <c r="X24" i="1584"/>
  <c r="Y22" i="1584" s="1"/>
  <c r="AD15" i="1584"/>
  <c r="Y79" i="1584"/>
  <c r="AD11" i="1584"/>
  <c r="AK20" i="1584"/>
  <c r="AL20" i="1584" s="1"/>
  <c r="AL21" i="1584"/>
  <c r="AL24" i="1584"/>
  <c r="AD35" i="1584"/>
  <c r="AE39" i="1584"/>
  <c r="AG39" i="1584" s="1"/>
  <c r="AL45" i="1584"/>
  <c r="AD51" i="1584"/>
  <c r="AK60" i="1584"/>
  <c r="AL60" i="1584" s="1"/>
  <c r="AE63" i="1584"/>
  <c r="AG63" i="1584" s="1"/>
  <c r="AA74" i="1584"/>
  <c r="P86" i="1584"/>
  <c r="P92" i="1584" s="1"/>
  <c r="AD27" i="1584"/>
  <c r="AA34" i="1584"/>
  <c r="AH35" i="1584"/>
  <c r="AD39" i="1584"/>
  <c r="AA43" i="1584"/>
  <c r="AC43" i="1584" s="1"/>
  <c r="AA47" i="1584"/>
  <c r="AA54" i="1584"/>
  <c r="AL57" i="1584"/>
  <c r="AD59" i="1584"/>
  <c r="AA63" i="1584"/>
  <c r="AA71" i="1584"/>
  <c r="AC71" i="1584" s="1"/>
  <c r="AA75" i="1584"/>
  <c r="AH43" i="1584"/>
  <c r="AH7" i="1584"/>
  <c r="AE7" i="1584"/>
  <c r="AG7" i="1584" s="1"/>
  <c r="AL33" i="1584"/>
  <c r="AA35" i="1584"/>
  <c r="AE35" i="1584"/>
  <c r="X39" i="1584"/>
  <c r="AE43" i="1584"/>
  <c r="AI43" i="1584" s="1"/>
  <c r="AA55" i="1584"/>
  <c r="AD63" i="1584"/>
  <c r="AL64" i="1584"/>
  <c r="AH71" i="1584"/>
  <c r="Z4" i="1584"/>
  <c r="AA6" i="1584"/>
  <c r="AC7" i="1584" s="1"/>
  <c r="X7" i="1584"/>
  <c r="AL9" i="1584"/>
  <c r="AA11" i="1584"/>
  <c r="AD19" i="1584"/>
  <c r="AA22" i="1584"/>
  <c r="AC23" i="1584" s="1"/>
  <c r="AH39" i="1584"/>
  <c r="AH47" i="1584"/>
  <c r="AD47" i="1584"/>
  <c r="AD55" i="1584"/>
  <c r="X71" i="1584"/>
  <c r="AE71" i="1584"/>
  <c r="AI71" i="1584" s="1"/>
  <c r="AL77" i="1584"/>
  <c r="AC51" i="1584"/>
  <c r="AU51" i="1584" s="1"/>
  <c r="AH75" i="1584"/>
  <c r="T86" i="1584"/>
  <c r="T92" i="1584" s="1"/>
  <c r="Y81" i="1584"/>
  <c r="X6" i="1584"/>
  <c r="AC15" i="1584"/>
  <c r="AA19" i="1584"/>
  <c r="AC19" i="1584" s="1"/>
  <c r="X76" i="1584"/>
  <c r="Y74" i="1584" s="1"/>
  <c r="X56" i="1584"/>
  <c r="Y54" i="1584" s="1"/>
  <c r="X52" i="1584"/>
  <c r="Y50" i="1584" s="1"/>
  <c r="X63" i="1584"/>
  <c r="X8" i="1584"/>
  <c r="Y6" i="1584" s="1"/>
  <c r="AK8" i="1584"/>
  <c r="AL8" i="1584" s="1"/>
  <c r="X19" i="1584"/>
  <c r="AH19" i="1584"/>
  <c r="X27" i="1584"/>
  <c r="AK29" i="1584"/>
  <c r="AL29" i="1584" s="1"/>
  <c r="AK28" i="1584"/>
  <c r="AL28" i="1584" s="1"/>
  <c r="X28" i="1584"/>
  <c r="Y26" i="1584" s="1"/>
  <c r="AE31" i="1584"/>
  <c r="AI31" i="1584" s="1"/>
  <c r="AK68" i="1584"/>
  <c r="AL68" i="1584" s="1"/>
  <c r="X68" i="1584"/>
  <c r="Y66" i="1584" s="1"/>
  <c r="AK69" i="1584"/>
  <c r="AL69" i="1584" s="1"/>
  <c r="AG75" i="1584"/>
  <c r="AF75" i="1584"/>
  <c r="N92" i="1584"/>
  <c r="R92" i="1584"/>
  <c r="V92" i="1584"/>
  <c r="X23" i="1584"/>
  <c r="AH67" i="1584"/>
  <c r="X67" i="1584"/>
  <c r="AA67" i="1584"/>
  <c r="AD67" i="1584"/>
  <c r="O86" i="1584"/>
  <c r="O92" i="1584" s="1"/>
  <c r="S86" i="1584"/>
  <c r="S92" i="1584" s="1"/>
  <c r="W86" i="1584"/>
  <c r="W92" i="1584" s="1"/>
  <c r="X11" i="1584"/>
  <c r="AH27" i="1584"/>
  <c r="AD31" i="1584"/>
  <c r="X35" i="1584"/>
  <c r="AK41" i="1584"/>
  <c r="AL41" i="1584" s="1"/>
  <c r="AK40" i="1584"/>
  <c r="AL40" i="1584" s="1"/>
  <c r="X40" i="1584"/>
  <c r="Y38" i="1584" s="1"/>
  <c r="X47" i="1584"/>
  <c r="AK49" i="1584"/>
  <c r="AL49" i="1584" s="1"/>
  <c r="AK48" i="1584"/>
  <c r="AL48" i="1584" s="1"/>
  <c r="X48" i="1584"/>
  <c r="Y46" i="1584" s="1"/>
  <c r="X55" i="1584"/>
  <c r="AE67" i="1584"/>
  <c r="AI67" i="1584" s="1"/>
  <c r="AA27" i="1584"/>
  <c r="X20" i="1584"/>
  <c r="Y18" i="1584" s="1"/>
  <c r="AE23" i="1584"/>
  <c r="AI23" i="1584" s="1"/>
  <c r="AK32" i="1584"/>
  <c r="AL32" i="1584" s="1"/>
  <c r="AK37" i="1584"/>
  <c r="AL37" i="1584" s="1"/>
  <c r="AK36" i="1584"/>
  <c r="AL36" i="1584" s="1"/>
  <c r="X36" i="1584"/>
  <c r="Y34" i="1584" s="1"/>
  <c r="X58" i="1584"/>
  <c r="AA58" i="1584"/>
  <c r="AC59" i="1584" s="1"/>
  <c r="X60" i="1584"/>
  <c r="Y58" i="1584" s="1"/>
  <c r="AD71" i="1584"/>
  <c r="AK72" i="1584"/>
  <c r="AL72" i="1584" s="1"/>
  <c r="X72" i="1584"/>
  <c r="Y70" i="1584" s="1"/>
  <c r="AK73" i="1584"/>
  <c r="AL73" i="1584" s="1"/>
  <c r="X75" i="1584"/>
  <c r="M92" i="1584"/>
  <c r="Q92" i="1584"/>
  <c r="U92" i="1584"/>
  <c r="X51" i="1584"/>
  <c r="X59" i="1584"/>
  <c r="AH59" i="1584"/>
  <c r="X64" i="1584"/>
  <c r="Y62" i="1584" s="1"/>
  <c r="AK44" i="1584"/>
  <c r="AL44" i="1584" s="1"/>
  <c r="AI59" i="1584" l="1"/>
  <c r="AI19" i="1584"/>
  <c r="AG59" i="1584"/>
  <c r="P19" i="1532" s="1"/>
  <c r="Q19" i="1532"/>
  <c r="AF55" i="1584"/>
  <c r="AG11" i="1584"/>
  <c r="X10" i="1584"/>
  <c r="AC27" i="1584"/>
  <c r="AU27" i="1584" s="1"/>
  <c r="AC39" i="1584"/>
  <c r="AC41" i="1584" s="1"/>
  <c r="AG55" i="1584"/>
  <c r="AF71" i="1584"/>
  <c r="AG71" i="1584"/>
  <c r="AI11" i="1584"/>
  <c r="AF19" i="1584"/>
  <c r="AI47" i="1584"/>
  <c r="AF47" i="1584"/>
  <c r="J19" i="1532"/>
  <c r="AF39" i="1584"/>
  <c r="AC35" i="1584"/>
  <c r="AC37" i="1584" s="1"/>
  <c r="AI39" i="1584"/>
  <c r="AC11" i="1584"/>
  <c r="AC13" i="1584" s="1"/>
  <c r="AC75" i="1584"/>
  <c r="AU75" i="1584" s="1"/>
  <c r="AC67" i="1584"/>
  <c r="AU67" i="1584" s="1"/>
  <c r="AC73" i="1584"/>
  <c r="AU71" i="1584"/>
  <c r="AC63" i="1584"/>
  <c r="AU63" i="1584" s="1"/>
  <c r="AC47" i="1584"/>
  <c r="AC49" i="1584" s="1"/>
  <c r="T19" i="1532"/>
  <c r="AF63" i="1584"/>
  <c r="AI63" i="1584"/>
  <c r="AF27" i="1584"/>
  <c r="AG27" i="1584"/>
  <c r="AF7" i="1584"/>
  <c r="AU31" i="1584"/>
  <c r="AC25" i="1584"/>
  <c r="AU23" i="1584"/>
  <c r="AG43" i="1584"/>
  <c r="AF43" i="1584"/>
  <c r="AG35" i="1584"/>
  <c r="AF35" i="1584"/>
  <c r="AC53" i="1584"/>
  <c r="AC55" i="1584"/>
  <c r="AI7" i="1584"/>
  <c r="AH2" i="1584"/>
  <c r="AI35" i="1584"/>
  <c r="AG67" i="1584"/>
  <c r="AF67" i="1584"/>
  <c r="AF31" i="1584"/>
  <c r="AG31" i="1584"/>
  <c r="AC21" i="1584"/>
  <c r="AU19" i="1584"/>
  <c r="AE4" i="1584"/>
  <c r="AP4" i="1584"/>
  <c r="AC45" i="1584"/>
  <c r="AU43" i="1584"/>
  <c r="AU15" i="1584"/>
  <c r="AC17" i="1584"/>
  <c r="AC61" i="1584"/>
  <c r="AU59" i="1584"/>
  <c r="AG23" i="1584"/>
  <c r="AF23" i="1584"/>
  <c r="AC9" i="1584"/>
  <c r="AU7" i="1584"/>
  <c r="AU39" i="1584" l="1"/>
  <c r="M19" i="1532"/>
  <c r="S19" i="1532"/>
  <c r="O19" i="1532"/>
  <c r="R19" i="1532"/>
  <c r="H19" i="1532"/>
  <c r="G19" i="1532"/>
  <c r="AC29" i="1584"/>
  <c r="AU35" i="1584"/>
  <c r="AU11" i="1584"/>
  <c r="AC65" i="1584"/>
  <c r="I19" i="1532"/>
  <c r="AC77" i="1584"/>
  <c r="AC69" i="1584"/>
  <c r="AU47" i="1584"/>
  <c r="AG2" i="1584"/>
  <c r="AC2" i="1584" s="1"/>
  <c r="AU55" i="1584"/>
  <c r="AC57" i="1584"/>
  <c r="X19" i="1532" l="1"/>
  <c r="R6" i="1579" l="1"/>
  <c r="Y50" i="1532" l="1"/>
  <c r="Y3" i="1532" s="1"/>
  <c r="Y15" i="1532" s="1"/>
  <c r="W19" i="1532"/>
  <c r="W50" i="1532" s="1"/>
  <c r="W3" i="1532" s="1"/>
  <c r="W15" i="1532" s="1"/>
  <c r="U15" i="1532"/>
  <c r="N15" i="1532"/>
  <c r="K15" i="1532"/>
  <c r="E15" i="1532"/>
  <c r="I28" i="835"/>
  <c r="J33" i="835"/>
  <c r="J32" i="835"/>
  <c r="J29" i="835"/>
  <c r="I29" i="835"/>
  <c r="J30" i="835"/>
  <c r="F39" i="835"/>
  <c r="F40" i="835"/>
  <c r="F41" i="835"/>
  <c r="F42" i="835"/>
  <c r="F43" i="835"/>
  <c r="F38" i="835"/>
  <c r="E41" i="835"/>
  <c r="G41" i="835" s="1"/>
  <c r="E39" i="835"/>
  <c r="G39" i="835" s="1"/>
  <c r="E40" i="835"/>
  <c r="E42" i="835"/>
  <c r="G42" i="835" s="1"/>
  <c r="E43" i="835"/>
  <c r="G43" i="835" s="1"/>
  <c r="E38" i="835"/>
  <c r="G38" i="835" s="1"/>
  <c r="D39" i="835"/>
  <c r="D40" i="835"/>
  <c r="D41" i="835"/>
  <c r="D42" i="835"/>
  <c r="D43" i="835"/>
  <c r="D38" i="835"/>
  <c r="H38" i="835" s="1"/>
  <c r="J31" i="835"/>
  <c r="J34" i="835"/>
  <c r="I34" i="835"/>
  <c r="I33" i="835"/>
  <c r="I32" i="835"/>
  <c r="I31" i="835"/>
  <c r="I30" i="835"/>
  <c r="B31" i="835"/>
  <c r="B32" i="835" s="1"/>
  <c r="I27" i="835"/>
  <c r="I26" i="835"/>
  <c r="B28" i="835"/>
  <c r="I25" i="835"/>
  <c r="I24" i="835"/>
  <c r="I23" i="835"/>
  <c r="I22" i="835"/>
  <c r="B23" i="835"/>
  <c r="B24" i="835" s="1"/>
  <c r="B26" i="835"/>
  <c r="J28" i="835"/>
  <c r="J26" i="835"/>
  <c r="J27" i="835"/>
  <c r="J25" i="835"/>
  <c r="J22" i="835"/>
  <c r="J23" i="835"/>
  <c r="J24" i="835"/>
  <c r="J18" i="835"/>
  <c r="J19" i="835"/>
  <c r="J20" i="835"/>
  <c r="J21" i="835"/>
  <c r="I18" i="835"/>
  <c r="I19" i="835"/>
  <c r="K19" i="835" s="1"/>
  <c r="I20" i="835"/>
  <c r="I21" i="835"/>
  <c r="K21" i="835" s="1"/>
  <c r="J14" i="835"/>
  <c r="J7" i="835"/>
  <c r="J8" i="835"/>
  <c r="J9" i="835"/>
  <c r="J10" i="835"/>
  <c r="J11" i="835"/>
  <c r="J12" i="835"/>
  <c r="J13" i="835"/>
  <c r="J15" i="835"/>
  <c r="J16" i="835"/>
  <c r="J17" i="835"/>
  <c r="J6" i="835"/>
  <c r="I17" i="835"/>
  <c r="I16" i="835"/>
  <c r="I15" i="835"/>
  <c r="I14" i="835"/>
  <c r="I13" i="835"/>
  <c r="K16" i="835"/>
  <c r="I7" i="835"/>
  <c r="I8" i="835"/>
  <c r="I9" i="835"/>
  <c r="I10" i="835"/>
  <c r="I11" i="835"/>
  <c r="I12" i="835"/>
  <c r="I6" i="835"/>
  <c r="X12" i="835"/>
  <c r="X11" i="835"/>
  <c r="X7" i="835"/>
  <c r="X8" i="835"/>
  <c r="X9" i="835"/>
  <c r="X10" i="835"/>
  <c r="X6" i="835"/>
  <c r="R2" i="712"/>
  <c r="L2" i="712"/>
  <c r="K2" i="712"/>
  <c r="I2" i="712"/>
  <c r="D2" i="712"/>
  <c r="V95" i="625"/>
  <c r="U95" i="625"/>
  <c r="T95" i="625"/>
  <c r="S95" i="625"/>
  <c r="R95" i="625"/>
  <c r="Q95" i="625"/>
  <c r="P95" i="625"/>
  <c r="O95" i="625"/>
  <c r="N95" i="625"/>
  <c r="M95" i="625"/>
  <c r="L95" i="625"/>
  <c r="V93" i="625"/>
  <c r="V101" i="625" s="1"/>
  <c r="U93" i="625"/>
  <c r="U98" i="625" s="1"/>
  <c r="AE91" i="625"/>
  <c r="V91" i="625"/>
  <c r="U91" i="625"/>
  <c r="T91" i="625"/>
  <c r="S91" i="625"/>
  <c r="R91" i="625"/>
  <c r="Q91" i="625"/>
  <c r="P91" i="625"/>
  <c r="O91" i="625"/>
  <c r="N91" i="625"/>
  <c r="M91" i="625"/>
  <c r="L91" i="625"/>
  <c r="G91" i="625"/>
  <c r="Y89" i="625"/>
  <c r="I89" i="625"/>
  <c r="B89" i="625"/>
  <c r="AD88" i="625"/>
  <c r="AE88" i="625" s="1"/>
  <c r="Y88" i="625"/>
  <c r="F88" i="625"/>
  <c r="D88" i="625"/>
  <c r="D89" i="625" s="1"/>
  <c r="B88" i="625"/>
  <c r="AE87" i="625"/>
  <c r="Y87" i="625"/>
  <c r="AF87" i="625" s="1"/>
  <c r="AE86" i="625"/>
  <c r="Y86" i="625"/>
  <c r="Z86" i="625" s="1"/>
  <c r="B86" i="625"/>
  <c r="Y85" i="625"/>
  <c r="I85" i="625"/>
  <c r="D85" i="625"/>
  <c r="B85" i="625"/>
  <c r="AD84" i="625"/>
  <c r="AE84" i="625" s="1"/>
  <c r="Y84" i="625"/>
  <c r="Y83" i="625"/>
  <c r="W83" i="625" s="1"/>
  <c r="W84" i="625" s="1"/>
  <c r="X82" i="625" s="1"/>
  <c r="F84" i="625"/>
  <c r="B84" i="625"/>
  <c r="AE83" i="625"/>
  <c r="AE82" i="625"/>
  <c r="Y82" i="625"/>
  <c r="Z82" i="625" s="1"/>
  <c r="B82" i="625"/>
  <c r="Y81" i="625"/>
  <c r="I81" i="625"/>
  <c r="D81" i="625"/>
  <c r="B81" i="625"/>
  <c r="AD80" i="625"/>
  <c r="AE80" i="625" s="1"/>
  <c r="Y80" i="625"/>
  <c r="F80" i="625"/>
  <c r="B80" i="625"/>
  <c r="AE79" i="625"/>
  <c r="Y79" i="625"/>
  <c r="W79" i="625" s="1"/>
  <c r="W80" i="625" s="1"/>
  <c r="X78" i="625" s="1"/>
  <c r="AE78" i="625"/>
  <c r="Y78" i="625"/>
  <c r="Z78" i="625" s="1"/>
  <c r="B78" i="625"/>
  <c r="Y77" i="625"/>
  <c r="I77" i="625"/>
  <c r="B77" i="625"/>
  <c r="T76" i="625"/>
  <c r="T93" i="625" s="1"/>
  <c r="S76" i="625"/>
  <c r="S93" i="625" s="1"/>
  <c r="S101" i="625" s="1"/>
  <c r="S102" i="625" s="1"/>
  <c r="R76" i="625"/>
  <c r="R93" i="625" s="1"/>
  <c r="R98" i="625" s="1"/>
  <c r="R99" i="625" s="1"/>
  <c r="Q76" i="625"/>
  <c r="Q93" i="625" s="1"/>
  <c r="Q98" i="625" s="1"/>
  <c r="Q99" i="625" s="1"/>
  <c r="P76" i="625"/>
  <c r="P93" i="625" s="1"/>
  <c r="P98" i="625" s="1"/>
  <c r="P99" i="625" s="1"/>
  <c r="O76" i="625"/>
  <c r="O93" i="625" s="1"/>
  <c r="O98" i="625" s="1"/>
  <c r="O99" i="625" s="1"/>
  <c r="N76" i="625"/>
  <c r="N93" i="625" s="1"/>
  <c r="M76" i="625"/>
  <c r="M93" i="625" s="1"/>
  <c r="M101" i="625" s="1"/>
  <c r="M102" i="625" s="1"/>
  <c r="L76" i="625"/>
  <c r="L93" i="625" s="1"/>
  <c r="F76" i="625"/>
  <c r="D76" i="625"/>
  <c r="D77" i="625" s="1"/>
  <c r="B76" i="625"/>
  <c r="AE75" i="625"/>
  <c r="Y75" i="625"/>
  <c r="AF75" i="625" s="1"/>
  <c r="W75" i="625"/>
  <c r="W76" i="625" s="1"/>
  <c r="X74" i="625" s="1"/>
  <c r="AE74" i="625"/>
  <c r="Y74" i="625"/>
  <c r="Z74" i="625" s="1"/>
  <c r="B74" i="625"/>
  <c r="Y73" i="625"/>
  <c r="I73" i="625"/>
  <c r="B73" i="625"/>
  <c r="AD72" i="625"/>
  <c r="AE72" i="625" s="1"/>
  <c r="Y72" i="625"/>
  <c r="F72" i="625"/>
  <c r="D72" i="625"/>
  <c r="D73" i="625" s="1"/>
  <c r="B72" i="625"/>
  <c r="AE71" i="625"/>
  <c r="Y71" i="625"/>
  <c r="AF71" i="625" s="1"/>
  <c r="AE70" i="625"/>
  <c r="Y70" i="625"/>
  <c r="Z70" i="625" s="1"/>
  <c r="B70" i="625"/>
  <c r="Y69" i="625"/>
  <c r="I69" i="625"/>
  <c r="B69" i="625"/>
  <c r="AD68" i="625"/>
  <c r="AE68" i="625" s="1"/>
  <c r="Y68" i="625"/>
  <c r="AD69" i="625" s="1"/>
  <c r="AE69" i="625" s="1"/>
  <c r="F68" i="625"/>
  <c r="D68" i="625"/>
  <c r="D69" i="625" s="1"/>
  <c r="B68" i="625"/>
  <c r="AE67" i="625"/>
  <c r="Y67" i="625"/>
  <c r="Z67" i="625" s="1"/>
  <c r="AE66" i="625"/>
  <c r="Y66" i="625"/>
  <c r="Z66" i="625" s="1"/>
  <c r="B66" i="625"/>
  <c r="Y65" i="625"/>
  <c r="Y64" i="625"/>
  <c r="I65" i="625"/>
  <c r="D65" i="625"/>
  <c r="B65" i="625"/>
  <c r="AD64" i="625"/>
  <c r="AE64" i="625" s="1"/>
  <c r="F64" i="625"/>
  <c r="B64" i="625"/>
  <c r="AE63" i="625"/>
  <c r="Y63" i="625"/>
  <c r="Z63" i="625" s="1"/>
  <c r="AE62" i="625"/>
  <c r="Y62" i="625"/>
  <c r="Z62" i="625" s="1"/>
  <c r="B62" i="625"/>
  <c r="Y61" i="625"/>
  <c r="I61" i="625"/>
  <c r="D61" i="625"/>
  <c r="B61" i="625"/>
  <c r="AD60" i="625"/>
  <c r="AE60" i="625" s="1"/>
  <c r="Y60" i="625"/>
  <c r="F60" i="625"/>
  <c r="B60" i="625"/>
  <c r="AE59" i="625"/>
  <c r="Y59" i="625"/>
  <c r="AE58" i="625"/>
  <c r="Y58" i="625"/>
  <c r="Z58" i="625" s="1"/>
  <c r="B58" i="625"/>
  <c r="Y57" i="625"/>
  <c r="I57" i="625"/>
  <c r="D57" i="625"/>
  <c r="B57" i="625"/>
  <c r="AD56" i="625"/>
  <c r="AE56" i="625" s="1"/>
  <c r="Y56" i="625"/>
  <c r="F56" i="625"/>
  <c r="B56" i="625"/>
  <c r="AE55" i="625"/>
  <c r="Y55" i="625"/>
  <c r="AE54" i="625"/>
  <c r="Y54" i="625"/>
  <c r="Z54" i="625" s="1"/>
  <c r="B54" i="625"/>
  <c r="Y53" i="625"/>
  <c r="I53" i="625"/>
  <c r="D53" i="625"/>
  <c r="B53" i="625"/>
  <c r="AD52" i="625"/>
  <c r="AE52" i="625" s="1"/>
  <c r="Y52" i="625"/>
  <c r="Y51" i="625"/>
  <c r="F52" i="625"/>
  <c r="B52" i="625"/>
  <c r="AE51" i="625"/>
  <c r="AE50" i="625"/>
  <c r="Y50" i="625"/>
  <c r="Z50" i="625" s="1"/>
  <c r="B50" i="625"/>
  <c r="Y49" i="625"/>
  <c r="I49" i="625"/>
  <c r="B49" i="625"/>
  <c r="AD48" i="625"/>
  <c r="AE48" i="625" s="1"/>
  <c r="Y48" i="625"/>
  <c r="F48" i="625"/>
  <c r="D48" i="625"/>
  <c r="D49" i="625" s="1"/>
  <c r="B48" i="625"/>
  <c r="AE47" i="625"/>
  <c r="Y47" i="625"/>
  <c r="AF47" i="625" s="1"/>
  <c r="W47" i="625"/>
  <c r="W48" i="625" s="1"/>
  <c r="X46" i="625" s="1"/>
  <c r="AE46" i="625"/>
  <c r="Y46" i="625"/>
  <c r="Z46" i="625" s="1"/>
  <c r="B46" i="625"/>
  <c r="Y45" i="625"/>
  <c r="I45" i="625"/>
  <c r="B45" i="625"/>
  <c r="AD44" i="625"/>
  <c r="AE44" i="625" s="1"/>
  <c r="Y44" i="625"/>
  <c r="F44" i="625"/>
  <c r="D44" i="625"/>
  <c r="D45" i="625" s="1"/>
  <c r="B44" i="625"/>
  <c r="AE43" i="625"/>
  <c r="Y43" i="625"/>
  <c r="W43" i="625" s="1"/>
  <c r="W44" i="625" s="1"/>
  <c r="X42" i="625" s="1"/>
  <c r="AE42" i="625"/>
  <c r="Y42" i="625"/>
  <c r="Z42" i="625" s="1"/>
  <c r="B42" i="625"/>
  <c r="Y41" i="625"/>
  <c r="I41" i="625"/>
  <c r="B41" i="625"/>
  <c r="AD40" i="625"/>
  <c r="AE40" i="625" s="1"/>
  <c r="Y40" i="625"/>
  <c r="AD41" i="625" s="1"/>
  <c r="F40" i="625"/>
  <c r="D40" i="625"/>
  <c r="D41" i="625" s="1"/>
  <c r="B40" i="625"/>
  <c r="AE39" i="625"/>
  <c r="Y39" i="625"/>
  <c r="W39" i="625" s="1"/>
  <c r="W40" i="625" s="1"/>
  <c r="X38" i="625" s="1"/>
  <c r="AE38" i="625"/>
  <c r="Y38" i="625"/>
  <c r="Z38" i="625" s="1"/>
  <c r="B38" i="625"/>
  <c r="Y37" i="625"/>
  <c r="I37" i="625"/>
  <c r="B37" i="625"/>
  <c r="AD36" i="625"/>
  <c r="AE36" i="625" s="1"/>
  <c r="Y36" i="625"/>
  <c r="F36" i="625"/>
  <c r="D36" i="625"/>
  <c r="D37" i="625" s="1"/>
  <c r="B36" i="625"/>
  <c r="AE35" i="625"/>
  <c r="Y35" i="625"/>
  <c r="X37" i="625" s="1"/>
  <c r="AE34" i="625"/>
  <c r="Y34" i="625"/>
  <c r="Z34" i="625" s="1"/>
  <c r="B34" i="625"/>
  <c r="Y33" i="625"/>
  <c r="I33" i="625"/>
  <c r="B33" i="625"/>
  <c r="AD32" i="625"/>
  <c r="AE32" i="625" s="1"/>
  <c r="Y32" i="625"/>
  <c r="AD33" i="625" s="1"/>
  <c r="F32" i="625"/>
  <c r="D32" i="625"/>
  <c r="D33" i="625" s="1"/>
  <c r="B32" i="625"/>
  <c r="AE31" i="625"/>
  <c r="Y31" i="625"/>
  <c r="X33" i="625" s="1"/>
  <c r="AE30" i="625"/>
  <c r="Y30" i="625"/>
  <c r="Z30" i="625" s="1"/>
  <c r="B30" i="625"/>
  <c r="Y29" i="625"/>
  <c r="I29" i="625"/>
  <c r="B29" i="625"/>
  <c r="AD28" i="625"/>
  <c r="AE28" i="625" s="1"/>
  <c r="Y28" i="625"/>
  <c r="AC27" i="625" s="1"/>
  <c r="F28" i="625"/>
  <c r="D28" i="625"/>
  <c r="D29" i="625" s="1"/>
  <c r="B28" i="625"/>
  <c r="AE27" i="625"/>
  <c r="Y27" i="625"/>
  <c r="Z27" i="625" s="1"/>
  <c r="W27" i="625"/>
  <c r="W28" i="625" s="1"/>
  <c r="X26" i="625" s="1"/>
  <c r="AE26" i="625"/>
  <c r="Y26" i="625"/>
  <c r="Z26" i="625" s="1"/>
  <c r="B26" i="625"/>
  <c r="Y25" i="625"/>
  <c r="I25" i="625"/>
  <c r="B25" i="625"/>
  <c r="AD24" i="625"/>
  <c r="AE24" i="625" s="1"/>
  <c r="Y24" i="625"/>
  <c r="F24" i="625"/>
  <c r="D24" i="625"/>
  <c r="D25" i="625" s="1"/>
  <c r="B24" i="625"/>
  <c r="AE23" i="625"/>
  <c r="Y23" i="625"/>
  <c r="Z23" i="625" s="1"/>
  <c r="AE22" i="625"/>
  <c r="Y22" i="625"/>
  <c r="Z22" i="625" s="1"/>
  <c r="B22" i="625"/>
  <c r="Y21" i="625"/>
  <c r="I21" i="625"/>
  <c r="B21" i="625"/>
  <c r="AD20" i="625"/>
  <c r="AE20" i="625" s="1"/>
  <c r="Y20" i="625"/>
  <c r="AD21" i="625" s="1"/>
  <c r="F20" i="625"/>
  <c r="D20" i="625"/>
  <c r="D21" i="625" s="1"/>
  <c r="B20" i="625"/>
  <c r="AE19" i="625"/>
  <c r="Y19" i="625"/>
  <c r="AE18" i="625"/>
  <c r="Y18" i="625"/>
  <c r="Z18" i="625" s="1"/>
  <c r="B18" i="625"/>
  <c r="Y17" i="625"/>
  <c r="I17" i="625"/>
  <c r="B17" i="625"/>
  <c r="AD16" i="625"/>
  <c r="AE16" i="625" s="1"/>
  <c r="Y16" i="625"/>
  <c r="AD17" i="625" s="1"/>
  <c r="F16" i="625"/>
  <c r="D16" i="625"/>
  <c r="D17" i="625" s="1"/>
  <c r="B16" i="625"/>
  <c r="AE15" i="625"/>
  <c r="Y15" i="625"/>
  <c r="AF15" i="625" s="1"/>
  <c r="AE14" i="625"/>
  <c r="Y14" i="625"/>
  <c r="Z14" i="625" s="1"/>
  <c r="B14" i="625"/>
  <c r="Y13" i="625"/>
  <c r="I13" i="625"/>
  <c r="B13" i="625"/>
  <c r="AD12" i="625"/>
  <c r="AE12" i="625" s="1"/>
  <c r="Y12" i="625"/>
  <c r="F12" i="625"/>
  <c r="D12" i="625"/>
  <c r="D13" i="625" s="1"/>
  <c r="B12" i="625"/>
  <c r="AE11" i="625"/>
  <c r="Y11" i="625"/>
  <c r="AE10" i="625"/>
  <c r="Y10" i="625"/>
  <c r="Z10" i="625" s="1"/>
  <c r="B10" i="625"/>
  <c r="Y9" i="625"/>
  <c r="I9" i="625"/>
  <c r="B9" i="625"/>
  <c r="AD8" i="625"/>
  <c r="AE8" i="625" s="1"/>
  <c r="Y8" i="625"/>
  <c r="F8" i="625"/>
  <c r="D8" i="625"/>
  <c r="D9" i="625" s="1"/>
  <c r="B8" i="625"/>
  <c r="Y7" i="625"/>
  <c r="AF7" i="625" s="1"/>
  <c r="Y6" i="625"/>
  <c r="Z6" i="625" s="1"/>
  <c r="B6" i="625"/>
  <c r="V87" i="617"/>
  <c r="U87" i="617"/>
  <c r="T87" i="617"/>
  <c r="S87" i="617"/>
  <c r="R87" i="617"/>
  <c r="Q87" i="617"/>
  <c r="Q85" i="617"/>
  <c r="P87" i="617"/>
  <c r="O87" i="617"/>
  <c r="N87" i="617"/>
  <c r="M87" i="617"/>
  <c r="L87" i="617"/>
  <c r="V85" i="617"/>
  <c r="V91" i="617" s="1"/>
  <c r="U85" i="617"/>
  <c r="U88" i="617" s="1"/>
  <c r="T85" i="617"/>
  <c r="S85" i="617"/>
  <c r="S90" i="617" s="1"/>
  <c r="S91" i="617" s="1"/>
  <c r="R85" i="617"/>
  <c r="P85" i="617"/>
  <c r="P90" i="617" s="1"/>
  <c r="P91" i="617" s="1"/>
  <c r="O85" i="617"/>
  <c r="O90" i="617" s="1"/>
  <c r="O91" i="617" s="1"/>
  <c r="N85" i="617"/>
  <c r="M85" i="617"/>
  <c r="M93" i="617" s="1"/>
  <c r="M94" i="617" s="1"/>
  <c r="L85" i="617"/>
  <c r="AE83" i="617"/>
  <c r="V83" i="617"/>
  <c r="U83" i="617"/>
  <c r="T83" i="617"/>
  <c r="S83" i="617"/>
  <c r="R83" i="617"/>
  <c r="Q83" i="617"/>
  <c r="P83" i="617"/>
  <c r="O83" i="617"/>
  <c r="N83" i="617"/>
  <c r="M83" i="617"/>
  <c r="L83" i="617"/>
  <c r="G83" i="617"/>
  <c r="Y81" i="617"/>
  <c r="I81" i="617"/>
  <c r="B81" i="617"/>
  <c r="AD80" i="617"/>
  <c r="AE80" i="617" s="1"/>
  <c r="Y80" i="617"/>
  <c r="AD81" i="617" s="1"/>
  <c r="AE81" i="617" s="1"/>
  <c r="F80" i="617"/>
  <c r="D80" i="617"/>
  <c r="D81" i="617" s="1"/>
  <c r="B80" i="617"/>
  <c r="AE79" i="617"/>
  <c r="Y79" i="617"/>
  <c r="AF79" i="617" s="1"/>
  <c r="AE78" i="617"/>
  <c r="Y78" i="617"/>
  <c r="Z78" i="617" s="1"/>
  <c r="B78" i="617"/>
  <c r="Y77" i="617"/>
  <c r="I77" i="617"/>
  <c r="D77" i="617"/>
  <c r="B77" i="617"/>
  <c r="AD76" i="617"/>
  <c r="AE76" i="617" s="1"/>
  <c r="Y76" i="617"/>
  <c r="F76" i="617"/>
  <c r="B76" i="617"/>
  <c r="AE75" i="617"/>
  <c r="Y75" i="617"/>
  <c r="X77" i="617" s="1"/>
  <c r="AE74" i="617"/>
  <c r="Y74" i="617"/>
  <c r="Z74" i="617" s="1"/>
  <c r="B74" i="617"/>
  <c r="Y73" i="617"/>
  <c r="Y72" i="617"/>
  <c r="Y71" i="617"/>
  <c r="W71" i="617" s="1"/>
  <c r="W72" i="617" s="1"/>
  <c r="X70" i="617" s="1"/>
  <c r="I73" i="617"/>
  <c r="D73" i="617"/>
  <c r="B73" i="617"/>
  <c r="AD72" i="617"/>
  <c r="AE72" i="617" s="1"/>
  <c r="F72" i="617"/>
  <c r="B72" i="617"/>
  <c r="AE71" i="617"/>
  <c r="AE70" i="617"/>
  <c r="Y70" i="617"/>
  <c r="Z70" i="617" s="1"/>
  <c r="B70" i="617"/>
  <c r="Y69" i="617"/>
  <c r="I69" i="617"/>
  <c r="B69" i="617"/>
  <c r="AD68" i="617"/>
  <c r="AE68" i="617" s="1"/>
  <c r="Y68" i="617"/>
  <c r="AD69" i="617" s="1"/>
  <c r="AE69" i="617" s="1"/>
  <c r="F68" i="617"/>
  <c r="D68" i="617"/>
  <c r="D69" i="617" s="1"/>
  <c r="B68" i="617"/>
  <c r="AE67" i="617"/>
  <c r="Y67" i="617"/>
  <c r="AE66" i="617"/>
  <c r="Y66" i="617"/>
  <c r="Z66" i="617" s="1"/>
  <c r="B66" i="617"/>
  <c r="Y65" i="617"/>
  <c r="I65" i="617"/>
  <c r="B65" i="617"/>
  <c r="AD64" i="617"/>
  <c r="AE64" i="617" s="1"/>
  <c r="Y64" i="617"/>
  <c r="AD65" i="617" s="1"/>
  <c r="AE65" i="617" s="1"/>
  <c r="F64" i="617"/>
  <c r="D64" i="617"/>
  <c r="D65" i="617" s="1"/>
  <c r="B64" i="617"/>
  <c r="AE63" i="617"/>
  <c r="Y63" i="617"/>
  <c r="AE62" i="617"/>
  <c r="Y62" i="617"/>
  <c r="Z62" i="617" s="1"/>
  <c r="B62" i="617"/>
  <c r="Y61" i="617"/>
  <c r="I61" i="617"/>
  <c r="D61" i="617"/>
  <c r="B61" i="617"/>
  <c r="AD60" i="617"/>
  <c r="AE60" i="617" s="1"/>
  <c r="Y60" i="617"/>
  <c r="F60" i="617"/>
  <c r="B60" i="617"/>
  <c r="AE59" i="617"/>
  <c r="Y59" i="617"/>
  <c r="Z59" i="617" s="1"/>
  <c r="W59" i="617"/>
  <c r="AE58" i="617"/>
  <c r="Y58" i="617"/>
  <c r="Z58" i="617" s="1"/>
  <c r="X58" i="617"/>
  <c r="B58" i="617"/>
  <c r="Y57" i="617"/>
  <c r="I57" i="617"/>
  <c r="D57" i="617"/>
  <c r="B57" i="617"/>
  <c r="AD56" i="617"/>
  <c r="AE56" i="617" s="1"/>
  <c r="Y56" i="617"/>
  <c r="F56" i="617"/>
  <c r="B56" i="617"/>
  <c r="AE55" i="617"/>
  <c r="Y55" i="617"/>
  <c r="AE54" i="617"/>
  <c r="Y54" i="617"/>
  <c r="Z54" i="617" s="1"/>
  <c r="B54" i="617"/>
  <c r="Y53" i="617"/>
  <c r="I53" i="617"/>
  <c r="D53" i="617"/>
  <c r="B53" i="617"/>
  <c r="AD52" i="617"/>
  <c r="AE52" i="617" s="1"/>
  <c r="Y52" i="617"/>
  <c r="F52" i="617"/>
  <c r="B52" i="617"/>
  <c r="AE51" i="617"/>
  <c r="Y51" i="617"/>
  <c r="W51" i="617" s="1"/>
  <c r="W52" i="617" s="1"/>
  <c r="X50" i="617" s="1"/>
  <c r="AE50" i="617"/>
  <c r="Y50" i="617"/>
  <c r="Z50" i="617" s="1"/>
  <c r="B50" i="617"/>
  <c r="Y49" i="617"/>
  <c r="Y48" i="617"/>
  <c r="Y47" i="617"/>
  <c r="W47" i="617" s="1"/>
  <c r="W48" i="617" s="1"/>
  <c r="X46" i="617" s="1"/>
  <c r="I49" i="617"/>
  <c r="D49" i="617"/>
  <c r="B49" i="617"/>
  <c r="AD48" i="617"/>
  <c r="AE48" i="617" s="1"/>
  <c r="F48" i="617"/>
  <c r="B48" i="617"/>
  <c r="AE47" i="617"/>
  <c r="AE46" i="617"/>
  <c r="Y46" i="617"/>
  <c r="Z46" i="617" s="1"/>
  <c r="B46" i="617"/>
  <c r="Y45" i="617"/>
  <c r="I45" i="617"/>
  <c r="B45" i="617"/>
  <c r="AD44" i="617"/>
  <c r="AE44" i="617" s="1"/>
  <c r="Y44" i="617"/>
  <c r="F44" i="617"/>
  <c r="D44" i="617"/>
  <c r="D45" i="617" s="1"/>
  <c r="B44" i="617"/>
  <c r="AE43" i="617"/>
  <c r="Y43" i="617"/>
  <c r="Z43" i="617" s="1"/>
  <c r="AE42" i="617"/>
  <c r="Y42" i="617"/>
  <c r="Z42" i="617" s="1"/>
  <c r="B42" i="617"/>
  <c r="Y41" i="617"/>
  <c r="I41" i="617"/>
  <c r="B41" i="617"/>
  <c r="AD40" i="617"/>
  <c r="AE40" i="617" s="1"/>
  <c r="Y40" i="617"/>
  <c r="AD41" i="617" s="1"/>
  <c r="F40" i="617"/>
  <c r="D40" i="617"/>
  <c r="D41" i="617" s="1"/>
  <c r="B40" i="617"/>
  <c r="AE39" i="617"/>
  <c r="Y39" i="617"/>
  <c r="Z39" i="617" s="1"/>
  <c r="AE38" i="617"/>
  <c r="Y38" i="617"/>
  <c r="Z38" i="617" s="1"/>
  <c r="B38" i="617"/>
  <c r="Y37" i="617"/>
  <c r="I37" i="617"/>
  <c r="B37" i="617"/>
  <c r="AD36" i="617"/>
  <c r="AE36" i="617" s="1"/>
  <c r="Y36" i="617"/>
  <c r="AC35" i="617" s="1"/>
  <c r="F36" i="617"/>
  <c r="D36" i="617"/>
  <c r="D37" i="617" s="1"/>
  <c r="B36" i="617"/>
  <c r="AE35" i="617"/>
  <c r="Y35" i="617"/>
  <c r="AF35" i="617" s="1"/>
  <c r="W35" i="617"/>
  <c r="W36" i="617" s="1"/>
  <c r="X34" i="617" s="1"/>
  <c r="AE34" i="617"/>
  <c r="Y34" i="617"/>
  <c r="Z34" i="617" s="1"/>
  <c r="B34" i="617"/>
  <c r="Y33" i="617"/>
  <c r="I33" i="617"/>
  <c r="B33" i="617"/>
  <c r="AD32" i="617"/>
  <c r="AE32" i="617" s="1"/>
  <c r="Y32" i="617"/>
  <c r="AD33" i="617" s="1"/>
  <c r="AE33" i="617" s="1"/>
  <c r="F32" i="617"/>
  <c r="D32" i="617"/>
  <c r="D33" i="617" s="1"/>
  <c r="B32" i="617"/>
  <c r="AE31" i="617"/>
  <c r="Y31" i="617"/>
  <c r="AE30" i="617"/>
  <c r="Y30" i="617"/>
  <c r="Z30" i="617" s="1"/>
  <c r="B30" i="617"/>
  <c r="Y29" i="617"/>
  <c r="I29" i="617"/>
  <c r="B29" i="617"/>
  <c r="AD28" i="617"/>
  <c r="AE28" i="617" s="1"/>
  <c r="Y28" i="617"/>
  <c r="AD29" i="617" s="1"/>
  <c r="AE29" i="617" s="1"/>
  <c r="F28" i="617"/>
  <c r="D28" i="617"/>
  <c r="D29" i="617" s="1"/>
  <c r="B28" i="617"/>
  <c r="AE27" i="617"/>
  <c r="Y27" i="617"/>
  <c r="AF27" i="617" s="1"/>
  <c r="AE26" i="617"/>
  <c r="Y26" i="617"/>
  <c r="Z26" i="617" s="1"/>
  <c r="B26" i="617"/>
  <c r="Y25" i="617"/>
  <c r="I25" i="617"/>
  <c r="B25" i="617"/>
  <c r="AD24" i="617"/>
  <c r="AE24" i="617" s="1"/>
  <c r="Y24" i="617"/>
  <c r="AD25" i="617" s="1"/>
  <c r="AE25" i="617" s="1"/>
  <c r="Y23" i="617"/>
  <c r="X25" i="617" s="1"/>
  <c r="F24" i="617"/>
  <c r="D24" i="617"/>
  <c r="D25" i="617" s="1"/>
  <c r="B24" i="617"/>
  <c r="AE23" i="617"/>
  <c r="AE22" i="617"/>
  <c r="Y22" i="617"/>
  <c r="Z22" i="617" s="1"/>
  <c r="B22" i="617"/>
  <c r="Y21" i="617"/>
  <c r="I21" i="617"/>
  <c r="B21" i="617"/>
  <c r="AD20" i="617"/>
  <c r="AE20" i="617" s="1"/>
  <c r="Y20" i="617"/>
  <c r="F20" i="617"/>
  <c r="D20" i="617"/>
  <c r="D21" i="617" s="1"/>
  <c r="B20" i="617"/>
  <c r="AE19" i="617"/>
  <c r="Y19" i="617"/>
  <c r="AF19" i="617" s="1"/>
  <c r="AE18" i="617"/>
  <c r="Y18" i="617"/>
  <c r="Z18" i="617" s="1"/>
  <c r="B18" i="617"/>
  <c r="Y17" i="617"/>
  <c r="I17" i="617"/>
  <c r="B17" i="617"/>
  <c r="AD16" i="617"/>
  <c r="AE16" i="617" s="1"/>
  <c r="Y16" i="617"/>
  <c r="AD17" i="617" s="1"/>
  <c r="AE17" i="617" s="1"/>
  <c r="F16" i="617"/>
  <c r="D16" i="617"/>
  <c r="D17" i="617" s="1"/>
  <c r="B16" i="617"/>
  <c r="AE15" i="617"/>
  <c r="Y15" i="617"/>
  <c r="Z15" i="617" s="1"/>
  <c r="AE14" i="617"/>
  <c r="Y14" i="617"/>
  <c r="Z14" i="617" s="1"/>
  <c r="B14" i="617"/>
  <c r="Y13" i="617"/>
  <c r="I13" i="617"/>
  <c r="B13" i="617"/>
  <c r="AD12" i="617"/>
  <c r="AE12" i="617" s="1"/>
  <c r="Y12" i="617"/>
  <c r="F12" i="617"/>
  <c r="D12" i="617"/>
  <c r="D13" i="617" s="1"/>
  <c r="B12" i="617"/>
  <c r="AE11" i="617"/>
  <c r="Y11" i="617"/>
  <c r="AF11" i="617" s="1"/>
  <c r="AE10" i="617"/>
  <c r="Y10" i="617"/>
  <c r="Z10" i="617" s="1"/>
  <c r="B10" i="617"/>
  <c r="Y9" i="617"/>
  <c r="I9" i="617"/>
  <c r="B9" i="617"/>
  <c r="AD8" i="617"/>
  <c r="Y8" i="617"/>
  <c r="AD9" i="617" s="1"/>
  <c r="AE9" i="617" s="1"/>
  <c r="Y7" i="617"/>
  <c r="W7" i="617" s="1"/>
  <c r="W8" i="617" s="1"/>
  <c r="X6" i="617" s="1"/>
  <c r="F8" i="617"/>
  <c r="D8" i="617"/>
  <c r="D9" i="617" s="1"/>
  <c r="B8" i="617"/>
  <c r="Y6" i="617"/>
  <c r="Z6" i="617" s="1"/>
  <c r="B6" i="617"/>
  <c r="V103" i="535"/>
  <c r="U103" i="535"/>
  <c r="T103" i="535"/>
  <c r="S103" i="535"/>
  <c r="R103" i="535"/>
  <c r="R101" i="535"/>
  <c r="R109" i="535" s="1"/>
  <c r="R110" i="535" s="1"/>
  <c r="Q103" i="535"/>
  <c r="P103" i="535"/>
  <c r="O103" i="535"/>
  <c r="N103" i="535"/>
  <c r="N101" i="535"/>
  <c r="N109" i="535" s="1"/>
  <c r="N110" i="535" s="1"/>
  <c r="M103" i="535"/>
  <c r="L103" i="535"/>
  <c r="V101" i="535"/>
  <c r="V104" i="535" s="1"/>
  <c r="U101" i="535"/>
  <c r="T101" i="535"/>
  <c r="T107" i="535" s="1"/>
  <c r="S101" i="535"/>
  <c r="S106" i="535" s="1"/>
  <c r="S107" i="535" s="1"/>
  <c r="Q101" i="535"/>
  <c r="Q106" i="535" s="1"/>
  <c r="Q107" i="535" s="1"/>
  <c r="P101" i="535"/>
  <c r="O101" i="535"/>
  <c r="AE99" i="535"/>
  <c r="V99" i="535"/>
  <c r="U99" i="535"/>
  <c r="T99" i="535"/>
  <c r="S99" i="535"/>
  <c r="R99" i="535"/>
  <c r="Q99" i="535"/>
  <c r="P99" i="535"/>
  <c r="O99" i="535"/>
  <c r="N99" i="535"/>
  <c r="M99" i="535"/>
  <c r="L99" i="535"/>
  <c r="Y97" i="535"/>
  <c r="I97" i="535"/>
  <c r="B97" i="535"/>
  <c r="AE96" i="535"/>
  <c r="Y96" i="535"/>
  <c r="AD97" i="535" s="1"/>
  <c r="AE97" i="535" s="1"/>
  <c r="F96" i="535"/>
  <c r="D96" i="535"/>
  <c r="D97" i="535" s="1"/>
  <c r="B96" i="535"/>
  <c r="AE95" i="535"/>
  <c r="Y95" i="535"/>
  <c r="AF95" i="535" s="1"/>
  <c r="W95" i="535"/>
  <c r="W96" i="535" s="1"/>
  <c r="X94" i="535" s="1"/>
  <c r="AE94" i="535"/>
  <c r="Y94" i="535"/>
  <c r="Z94" i="535" s="1"/>
  <c r="B94" i="535"/>
  <c r="Y93" i="535"/>
  <c r="I93" i="535"/>
  <c r="B93" i="535"/>
  <c r="AE92" i="535"/>
  <c r="Y92" i="535"/>
  <c r="AD93" i="535" s="1"/>
  <c r="AE93" i="535" s="1"/>
  <c r="F92" i="535"/>
  <c r="D92" i="535"/>
  <c r="D93" i="535" s="1"/>
  <c r="B92" i="535"/>
  <c r="AE91" i="535"/>
  <c r="Y91" i="535"/>
  <c r="AG93" i="535" s="1"/>
  <c r="AE90" i="535"/>
  <c r="Y90" i="535"/>
  <c r="Z90" i="535" s="1"/>
  <c r="B90" i="535"/>
  <c r="Y89" i="535"/>
  <c r="I89" i="535"/>
  <c r="B89" i="535"/>
  <c r="AE88" i="535"/>
  <c r="Y88" i="535"/>
  <c r="AD89" i="535" s="1"/>
  <c r="AE89" i="535" s="1"/>
  <c r="F88" i="535"/>
  <c r="D88" i="535"/>
  <c r="D89" i="535" s="1"/>
  <c r="B88" i="535"/>
  <c r="AE87" i="535"/>
  <c r="Y87" i="535"/>
  <c r="Z87" i="535" s="1"/>
  <c r="AE86" i="535"/>
  <c r="Y86" i="535"/>
  <c r="Z86" i="535" s="1"/>
  <c r="B86" i="535"/>
  <c r="Y85" i="535"/>
  <c r="I85" i="535"/>
  <c r="D85" i="535"/>
  <c r="B85" i="535"/>
  <c r="AE84" i="535"/>
  <c r="Y84" i="535"/>
  <c r="F84" i="535"/>
  <c r="B84" i="535"/>
  <c r="AE83" i="535"/>
  <c r="Y83" i="535"/>
  <c r="AE82" i="535"/>
  <c r="Y82" i="535"/>
  <c r="Z82" i="535" s="1"/>
  <c r="B82" i="535"/>
  <c r="Y81" i="535"/>
  <c r="I81" i="535"/>
  <c r="B81" i="535"/>
  <c r="AE80" i="535"/>
  <c r="Y80" i="535"/>
  <c r="AD81" i="535" s="1"/>
  <c r="AE81" i="535" s="1"/>
  <c r="F80" i="535"/>
  <c r="D80" i="535"/>
  <c r="D81" i="535" s="1"/>
  <c r="B80" i="535"/>
  <c r="AE79" i="535"/>
  <c r="Y79" i="535"/>
  <c r="AG81" i="535" s="1"/>
  <c r="AE78" i="535"/>
  <c r="Y78" i="535"/>
  <c r="Z78" i="535" s="1"/>
  <c r="B78" i="535"/>
  <c r="Y77" i="535"/>
  <c r="I77" i="535"/>
  <c r="B77" i="535"/>
  <c r="AE76" i="535"/>
  <c r="Y76" i="535"/>
  <c r="F76" i="535"/>
  <c r="D76" i="535"/>
  <c r="D77" i="535" s="1"/>
  <c r="B76" i="535"/>
  <c r="AE75" i="535"/>
  <c r="Y75" i="535"/>
  <c r="AE74" i="535"/>
  <c r="Y74" i="535"/>
  <c r="Z74" i="535" s="1"/>
  <c r="B74" i="535"/>
  <c r="Y73" i="535"/>
  <c r="Y72" i="535"/>
  <c r="I73" i="535"/>
  <c r="D73" i="535"/>
  <c r="B73" i="535"/>
  <c r="AE72" i="535"/>
  <c r="F72" i="535"/>
  <c r="B72" i="535"/>
  <c r="AE71" i="535"/>
  <c r="Y71" i="535"/>
  <c r="AE70" i="535"/>
  <c r="Y70" i="535"/>
  <c r="Z70" i="535" s="1"/>
  <c r="B70" i="535"/>
  <c r="Y69" i="535"/>
  <c r="I69" i="535"/>
  <c r="B69" i="535"/>
  <c r="AE68" i="535"/>
  <c r="M68" i="535"/>
  <c r="L68" i="535"/>
  <c r="F68" i="535"/>
  <c r="D68" i="535"/>
  <c r="D69" i="535" s="1"/>
  <c r="B68" i="535"/>
  <c r="AE67" i="535"/>
  <c r="Y67" i="535"/>
  <c r="AG69" i="535" s="1"/>
  <c r="W67" i="535"/>
  <c r="AE66" i="535"/>
  <c r="Y66" i="535"/>
  <c r="Z66" i="535" s="1"/>
  <c r="X66" i="535"/>
  <c r="B66" i="535"/>
  <c r="Y65" i="535"/>
  <c r="I65" i="535"/>
  <c r="B65" i="535"/>
  <c r="AE64" i="535"/>
  <c r="Y64" i="535"/>
  <c r="AD65" i="535" s="1"/>
  <c r="AE65" i="535" s="1"/>
  <c r="F64" i="535"/>
  <c r="D64" i="535"/>
  <c r="D65" i="535" s="1"/>
  <c r="B64" i="535"/>
  <c r="AE63" i="535"/>
  <c r="Y63" i="535"/>
  <c r="AG65" i="535" s="1"/>
  <c r="AE62" i="535"/>
  <c r="Y62" i="535"/>
  <c r="Z62" i="535" s="1"/>
  <c r="B62" i="535"/>
  <c r="Y61" i="535"/>
  <c r="I61" i="535"/>
  <c r="D61" i="535"/>
  <c r="B61" i="535"/>
  <c r="AE60" i="535"/>
  <c r="M60" i="535"/>
  <c r="L60" i="535"/>
  <c r="F60" i="535"/>
  <c r="B60" i="535"/>
  <c r="AE59" i="535"/>
  <c r="Y59" i="535"/>
  <c r="W59" i="535"/>
  <c r="AE58" i="535"/>
  <c r="Y58" i="535"/>
  <c r="Z58" i="535" s="1"/>
  <c r="X58" i="535"/>
  <c r="B58" i="535"/>
  <c r="Y57" i="535"/>
  <c r="I57" i="535"/>
  <c r="D57" i="535"/>
  <c r="B57" i="535"/>
  <c r="AE56" i="535"/>
  <c r="Y56" i="535"/>
  <c r="F56" i="535"/>
  <c r="B56" i="535"/>
  <c r="AE55" i="535"/>
  <c r="Y55" i="535"/>
  <c r="AE54" i="535"/>
  <c r="Y54" i="535"/>
  <c r="Z54" i="535" s="1"/>
  <c r="B54" i="535"/>
  <c r="Y53" i="535"/>
  <c r="I53" i="535"/>
  <c r="D53" i="535"/>
  <c r="B53" i="535"/>
  <c r="AE52" i="535"/>
  <c r="Y52" i="535"/>
  <c r="F52" i="535"/>
  <c r="B52" i="535"/>
  <c r="AE51" i="535"/>
  <c r="Y51" i="535"/>
  <c r="Z51" i="535" s="1"/>
  <c r="W51" i="535"/>
  <c r="AE50" i="535"/>
  <c r="Y50" i="535"/>
  <c r="Z50" i="535" s="1"/>
  <c r="X50" i="535"/>
  <c r="B50" i="535"/>
  <c r="Y49" i="535"/>
  <c r="I49" i="535"/>
  <c r="D49" i="535"/>
  <c r="B49" i="535"/>
  <c r="AE48" i="535"/>
  <c r="Y48" i="535"/>
  <c r="F48" i="535"/>
  <c r="B48" i="535"/>
  <c r="AE47" i="535"/>
  <c r="Y47" i="535"/>
  <c r="AE46" i="535"/>
  <c r="Y46" i="535"/>
  <c r="Z46" i="535" s="1"/>
  <c r="B46" i="535"/>
  <c r="Y45" i="535"/>
  <c r="I45" i="535"/>
  <c r="B45" i="535"/>
  <c r="AE44" i="535"/>
  <c r="Y44" i="535"/>
  <c r="AC43" i="535" s="1"/>
  <c r="F44" i="535"/>
  <c r="D44" i="535"/>
  <c r="D45" i="535" s="1"/>
  <c r="B44" i="535"/>
  <c r="AE43" i="535"/>
  <c r="Y43" i="535"/>
  <c r="W43" i="535"/>
  <c r="AE42" i="535"/>
  <c r="Y42" i="535"/>
  <c r="Z42" i="535" s="1"/>
  <c r="X42" i="535"/>
  <c r="B42" i="535"/>
  <c r="Y41" i="535"/>
  <c r="I41" i="535"/>
  <c r="B41" i="535"/>
  <c r="AE40" i="535"/>
  <c r="Y40" i="535"/>
  <c r="AD41" i="535" s="1"/>
  <c r="AE41" i="535" s="1"/>
  <c r="F40" i="535"/>
  <c r="D40" i="535"/>
  <c r="D41" i="535" s="1"/>
  <c r="B40" i="535"/>
  <c r="AE39" i="535"/>
  <c r="Y39" i="535"/>
  <c r="AE38" i="535"/>
  <c r="Y38" i="535"/>
  <c r="Z38" i="535" s="1"/>
  <c r="B38" i="535"/>
  <c r="Y37" i="535"/>
  <c r="I37" i="535"/>
  <c r="B37" i="535"/>
  <c r="AE36" i="535"/>
  <c r="Y36" i="535"/>
  <c r="AD37" i="535" s="1"/>
  <c r="AE37" i="535" s="1"/>
  <c r="F36" i="535"/>
  <c r="D36" i="535"/>
  <c r="D37" i="535" s="1"/>
  <c r="B36" i="535"/>
  <c r="AE35" i="535"/>
  <c r="Y35" i="535"/>
  <c r="AE34" i="535"/>
  <c r="Y34" i="535"/>
  <c r="Z34" i="535" s="1"/>
  <c r="B34" i="535"/>
  <c r="Y33" i="535"/>
  <c r="I33" i="535"/>
  <c r="B33" i="535"/>
  <c r="AE32" i="535"/>
  <c r="Y32" i="535"/>
  <c r="F32" i="535"/>
  <c r="D32" i="535"/>
  <c r="D33" i="535" s="1"/>
  <c r="B32" i="535"/>
  <c r="AE31" i="535"/>
  <c r="Y31" i="535"/>
  <c r="W31" i="535"/>
  <c r="W32" i="535" s="1"/>
  <c r="X30" i="535" s="1"/>
  <c r="AE30" i="535"/>
  <c r="Y30" i="535"/>
  <c r="Z30" i="535" s="1"/>
  <c r="B30" i="535"/>
  <c r="Y29" i="535"/>
  <c r="I29" i="535"/>
  <c r="B29" i="535"/>
  <c r="AE28" i="535"/>
  <c r="Y28" i="535"/>
  <c r="AD29" i="535" s="1"/>
  <c r="AE29" i="535" s="1"/>
  <c r="F28" i="535"/>
  <c r="D28" i="535"/>
  <c r="D29" i="535" s="1"/>
  <c r="B28" i="535"/>
  <c r="AE27" i="535"/>
  <c r="Y27" i="535"/>
  <c r="AE26" i="535"/>
  <c r="Y26" i="535"/>
  <c r="Z26" i="535" s="1"/>
  <c r="B26" i="535"/>
  <c r="Y25" i="535"/>
  <c r="I25" i="535"/>
  <c r="B25" i="535"/>
  <c r="AE24" i="535"/>
  <c r="Y24" i="535"/>
  <c r="AD25" i="535" s="1"/>
  <c r="AE25" i="535" s="1"/>
  <c r="F24" i="535"/>
  <c r="D24" i="535"/>
  <c r="D25" i="535" s="1"/>
  <c r="B24" i="535"/>
  <c r="AE23" i="535"/>
  <c r="Y23" i="535"/>
  <c r="AE22" i="535"/>
  <c r="Y22" i="535"/>
  <c r="Z22" i="535" s="1"/>
  <c r="B22" i="535"/>
  <c r="Y21" i="535"/>
  <c r="I21" i="535"/>
  <c r="B21" i="535"/>
  <c r="AE20" i="535"/>
  <c r="Y20" i="535"/>
  <c r="AD21" i="535" s="1"/>
  <c r="AE21" i="535" s="1"/>
  <c r="F20" i="535"/>
  <c r="D20" i="535"/>
  <c r="D21" i="535" s="1"/>
  <c r="B20" i="535"/>
  <c r="AE19" i="535"/>
  <c r="Y19" i="535"/>
  <c r="Z19" i="535" s="1"/>
  <c r="AE18" i="535"/>
  <c r="Y18" i="535"/>
  <c r="Z18" i="535" s="1"/>
  <c r="B18" i="535"/>
  <c r="Y17" i="535"/>
  <c r="I17" i="535"/>
  <c r="B17" i="535"/>
  <c r="AE16" i="535"/>
  <c r="Y16" i="535"/>
  <c r="F16" i="535"/>
  <c r="D16" i="535"/>
  <c r="D17" i="535" s="1"/>
  <c r="B16" i="535"/>
  <c r="AE15" i="535"/>
  <c r="Y15" i="535"/>
  <c r="Z15" i="535" s="1"/>
  <c r="AE14" i="535"/>
  <c r="Y14" i="535"/>
  <c r="Z14" i="535" s="1"/>
  <c r="B14" i="535"/>
  <c r="Y13" i="535"/>
  <c r="I13" i="535"/>
  <c r="B13" i="535"/>
  <c r="AE12" i="535"/>
  <c r="Y12" i="535"/>
  <c r="AD13" i="535" s="1"/>
  <c r="AE13" i="535" s="1"/>
  <c r="F12" i="535"/>
  <c r="D12" i="535"/>
  <c r="D13" i="535" s="1"/>
  <c r="B12" i="535"/>
  <c r="AE11" i="535"/>
  <c r="Y11" i="535"/>
  <c r="AE10" i="535"/>
  <c r="Y10" i="535"/>
  <c r="Z10" i="535" s="1"/>
  <c r="B10" i="535"/>
  <c r="Y9" i="535"/>
  <c r="I9" i="535"/>
  <c r="B9" i="535"/>
  <c r="Y8" i="535"/>
  <c r="F8" i="535"/>
  <c r="D8" i="535"/>
  <c r="D9" i="535" s="1"/>
  <c r="B8" i="535"/>
  <c r="Y7" i="535"/>
  <c r="AF7" i="535" s="1"/>
  <c r="Y6" i="535"/>
  <c r="Z6" i="535" s="1"/>
  <c r="B6" i="535"/>
  <c r="V91" i="515"/>
  <c r="U91" i="515"/>
  <c r="T91" i="515"/>
  <c r="S91" i="515"/>
  <c r="R91" i="515"/>
  <c r="Q91" i="515"/>
  <c r="P91" i="515"/>
  <c r="O91" i="515"/>
  <c r="N91" i="515"/>
  <c r="M91" i="515"/>
  <c r="L91" i="515"/>
  <c r="V89" i="515"/>
  <c r="U89" i="515"/>
  <c r="U98" i="515" s="1"/>
  <c r="T89" i="515"/>
  <c r="S89" i="515"/>
  <c r="R89" i="515"/>
  <c r="R97" i="515" s="1"/>
  <c r="Q89" i="515"/>
  <c r="Q94" i="515" s="1"/>
  <c r="Q95" i="515" s="1"/>
  <c r="P89" i="515"/>
  <c r="P94" i="515" s="1"/>
  <c r="P95" i="515" s="1"/>
  <c r="O89" i="515"/>
  <c r="N89" i="515"/>
  <c r="M89" i="515"/>
  <c r="M97" i="515" s="1"/>
  <c r="L89" i="515"/>
  <c r="AE87" i="515"/>
  <c r="V87" i="515"/>
  <c r="U87" i="515"/>
  <c r="T87" i="515"/>
  <c r="S87" i="515"/>
  <c r="R87" i="515"/>
  <c r="Q87" i="515"/>
  <c r="P87" i="515"/>
  <c r="O87" i="515"/>
  <c r="N87" i="515"/>
  <c r="M87" i="515"/>
  <c r="L87" i="515"/>
  <c r="Y85" i="515"/>
  <c r="I85" i="515"/>
  <c r="B85" i="515"/>
  <c r="AE84" i="515"/>
  <c r="Y84" i="515"/>
  <c r="F84" i="515"/>
  <c r="D84" i="515"/>
  <c r="D85" i="515" s="1"/>
  <c r="B84" i="515"/>
  <c r="AE83" i="515"/>
  <c r="Y83" i="515"/>
  <c r="AG85" i="515" s="1"/>
  <c r="W83" i="515"/>
  <c r="W84" i="515" s="1"/>
  <c r="X82" i="515" s="1"/>
  <c r="AE82" i="515"/>
  <c r="Y82" i="515"/>
  <c r="Z82" i="515" s="1"/>
  <c r="B82" i="515"/>
  <c r="Y81" i="515"/>
  <c r="I81" i="515"/>
  <c r="B81" i="515"/>
  <c r="AE80" i="515"/>
  <c r="Y80" i="515"/>
  <c r="AD81" i="515" s="1"/>
  <c r="AE81" i="515" s="1"/>
  <c r="F80" i="515"/>
  <c r="D80" i="515"/>
  <c r="D81" i="515" s="1"/>
  <c r="B80" i="515"/>
  <c r="AE79" i="515"/>
  <c r="Y79" i="515"/>
  <c r="AF79" i="515" s="1"/>
  <c r="AE78" i="515"/>
  <c r="Y78" i="515"/>
  <c r="Z78" i="515" s="1"/>
  <c r="B78" i="515"/>
  <c r="Y77" i="515"/>
  <c r="I77" i="515"/>
  <c r="B77" i="515"/>
  <c r="AE76" i="515"/>
  <c r="Y76" i="515"/>
  <c r="F76" i="515"/>
  <c r="D76" i="515"/>
  <c r="D77" i="515" s="1"/>
  <c r="B76" i="515"/>
  <c r="AE75" i="515"/>
  <c r="Y75" i="515"/>
  <c r="AG77" i="515" s="1"/>
  <c r="W75" i="515"/>
  <c r="W76" i="515" s="1"/>
  <c r="X74" i="515" s="1"/>
  <c r="AE74" i="515"/>
  <c r="Y74" i="515"/>
  <c r="Z74" i="515" s="1"/>
  <c r="B74" i="515"/>
  <c r="Y73" i="515"/>
  <c r="I73" i="515"/>
  <c r="D73" i="515"/>
  <c r="B73" i="515"/>
  <c r="AE72" i="515"/>
  <c r="Y72" i="515"/>
  <c r="F72" i="515"/>
  <c r="B72" i="515"/>
  <c r="AE71" i="515"/>
  <c r="Y71" i="515"/>
  <c r="AG73" i="515" s="1"/>
  <c r="W71" i="515"/>
  <c r="W72" i="515" s="1"/>
  <c r="X70" i="515" s="1"/>
  <c r="AE70" i="515"/>
  <c r="Y70" i="515"/>
  <c r="Z70" i="515" s="1"/>
  <c r="B70" i="515"/>
  <c r="Y69" i="515"/>
  <c r="I69" i="515"/>
  <c r="B69" i="515"/>
  <c r="AE68" i="515"/>
  <c r="Y68" i="515"/>
  <c r="F68" i="515"/>
  <c r="D68" i="515"/>
  <c r="D69" i="515" s="1"/>
  <c r="B68" i="515"/>
  <c r="AE67" i="515"/>
  <c r="Y67" i="515"/>
  <c r="X69" i="515" s="1"/>
  <c r="W67" i="515"/>
  <c r="W68" i="515" s="1"/>
  <c r="X66" i="515" s="1"/>
  <c r="AE66" i="515"/>
  <c r="Y66" i="515"/>
  <c r="Z66" i="515" s="1"/>
  <c r="B66" i="515"/>
  <c r="Y65" i="515"/>
  <c r="I65" i="515"/>
  <c r="B65" i="515"/>
  <c r="AE64" i="515"/>
  <c r="Y64" i="515"/>
  <c r="AD65" i="515" s="1"/>
  <c r="AE65" i="515" s="1"/>
  <c r="F64" i="515"/>
  <c r="D64" i="515"/>
  <c r="D65" i="515" s="1"/>
  <c r="B64" i="515"/>
  <c r="AE63" i="515"/>
  <c r="Y63" i="515"/>
  <c r="AF63" i="515" s="1"/>
  <c r="W63" i="515"/>
  <c r="W64" i="515" s="1"/>
  <c r="X62" i="515" s="1"/>
  <c r="AE62" i="515"/>
  <c r="Y62" i="515"/>
  <c r="Z62" i="515" s="1"/>
  <c r="B62" i="515"/>
  <c r="Y61" i="515"/>
  <c r="I61" i="515"/>
  <c r="B61" i="515"/>
  <c r="AE60" i="515"/>
  <c r="Y60" i="515"/>
  <c r="F60" i="515"/>
  <c r="D60" i="515"/>
  <c r="D61" i="515" s="1"/>
  <c r="B60" i="515"/>
  <c r="AE59" i="515"/>
  <c r="Y59" i="515"/>
  <c r="W59" i="515"/>
  <c r="W60" i="515" s="1"/>
  <c r="X58" i="515" s="1"/>
  <c r="AE58" i="515"/>
  <c r="Y58" i="515"/>
  <c r="Z58" i="515" s="1"/>
  <c r="B58" i="515"/>
  <c r="Y57" i="515"/>
  <c r="I57" i="515"/>
  <c r="D57" i="515"/>
  <c r="B57" i="515"/>
  <c r="AE56" i="515"/>
  <c r="Y56" i="515"/>
  <c r="F56" i="515"/>
  <c r="B56" i="515"/>
  <c r="AE55" i="515"/>
  <c r="Y55" i="515"/>
  <c r="W55" i="515" s="1"/>
  <c r="W56" i="515" s="1"/>
  <c r="X54" i="515" s="1"/>
  <c r="AE54" i="515"/>
  <c r="Y54" i="515"/>
  <c r="Z54" i="515" s="1"/>
  <c r="B54" i="515"/>
  <c r="Y53" i="515"/>
  <c r="I53" i="515"/>
  <c r="B53" i="515"/>
  <c r="AE52" i="515"/>
  <c r="Y52" i="515"/>
  <c r="F52" i="515"/>
  <c r="D52" i="515"/>
  <c r="D53" i="515" s="1"/>
  <c r="B52" i="515"/>
  <c r="AE51" i="515"/>
  <c r="Y51" i="515"/>
  <c r="AF51" i="515" s="1"/>
  <c r="W51" i="515"/>
  <c r="W52" i="515" s="1"/>
  <c r="X50" i="515" s="1"/>
  <c r="AE50" i="515"/>
  <c r="Y50" i="515"/>
  <c r="Z50" i="515" s="1"/>
  <c r="B50" i="515"/>
  <c r="Y49" i="515"/>
  <c r="Y48" i="515"/>
  <c r="I49" i="515"/>
  <c r="D49" i="515"/>
  <c r="B49" i="515"/>
  <c r="AE48" i="515"/>
  <c r="F48" i="515"/>
  <c r="B48" i="515"/>
  <c r="AE47" i="515"/>
  <c r="Y47" i="515"/>
  <c r="W47" i="515"/>
  <c r="W48" i="515" s="1"/>
  <c r="X46" i="515" s="1"/>
  <c r="AE46" i="515"/>
  <c r="Y46" i="515"/>
  <c r="Z46" i="515" s="1"/>
  <c r="B46" i="515"/>
  <c r="Y45" i="515"/>
  <c r="I45" i="515"/>
  <c r="D45" i="515"/>
  <c r="B45" i="515"/>
  <c r="AE44" i="515"/>
  <c r="Y44" i="515"/>
  <c r="F44" i="515"/>
  <c r="B44" i="515"/>
  <c r="AE43" i="515"/>
  <c r="Y43" i="515"/>
  <c r="W43" i="515"/>
  <c r="W44" i="515" s="1"/>
  <c r="X42" i="515" s="1"/>
  <c r="AE42" i="515"/>
  <c r="Y42" i="515"/>
  <c r="Z42" i="515" s="1"/>
  <c r="B42" i="515"/>
  <c r="Y41" i="515"/>
  <c r="I41" i="515"/>
  <c r="D41" i="515"/>
  <c r="B41" i="515"/>
  <c r="AE40" i="515"/>
  <c r="Y40" i="515"/>
  <c r="F40" i="515"/>
  <c r="B40" i="515"/>
  <c r="AE39" i="515"/>
  <c r="Y39" i="515"/>
  <c r="W39" i="515"/>
  <c r="W40" i="515" s="1"/>
  <c r="X38" i="515" s="1"/>
  <c r="AE38" i="515"/>
  <c r="Y38" i="515"/>
  <c r="Z38" i="515" s="1"/>
  <c r="B38" i="515"/>
  <c r="Y37" i="515"/>
  <c r="I37" i="515"/>
  <c r="B37" i="515"/>
  <c r="AE36" i="515"/>
  <c r="Y36" i="515"/>
  <c r="AD37" i="515" s="1"/>
  <c r="AE37" i="515" s="1"/>
  <c r="F36" i="515"/>
  <c r="D36" i="515"/>
  <c r="D37" i="515" s="1"/>
  <c r="B36" i="515"/>
  <c r="AE35" i="515"/>
  <c r="Y35" i="515"/>
  <c r="AF35" i="515" s="1"/>
  <c r="W35" i="515"/>
  <c r="W36" i="515" s="1"/>
  <c r="X34" i="515" s="1"/>
  <c r="AE34" i="515"/>
  <c r="Y34" i="515"/>
  <c r="Z34" i="515" s="1"/>
  <c r="B34" i="515"/>
  <c r="Y33" i="515"/>
  <c r="I33" i="515"/>
  <c r="B33" i="515"/>
  <c r="AE32" i="515"/>
  <c r="Y32" i="515"/>
  <c r="F32" i="515"/>
  <c r="D32" i="515"/>
  <c r="D33" i="515" s="1"/>
  <c r="B32" i="515"/>
  <c r="AE31" i="515"/>
  <c r="Y31" i="515"/>
  <c r="Z31" i="515" s="1"/>
  <c r="W31" i="515"/>
  <c r="W32" i="515" s="1"/>
  <c r="X30" i="515" s="1"/>
  <c r="AE30" i="515"/>
  <c r="Y30" i="515"/>
  <c r="Z30" i="515" s="1"/>
  <c r="B30" i="515"/>
  <c r="Y29" i="515"/>
  <c r="I29" i="515"/>
  <c r="B29" i="515"/>
  <c r="AE28" i="515"/>
  <c r="Y28" i="515"/>
  <c r="F28" i="515"/>
  <c r="D28" i="515"/>
  <c r="D29" i="515" s="1"/>
  <c r="B28" i="515"/>
  <c r="AE27" i="515"/>
  <c r="Y27" i="515"/>
  <c r="W27" i="515"/>
  <c r="W28" i="515" s="1"/>
  <c r="X26" i="515" s="1"/>
  <c r="AE26" i="515"/>
  <c r="Y26" i="515"/>
  <c r="Z26" i="515" s="1"/>
  <c r="B26" i="515"/>
  <c r="Y25" i="515"/>
  <c r="I25" i="515"/>
  <c r="B25" i="515"/>
  <c r="AE24" i="515"/>
  <c r="Y24" i="515"/>
  <c r="F24" i="515"/>
  <c r="D24" i="515"/>
  <c r="D25" i="515" s="1"/>
  <c r="B24" i="515"/>
  <c r="AE23" i="515"/>
  <c r="Y23" i="515"/>
  <c r="W23" i="515"/>
  <c r="W24" i="515" s="1"/>
  <c r="X22" i="515" s="1"/>
  <c r="AE22" i="515"/>
  <c r="Y22" i="515"/>
  <c r="Z22" i="515" s="1"/>
  <c r="B22" i="515"/>
  <c r="Y21" i="515"/>
  <c r="I21" i="515"/>
  <c r="B21" i="515"/>
  <c r="AE20" i="515"/>
  <c r="Y20" i="515"/>
  <c r="AD21" i="515" s="1"/>
  <c r="AE21" i="515" s="1"/>
  <c r="F20" i="515"/>
  <c r="D20" i="515"/>
  <c r="D21" i="515" s="1"/>
  <c r="B20" i="515"/>
  <c r="AE19" i="515"/>
  <c r="Y19" i="515"/>
  <c r="AG21" i="515" s="1"/>
  <c r="W19" i="515"/>
  <c r="W20" i="515" s="1"/>
  <c r="X18" i="515" s="1"/>
  <c r="AE18" i="515"/>
  <c r="Y18" i="515"/>
  <c r="Z18" i="515" s="1"/>
  <c r="B18" i="515"/>
  <c r="Y17" i="515"/>
  <c r="I17" i="515"/>
  <c r="B17" i="515"/>
  <c r="AE16" i="515"/>
  <c r="Y16" i="515"/>
  <c r="F16" i="515"/>
  <c r="D16" i="515"/>
  <c r="D17" i="515" s="1"/>
  <c r="B16" i="515"/>
  <c r="AE15" i="515"/>
  <c r="Y15" i="515"/>
  <c r="AF15" i="515" s="1"/>
  <c r="W15" i="515"/>
  <c r="W16" i="515" s="1"/>
  <c r="X14" i="515" s="1"/>
  <c r="AE14" i="515"/>
  <c r="Y14" i="515"/>
  <c r="Z14" i="515" s="1"/>
  <c r="B14" i="515"/>
  <c r="Y13" i="515"/>
  <c r="I13" i="515"/>
  <c r="B13" i="515"/>
  <c r="AE12" i="515"/>
  <c r="Y12" i="515"/>
  <c r="F12" i="515"/>
  <c r="D12" i="515"/>
  <c r="D13" i="515" s="1"/>
  <c r="B12" i="515"/>
  <c r="AE11" i="515"/>
  <c r="Y11" i="515"/>
  <c r="AF11" i="515" s="1"/>
  <c r="W11" i="515"/>
  <c r="W12" i="515" s="1"/>
  <c r="X10" i="515" s="1"/>
  <c r="AE10" i="515"/>
  <c r="Y10" i="515"/>
  <c r="Z10" i="515" s="1"/>
  <c r="B10" i="515"/>
  <c r="Y9" i="515"/>
  <c r="I9" i="515"/>
  <c r="B9" i="515"/>
  <c r="Y8" i="515"/>
  <c r="F8" i="515"/>
  <c r="D8" i="515"/>
  <c r="D9" i="515" s="1"/>
  <c r="B8" i="515"/>
  <c r="Y7" i="515"/>
  <c r="W7" i="515"/>
  <c r="W8" i="515" s="1"/>
  <c r="X6" i="515" s="1"/>
  <c r="Y6" i="515"/>
  <c r="Z6" i="515" s="1"/>
  <c r="B6" i="515"/>
  <c r="W79" i="5"/>
  <c r="AC79" i="5" s="1"/>
  <c r="B79" i="5"/>
  <c r="W78" i="5"/>
  <c r="AC78" i="5" s="1"/>
  <c r="B78" i="5"/>
  <c r="W77" i="5"/>
  <c r="AD77" i="5" s="1"/>
  <c r="W76" i="5"/>
  <c r="X76" i="5" s="1"/>
  <c r="B76" i="5"/>
  <c r="W75" i="5"/>
  <c r="AC75" i="5" s="1"/>
  <c r="B75" i="5"/>
  <c r="W74" i="5"/>
  <c r="AC74" i="5" s="1"/>
  <c r="B74" i="5"/>
  <c r="R73" i="5"/>
  <c r="W73" i="5" s="1"/>
  <c r="W72" i="5"/>
  <c r="X72" i="5" s="1"/>
  <c r="B72" i="5"/>
  <c r="W71" i="5"/>
  <c r="AC71" i="5" s="1"/>
  <c r="B71" i="5"/>
  <c r="W70" i="5"/>
  <c r="AC70" i="5" s="1"/>
  <c r="B70" i="5"/>
  <c r="W69" i="5"/>
  <c r="W68" i="5"/>
  <c r="X68" i="5" s="1"/>
  <c r="B68" i="5"/>
  <c r="W67" i="5"/>
  <c r="AC67" i="5" s="1"/>
  <c r="B67" i="5"/>
  <c r="W66" i="5"/>
  <c r="AC66" i="5" s="1"/>
  <c r="B66" i="5"/>
  <c r="W65" i="5"/>
  <c r="H65" i="5"/>
  <c r="W64" i="5"/>
  <c r="X64" i="5" s="1"/>
  <c r="B64" i="5"/>
  <c r="W63" i="5"/>
  <c r="AC63" i="5" s="1"/>
  <c r="B63" i="5"/>
  <c r="W62" i="5"/>
  <c r="B62" i="5"/>
  <c r="W61" i="5"/>
  <c r="W60" i="5"/>
  <c r="X60" i="5" s="1"/>
  <c r="B60" i="5"/>
  <c r="W59" i="5"/>
  <c r="AC59" i="5" s="1"/>
  <c r="B59" i="5"/>
  <c r="W58" i="5"/>
  <c r="AC58" i="5" s="1"/>
  <c r="B58" i="5"/>
  <c r="W57" i="5"/>
  <c r="W56" i="5"/>
  <c r="X56" i="5" s="1"/>
  <c r="B56" i="5"/>
  <c r="W55" i="5"/>
  <c r="AC55" i="5" s="1"/>
  <c r="B55" i="5"/>
  <c r="W54" i="5"/>
  <c r="AC54" i="5" s="1"/>
  <c r="B54" i="5"/>
  <c r="W53" i="5"/>
  <c r="V53" i="5" s="1"/>
  <c r="W52" i="5"/>
  <c r="X52" i="5" s="1"/>
  <c r="B52" i="5"/>
  <c r="W51" i="5"/>
  <c r="AC51" i="5" s="1"/>
  <c r="B51" i="5"/>
  <c r="W50" i="5"/>
  <c r="AC50" i="5" s="1"/>
  <c r="B50" i="5"/>
  <c r="W49" i="5"/>
  <c r="X49" i="5" s="1"/>
  <c r="W48" i="5"/>
  <c r="X48" i="5" s="1"/>
  <c r="B48" i="5"/>
  <c r="W47" i="5"/>
  <c r="AC47" i="5" s="1"/>
  <c r="B47" i="5"/>
  <c r="W46" i="5"/>
  <c r="AC46" i="5" s="1"/>
  <c r="B46" i="5"/>
  <c r="W45" i="5"/>
  <c r="V45" i="5" s="1"/>
  <c r="W44" i="5"/>
  <c r="X44" i="5" s="1"/>
  <c r="Z45" i="5" s="1"/>
  <c r="Z47" i="5" s="1"/>
  <c r="B44" i="5"/>
  <c r="W43" i="5"/>
  <c r="AC43" i="5" s="1"/>
  <c r="B43" i="5"/>
  <c r="W42" i="5"/>
  <c r="AC42" i="5" s="1"/>
  <c r="B42" i="5"/>
  <c r="W41" i="5"/>
  <c r="AD41" i="5" s="1"/>
  <c r="W40" i="5"/>
  <c r="X40" i="5" s="1"/>
  <c r="B40" i="5"/>
  <c r="W39" i="5"/>
  <c r="AC39" i="5" s="1"/>
  <c r="B39" i="5"/>
  <c r="W38" i="5"/>
  <c r="AC38" i="5" s="1"/>
  <c r="B38" i="5"/>
  <c r="W37" i="5"/>
  <c r="AD37" i="5" s="1"/>
  <c r="W36" i="5"/>
  <c r="X36" i="5" s="1"/>
  <c r="B36" i="5"/>
  <c r="W35" i="5"/>
  <c r="AC35" i="5" s="1"/>
  <c r="B35" i="5"/>
  <c r="W34" i="5"/>
  <c r="AC34" i="5" s="1"/>
  <c r="B34" i="5"/>
  <c r="W33" i="5"/>
  <c r="W32" i="5"/>
  <c r="X32" i="5" s="1"/>
  <c r="B32" i="5"/>
  <c r="W31" i="5"/>
  <c r="AC31" i="5" s="1"/>
  <c r="B31" i="5"/>
  <c r="W30" i="5"/>
  <c r="AC30" i="5" s="1"/>
  <c r="B30" i="5"/>
  <c r="W29" i="5"/>
  <c r="W28" i="5"/>
  <c r="X28" i="5" s="1"/>
  <c r="B28" i="5"/>
  <c r="W27" i="5"/>
  <c r="AC27" i="5" s="1"/>
  <c r="B27" i="5"/>
  <c r="W26" i="5"/>
  <c r="AC26" i="5" s="1"/>
  <c r="B26" i="5"/>
  <c r="Z25" i="5"/>
  <c r="Z27" i="5" s="1"/>
  <c r="W25" i="5"/>
  <c r="AD25" i="5" s="1"/>
  <c r="V25" i="5"/>
  <c r="W24" i="5"/>
  <c r="B24" i="5"/>
  <c r="W23" i="5"/>
  <c r="AC23" i="5" s="1"/>
  <c r="B23" i="5"/>
  <c r="W22" i="5"/>
  <c r="AC22" i="5" s="1"/>
  <c r="B22" i="5"/>
  <c r="W21" i="5"/>
  <c r="W20" i="5"/>
  <c r="B20" i="5"/>
  <c r="W19" i="5"/>
  <c r="AC19" i="5" s="1"/>
  <c r="B19" i="5"/>
  <c r="W18" i="5"/>
  <c r="B18" i="5"/>
  <c r="Z17" i="5"/>
  <c r="Z19" i="5" s="1"/>
  <c r="W17" i="5"/>
  <c r="AD17" i="5" s="1"/>
  <c r="V17" i="5"/>
  <c r="W16" i="5"/>
  <c r="B16" i="5"/>
  <c r="W15" i="5"/>
  <c r="AC15" i="5" s="1"/>
  <c r="B15" i="5"/>
  <c r="W14" i="5"/>
  <c r="AC14" i="5" s="1"/>
  <c r="B14" i="5"/>
  <c r="W13" i="5"/>
  <c r="X13" i="5" s="1"/>
  <c r="W12" i="5"/>
  <c r="X12" i="5" s="1"/>
  <c r="B12" i="5"/>
  <c r="W11" i="5"/>
  <c r="AC11" i="5" s="1"/>
  <c r="B11" i="5"/>
  <c r="W10" i="5"/>
  <c r="AC10" i="5" s="1"/>
  <c r="B10" i="5"/>
  <c r="W9" i="5"/>
  <c r="V9" i="5" s="1"/>
  <c r="W8" i="5"/>
  <c r="X8" i="5" s="1"/>
  <c r="B8" i="5"/>
  <c r="W7" i="5"/>
  <c r="AC7" i="5" s="1"/>
  <c r="B7" i="5"/>
  <c r="W6" i="5"/>
  <c r="AC6" i="5" s="1"/>
  <c r="B6" i="5"/>
  <c r="W5" i="5"/>
  <c r="X5" i="5" s="1"/>
  <c r="W4" i="5"/>
  <c r="X4" i="5" s="1"/>
  <c r="B4" i="5"/>
  <c r="W87" i="625"/>
  <c r="W88" i="625" s="1"/>
  <c r="X86" i="625" s="1"/>
  <c r="Z27" i="617"/>
  <c r="H41" i="835"/>
  <c r="I41" i="835" s="1"/>
  <c r="M98" i="625"/>
  <c r="M99" i="625" s="1"/>
  <c r="Q101" i="625" l="1"/>
  <c r="Q102" i="625" s="1"/>
  <c r="V96" i="625"/>
  <c r="V99" i="625"/>
  <c r="AD25" i="625"/>
  <c r="AE25" i="625" s="1"/>
  <c r="AD17" i="535"/>
  <c r="AE17" i="535" s="1"/>
  <c r="AD77" i="515"/>
  <c r="AE77" i="515" s="1"/>
  <c r="AD17" i="515"/>
  <c r="AE17" i="515" s="1"/>
  <c r="T98" i="625"/>
  <c r="T99" i="625" s="1"/>
  <c r="T101" i="625"/>
  <c r="T102" i="625" s="1"/>
  <c r="AD9" i="625"/>
  <c r="AE9" i="625" s="1"/>
  <c r="AD13" i="617"/>
  <c r="AE13" i="617" s="1"/>
  <c r="AG25" i="625"/>
  <c r="U91" i="617"/>
  <c r="W75" i="617"/>
  <c r="W76" i="617" s="1"/>
  <c r="X74" i="617" s="1"/>
  <c r="AD13" i="5"/>
  <c r="AF59" i="617"/>
  <c r="X9" i="625"/>
  <c r="AG65" i="515"/>
  <c r="AD29" i="625"/>
  <c r="AE29" i="625" s="1"/>
  <c r="K31" i="835"/>
  <c r="H42" i="835"/>
  <c r="I42" i="835" s="1"/>
  <c r="AF7" i="617"/>
  <c r="AC7" i="625"/>
  <c r="U90" i="617"/>
  <c r="V106" i="535"/>
  <c r="AD37" i="625"/>
  <c r="AE37" i="625" s="1"/>
  <c r="Z79" i="515"/>
  <c r="V107" i="535"/>
  <c r="K24" i="835"/>
  <c r="I38" i="835"/>
  <c r="W15" i="535"/>
  <c r="W16" i="535" s="1"/>
  <c r="X14" i="535" s="1"/>
  <c r="Z7" i="625"/>
  <c r="AF23" i="617"/>
  <c r="K30" i="835"/>
  <c r="AB27" i="625"/>
  <c r="AB29" i="625" s="1"/>
  <c r="K9" i="835"/>
  <c r="AB67" i="625"/>
  <c r="AB69" i="625" s="1"/>
  <c r="K27" i="835"/>
  <c r="K23" i="835"/>
  <c r="K26" i="835"/>
  <c r="X57" i="515"/>
  <c r="AF27" i="625"/>
  <c r="V93" i="617"/>
  <c r="G92" i="625"/>
  <c r="M96" i="625"/>
  <c r="Q96" i="625"/>
  <c r="AF55" i="535"/>
  <c r="W55" i="535"/>
  <c r="W56" i="535" s="1"/>
  <c r="X54" i="535" s="1"/>
  <c r="O101" i="625"/>
  <c r="O102" i="625" s="1"/>
  <c r="V21" i="5"/>
  <c r="AD21" i="5"/>
  <c r="AF59" i="515"/>
  <c r="Z59" i="515"/>
  <c r="AB59" i="515" s="1"/>
  <c r="AB61" i="515" s="1"/>
  <c r="AC83" i="515"/>
  <c r="AD85" i="515"/>
  <c r="AE85" i="515" s="1"/>
  <c r="AG29" i="535"/>
  <c r="Z27" i="535"/>
  <c r="AB27" i="535" s="1"/>
  <c r="AB29" i="535" s="1"/>
  <c r="W27" i="535"/>
  <c r="W28" i="535" s="1"/>
  <c r="X26" i="535" s="1"/>
  <c r="T90" i="617"/>
  <c r="T93" i="617"/>
  <c r="AF27" i="535"/>
  <c r="AC15" i="515"/>
  <c r="AD45" i="5"/>
  <c r="S98" i="625"/>
  <c r="S99" i="625" s="1"/>
  <c r="S96" i="625"/>
  <c r="G40" i="835"/>
  <c r="G45" i="835" s="1"/>
  <c r="E45" i="835"/>
  <c r="AF75" i="515"/>
  <c r="X29" i="5"/>
  <c r="Z29" i="5" s="1"/>
  <c r="Z31" i="5" s="1"/>
  <c r="V29" i="5"/>
  <c r="X61" i="5"/>
  <c r="Z61" i="5" s="1"/>
  <c r="Z63" i="5" s="1"/>
  <c r="AD61" i="5"/>
  <c r="X65" i="5"/>
  <c r="V65" i="5"/>
  <c r="AD25" i="515"/>
  <c r="AE25" i="515" s="1"/>
  <c r="AC31" i="515"/>
  <c r="AD33" i="515"/>
  <c r="AE33" i="515" s="1"/>
  <c r="AB19" i="535"/>
  <c r="AB21" i="535" s="1"/>
  <c r="K17" i="835"/>
  <c r="AF87" i="535"/>
  <c r="S109" i="535"/>
  <c r="S110" i="535" s="1"/>
  <c r="AA53" i="5"/>
  <c r="Z55" i="515"/>
  <c r="AB55" i="515" s="1"/>
  <c r="AB57" i="515" s="1"/>
  <c r="W39" i="617"/>
  <c r="W40" i="617" s="1"/>
  <c r="X38" i="617" s="1"/>
  <c r="AG33" i="535"/>
  <c r="AF31" i="535"/>
  <c r="AF71" i="515"/>
  <c r="W39" i="535"/>
  <c r="W40" i="535" s="1"/>
  <c r="X38" i="535" s="1"/>
  <c r="AF39" i="535"/>
  <c r="W47" i="535"/>
  <c r="W48" i="535" s="1"/>
  <c r="X46" i="535" s="1"/>
  <c r="AF47" i="535"/>
  <c r="J2" i="835"/>
  <c r="Z67" i="535"/>
  <c r="AB67" i="535" s="1"/>
  <c r="AB69" i="535" s="1"/>
  <c r="Z75" i="515"/>
  <c r="AB75" i="515" s="1"/>
  <c r="AB77" i="515" s="1"/>
  <c r="AG61" i="515"/>
  <c r="AD29" i="5"/>
  <c r="V61" i="5"/>
  <c r="X21" i="5"/>
  <c r="Z21" i="5" s="1"/>
  <c r="Z23" i="5" s="1"/>
  <c r="AD65" i="5"/>
  <c r="V13" i="5"/>
  <c r="AF39" i="617"/>
  <c r="W79" i="535"/>
  <c r="W80" i="535" s="1"/>
  <c r="X78" i="535" s="1"/>
  <c r="AD37" i="617"/>
  <c r="AE37" i="617" s="1"/>
  <c r="AB7" i="625"/>
  <c r="AB9" i="625" s="1"/>
  <c r="X29" i="617"/>
  <c r="AC95" i="535"/>
  <c r="Z87" i="625"/>
  <c r="AB87" i="625" s="1"/>
  <c r="AB89" i="625" s="1"/>
  <c r="O93" i="617"/>
  <c r="O94" i="617" s="1"/>
  <c r="W27" i="617"/>
  <c r="W28" i="617" s="1"/>
  <c r="X26" i="617" s="1"/>
  <c r="AF63" i="625"/>
  <c r="X13" i="617"/>
  <c r="W11" i="617"/>
  <c r="W12" i="617" s="1"/>
  <c r="X10" i="617" s="1"/>
  <c r="Z11" i="617"/>
  <c r="AB11" i="617" s="1"/>
  <c r="AB13" i="617" s="1"/>
  <c r="AF63" i="617"/>
  <c r="Z63" i="617"/>
  <c r="AB63" i="617" s="1"/>
  <c r="AB65" i="617" s="1"/>
  <c r="W55" i="625"/>
  <c r="W56" i="625" s="1"/>
  <c r="X54" i="625" s="1"/>
  <c r="AF55" i="625"/>
  <c r="K28" i="835"/>
  <c r="AB31" i="515"/>
  <c r="AB33" i="515" s="1"/>
  <c r="K14" i="835"/>
  <c r="K13" i="835"/>
  <c r="AC63" i="625"/>
  <c r="AC67" i="625"/>
  <c r="K10" i="835"/>
  <c r="AD33" i="535"/>
  <c r="AE33" i="535" s="1"/>
  <c r="AD73" i="515"/>
  <c r="AE73" i="515" s="1"/>
  <c r="AB79" i="515"/>
  <c r="AB81" i="515" s="1"/>
  <c r="AD85" i="535"/>
  <c r="AE85" i="535" s="1"/>
  <c r="AA37" i="5"/>
  <c r="AA5" i="5"/>
  <c r="AA65" i="5"/>
  <c r="Z63" i="515"/>
  <c r="AB63" i="515" s="1"/>
  <c r="AB65" i="515" s="1"/>
  <c r="AD5" i="5"/>
  <c r="V5" i="5"/>
  <c r="M94" i="515"/>
  <c r="M95" i="515" s="1"/>
  <c r="AA21" i="5"/>
  <c r="AA13" i="5"/>
  <c r="AF55" i="515"/>
  <c r="AC35" i="515"/>
  <c r="AA45" i="5"/>
  <c r="Z71" i="515"/>
  <c r="AB71" i="515" s="1"/>
  <c r="AB73" i="515" s="1"/>
  <c r="AA29" i="5"/>
  <c r="Q92" i="515"/>
  <c r="Z5" i="5"/>
  <c r="Z7" i="5" s="1"/>
  <c r="AC7" i="515"/>
  <c r="K32" i="835"/>
  <c r="F45" i="835"/>
  <c r="Z13" i="5"/>
  <c r="Z15" i="5" s="1"/>
  <c r="M92" i="515"/>
  <c r="AC51" i="617"/>
  <c r="AD61" i="617"/>
  <c r="AE61" i="617" s="1"/>
  <c r="K34" i="835"/>
  <c r="Z49" i="5"/>
  <c r="Z51" i="5" s="1"/>
  <c r="AC71" i="515"/>
  <c r="AC23" i="535"/>
  <c r="AG9" i="617"/>
  <c r="P96" i="625"/>
  <c r="AD49" i="5"/>
  <c r="X33" i="5"/>
  <c r="Z33" i="5" s="1"/>
  <c r="Z35" i="5" s="1"/>
  <c r="V33" i="5"/>
  <c r="X69" i="5"/>
  <c r="Z69" i="5" s="1"/>
  <c r="Z71" i="5" s="1"/>
  <c r="AD69" i="5"/>
  <c r="Z15" i="515"/>
  <c r="AB15" i="515" s="1"/>
  <c r="AB17" i="515" s="1"/>
  <c r="AG17" i="515"/>
  <c r="AF23" i="515"/>
  <c r="Z23" i="515"/>
  <c r="AB23" i="515" s="1"/>
  <c r="AB25" i="515" s="1"/>
  <c r="AG33" i="515"/>
  <c r="AF31" i="515"/>
  <c r="Z39" i="515"/>
  <c r="AB39" i="515" s="1"/>
  <c r="AB41" i="515" s="1"/>
  <c r="AG41" i="515"/>
  <c r="AC55" i="515"/>
  <c r="AD57" i="515"/>
  <c r="AE57" i="515" s="1"/>
  <c r="V95" i="515"/>
  <c r="V92" i="515"/>
  <c r="AF35" i="535"/>
  <c r="W35" i="535"/>
  <c r="W36" i="535" s="1"/>
  <c r="X34" i="535" s="1"/>
  <c r="AG45" i="535"/>
  <c r="Z43" i="535"/>
  <c r="AB43" i="535" s="1"/>
  <c r="AB45" i="535" s="1"/>
  <c r="AF43" i="535"/>
  <c r="AF51" i="535"/>
  <c r="AG53" i="535"/>
  <c r="Z59" i="535"/>
  <c r="AB59" i="535" s="1"/>
  <c r="AB61" i="535" s="1"/>
  <c r="AF59" i="535"/>
  <c r="Z75" i="535"/>
  <c r="AB75" i="535" s="1"/>
  <c r="AB77" i="535" s="1"/>
  <c r="W75" i="535"/>
  <c r="W76" i="535" s="1"/>
  <c r="X74" i="535" s="1"/>
  <c r="O109" i="535"/>
  <c r="O110" i="535" s="1"/>
  <c r="O104" i="535"/>
  <c r="O106" i="535"/>
  <c r="O107" i="535" s="1"/>
  <c r="Z31" i="617"/>
  <c r="AB31" i="617" s="1"/>
  <c r="AB33" i="617" s="1"/>
  <c r="W31" i="617"/>
  <c r="W32" i="617" s="1"/>
  <c r="X30" i="617" s="1"/>
  <c r="AF67" i="617"/>
  <c r="W67" i="617"/>
  <c r="W68" i="617" s="1"/>
  <c r="X66" i="617" s="1"/>
  <c r="Z67" i="617"/>
  <c r="AB67" i="617" s="1"/>
  <c r="AB69" i="617" s="1"/>
  <c r="Z59" i="625"/>
  <c r="AB59" i="625" s="1"/>
  <c r="AB61" i="625" s="1"/>
  <c r="AF59" i="625"/>
  <c r="N101" i="625"/>
  <c r="N102" i="625" s="1"/>
  <c r="N98" i="625"/>
  <c r="N99" i="625" s="1"/>
  <c r="R101" i="625"/>
  <c r="R102" i="625" s="1"/>
  <c r="R96" i="625"/>
  <c r="AG25" i="515"/>
  <c r="V69" i="5"/>
  <c r="AD33" i="5"/>
  <c r="V49" i="5"/>
  <c r="AC59" i="515"/>
  <c r="AD61" i="515"/>
  <c r="AE61" i="515" s="1"/>
  <c r="AB15" i="535"/>
  <c r="AB17" i="535" s="1"/>
  <c r="Z11" i="625"/>
  <c r="AB11" i="625" s="1"/>
  <c r="AB13" i="625" s="1"/>
  <c r="AF11" i="625"/>
  <c r="W11" i="625"/>
  <c r="W12" i="625" s="1"/>
  <c r="X10" i="625" s="1"/>
  <c r="X69" i="625"/>
  <c r="AC39" i="625"/>
  <c r="V37" i="5"/>
  <c r="X37" i="5"/>
  <c r="Z37" i="5" s="1"/>
  <c r="Z39" i="5" s="1"/>
  <c r="P97" i="515"/>
  <c r="P98" i="515" s="1"/>
  <c r="W7" i="625"/>
  <c r="W8" i="625" s="1"/>
  <c r="X6" i="625" s="1"/>
  <c r="U99" i="625"/>
  <c r="AD76" i="625"/>
  <c r="AE76" i="625" s="1"/>
  <c r="W23" i="617"/>
  <c r="W24" i="617" s="1"/>
  <c r="X22" i="617" s="1"/>
  <c r="P93" i="617"/>
  <c r="P94" i="617" s="1"/>
  <c r="G84" i="617"/>
  <c r="M88" i="617"/>
  <c r="AD61" i="625"/>
  <c r="AE61" i="625" s="1"/>
  <c r="O96" i="625"/>
  <c r="AD81" i="625"/>
  <c r="AG81" i="625" s="1"/>
  <c r="K11" i="835"/>
  <c r="K15" i="835"/>
  <c r="K12" i="835"/>
  <c r="K22" i="835"/>
  <c r="H43" i="835"/>
  <c r="I43" i="835" s="1"/>
  <c r="H39" i="835"/>
  <c r="I39" i="835" s="1"/>
  <c r="AD53" i="617"/>
  <c r="AD57" i="617"/>
  <c r="AE57" i="617" s="1"/>
  <c r="AC59" i="617"/>
  <c r="AC75" i="617"/>
  <c r="AC11" i="625"/>
  <c r="AD53" i="625"/>
  <c r="AE53" i="625" s="1"/>
  <c r="T97" i="515"/>
  <c r="T92" i="515"/>
  <c r="X85" i="535"/>
  <c r="AG85" i="535"/>
  <c r="P106" i="535"/>
  <c r="P107" i="535" s="1"/>
  <c r="P104" i="535"/>
  <c r="U104" i="535"/>
  <c r="U109" i="535"/>
  <c r="Z35" i="625"/>
  <c r="AB35" i="625" s="1"/>
  <c r="AB37" i="625" s="1"/>
  <c r="AF35" i="625"/>
  <c r="W51" i="625"/>
  <c r="W52" i="625" s="1"/>
  <c r="X50" i="625" s="1"/>
  <c r="Z51" i="625"/>
  <c r="AB51" i="625" s="1"/>
  <c r="AB53" i="625" s="1"/>
  <c r="AF83" i="625"/>
  <c r="Z83" i="625"/>
  <c r="AB83" i="625" s="1"/>
  <c r="AB85" i="625" s="1"/>
  <c r="AA9" i="5"/>
  <c r="W79" i="515"/>
  <c r="W80" i="515" s="1"/>
  <c r="X78" i="515" s="1"/>
  <c r="AG17" i="617"/>
  <c r="AF51" i="625"/>
  <c r="AC35" i="625"/>
  <c r="Z47" i="625"/>
  <c r="AB47" i="625" s="1"/>
  <c r="AB49" i="625" s="1"/>
  <c r="AG73" i="535"/>
  <c r="W71" i="535"/>
  <c r="W72" i="535" s="1"/>
  <c r="X70" i="535" s="1"/>
  <c r="Q104" i="535"/>
  <c r="AD21" i="617"/>
  <c r="AE21" i="617" s="1"/>
  <c r="AC19" i="617"/>
  <c r="Z51" i="617"/>
  <c r="AB51" i="617" s="1"/>
  <c r="AB53" i="617" s="1"/>
  <c r="AF51" i="617"/>
  <c r="AF75" i="617"/>
  <c r="Z75" i="617"/>
  <c r="AB75" i="617" s="1"/>
  <c r="AB77" i="617" s="1"/>
  <c r="L93" i="617"/>
  <c r="L94" i="617" s="1"/>
  <c r="L90" i="617"/>
  <c r="L91" i="617" s="1"/>
  <c r="U94" i="617"/>
  <c r="U93" i="617"/>
  <c r="AF39" i="625"/>
  <c r="Z39" i="625"/>
  <c r="AB39" i="625" s="1"/>
  <c r="AB41" i="625" s="1"/>
  <c r="AD49" i="625"/>
  <c r="AE49" i="625" s="1"/>
  <c r="AC47" i="625"/>
  <c r="AF67" i="625"/>
  <c r="W67" i="625"/>
  <c r="W68" i="625" s="1"/>
  <c r="X66" i="625" s="1"/>
  <c r="U101" i="625"/>
  <c r="U96" i="625"/>
  <c r="AA25" i="5"/>
  <c r="AA57" i="5"/>
  <c r="V77" i="5"/>
  <c r="AG37" i="515"/>
  <c r="AA41" i="5"/>
  <c r="AD9" i="515"/>
  <c r="AE9" i="515" s="1"/>
  <c r="U106" i="535"/>
  <c r="T91" i="617"/>
  <c r="Z79" i="625"/>
  <c r="AB79" i="625" s="1"/>
  <c r="AB81" i="625" s="1"/>
  <c r="Z75" i="625"/>
  <c r="AB75" i="625" s="1"/>
  <c r="AB77" i="625" s="1"/>
  <c r="W35" i="625"/>
  <c r="W36" i="625" s="1"/>
  <c r="X34" i="625" s="1"/>
  <c r="AC23" i="625"/>
  <c r="Z83" i="535"/>
  <c r="AB83" i="535" s="1"/>
  <c r="AB85" i="535" s="1"/>
  <c r="V97" i="515"/>
  <c r="V94" i="515"/>
  <c r="W23" i="535"/>
  <c r="W24" i="535" s="1"/>
  <c r="X22" i="535" s="1"/>
  <c r="AG25" i="535"/>
  <c r="AF23" i="535"/>
  <c r="AG77" i="535"/>
  <c r="AF75" i="535"/>
  <c r="AF91" i="535"/>
  <c r="Z91" i="535"/>
  <c r="AB91" i="535" s="1"/>
  <c r="AB93" i="535" s="1"/>
  <c r="X41" i="617"/>
  <c r="AC39" i="617"/>
  <c r="W55" i="617"/>
  <c r="W56" i="617" s="1"/>
  <c r="X54" i="617" s="1"/>
  <c r="AF55" i="617"/>
  <c r="R90" i="617"/>
  <c r="R91" i="617" s="1"/>
  <c r="R88" i="617"/>
  <c r="AB63" i="625"/>
  <c r="AB65" i="625" s="1"/>
  <c r="AG81" i="515"/>
  <c r="AA69" i="5"/>
  <c r="AA49" i="5"/>
  <c r="Z35" i="515"/>
  <c r="AB35" i="515" s="1"/>
  <c r="AB37" i="515" s="1"/>
  <c r="P92" i="515"/>
  <c r="AG53" i="515"/>
  <c r="Z51" i="515"/>
  <c r="AB51" i="515" s="1"/>
  <c r="AB53" i="515" s="1"/>
  <c r="AA33" i="5"/>
  <c r="AD53" i="5"/>
  <c r="AG9" i="535"/>
  <c r="AF15" i="535"/>
  <c r="Z23" i="535"/>
  <c r="AB23" i="535" s="1"/>
  <c r="AB25" i="535" s="1"/>
  <c r="AF79" i="625"/>
  <c r="AC31" i="625"/>
  <c r="V98" i="515"/>
  <c r="W63" i="625"/>
  <c r="W64" i="625" s="1"/>
  <c r="X62" i="625" s="1"/>
  <c r="AC67" i="617"/>
  <c r="AC79" i="625"/>
  <c r="AD9" i="535"/>
  <c r="AE9" i="535" s="1"/>
  <c r="AD53" i="535"/>
  <c r="AE53" i="535" s="1"/>
  <c r="Y60" i="535"/>
  <c r="AC75" i="535"/>
  <c r="AC91" i="535"/>
  <c r="S104" i="535"/>
  <c r="AG17" i="625"/>
  <c r="AC19" i="625"/>
  <c r="X9" i="5"/>
  <c r="Z9" i="5" s="1"/>
  <c r="Z11" i="5" s="1"/>
  <c r="AD9" i="5"/>
  <c r="AD57" i="5"/>
  <c r="X57" i="5"/>
  <c r="Z57" i="5" s="1"/>
  <c r="Z59" i="5" s="1"/>
  <c r="Z7" i="515"/>
  <c r="AB7" i="515" s="1"/>
  <c r="AB9" i="515" s="1"/>
  <c r="AF7" i="515"/>
  <c r="Z11" i="515"/>
  <c r="AB11" i="515" s="1"/>
  <c r="AB13" i="515" s="1"/>
  <c r="AG13" i="515"/>
  <c r="AG29" i="515"/>
  <c r="AF27" i="515"/>
  <c r="AG45" i="515"/>
  <c r="AF43" i="515"/>
  <c r="Z43" i="515"/>
  <c r="AB43" i="515" s="1"/>
  <c r="AB45" i="515" s="1"/>
  <c r="Z27" i="515"/>
  <c r="AB27" i="515" s="1"/>
  <c r="AB29" i="515" s="1"/>
  <c r="AF19" i="515"/>
  <c r="AG69" i="515"/>
  <c r="AE41" i="625"/>
  <c r="AG41" i="625"/>
  <c r="Z67" i="515"/>
  <c r="AB67" i="515" s="1"/>
  <c r="AB69" i="515" s="1"/>
  <c r="AF67" i="515"/>
  <c r="O97" i="515"/>
  <c r="O98" i="515" s="1"/>
  <c r="O94" i="515"/>
  <c r="O95" i="515" s="1"/>
  <c r="S97" i="515"/>
  <c r="S98" i="515" s="1"/>
  <c r="S92" i="515"/>
  <c r="S94" i="515"/>
  <c r="S95" i="515" s="1"/>
  <c r="W11" i="535"/>
  <c r="W12" i="535" s="1"/>
  <c r="X10" i="535" s="1"/>
  <c r="AG13" i="535"/>
  <c r="Z11" i="535"/>
  <c r="AB11" i="535" s="1"/>
  <c r="AB13" i="535" s="1"/>
  <c r="AE41" i="617"/>
  <c r="AG41" i="617"/>
  <c r="AC51" i="535"/>
  <c r="Z71" i="625"/>
  <c r="AB71" i="625" s="1"/>
  <c r="AB73" i="625" s="1"/>
  <c r="AD77" i="617"/>
  <c r="AC79" i="535"/>
  <c r="W79" i="617"/>
  <c r="W80" i="617" s="1"/>
  <c r="X78" i="617" s="1"/>
  <c r="AG49" i="535"/>
  <c r="AG41" i="535"/>
  <c r="AC27" i="617"/>
  <c r="T106" i="535"/>
  <c r="T110" i="535"/>
  <c r="AC11" i="617"/>
  <c r="T109" i="535"/>
  <c r="M90" i="617"/>
  <c r="M91" i="617" s="1"/>
  <c r="AF43" i="625"/>
  <c r="V88" i="617"/>
  <c r="Z55" i="617"/>
  <c r="AB55" i="617" s="1"/>
  <c r="AB57" i="617" s="1"/>
  <c r="AF15" i="617"/>
  <c r="AF31" i="617"/>
  <c r="V94" i="617"/>
  <c r="Z55" i="625"/>
  <c r="AB55" i="625" s="1"/>
  <c r="AB57" i="625" s="1"/>
  <c r="AG57" i="535"/>
  <c r="Z79" i="617"/>
  <c r="AB79" i="617" s="1"/>
  <c r="AB81" i="617" s="1"/>
  <c r="AF79" i="535"/>
  <c r="AD77" i="535"/>
  <c r="AE77" i="535" s="1"/>
  <c r="X29" i="535"/>
  <c r="V90" i="617"/>
  <c r="W71" i="625"/>
  <c r="W72" i="625" s="1"/>
  <c r="X70" i="625" s="1"/>
  <c r="Z15" i="625"/>
  <c r="AB15" i="625" s="1"/>
  <c r="AB17" i="625" s="1"/>
  <c r="Z43" i="625"/>
  <c r="AB43" i="625" s="1"/>
  <c r="AB45" i="625" s="1"/>
  <c r="W15" i="625"/>
  <c r="W16" i="625" s="1"/>
  <c r="X14" i="625" s="1"/>
  <c r="AD45" i="515"/>
  <c r="AE45" i="515" s="1"/>
  <c r="X87" i="515"/>
  <c r="Y4" i="515" s="1"/>
  <c r="X99" i="535"/>
  <c r="Y4" i="535" s="1"/>
  <c r="AB27" i="617"/>
  <c r="AB29" i="617" s="1"/>
  <c r="AC31" i="617"/>
  <c r="AB43" i="617"/>
  <c r="AB45" i="617" s="1"/>
  <c r="AC55" i="617"/>
  <c r="L88" i="617"/>
  <c r="P88" i="617"/>
  <c r="AC43" i="625"/>
  <c r="AC55" i="625"/>
  <c r="AC71" i="625"/>
  <c r="AD85" i="625"/>
  <c r="Z39" i="535"/>
  <c r="AB39" i="535" s="1"/>
  <c r="AB41" i="535" s="1"/>
  <c r="AC79" i="617"/>
  <c r="Z47" i="535"/>
  <c r="AB47" i="535" s="1"/>
  <c r="AB49" i="535" s="1"/>
  <c r="Z55" i="535"/>
  <c r="AB55" i="535" s="1"/>
  <c r="AB57" i="535" s="1"/>
  <c r="W15" i="617"/>
  <c r="W16" i="617" s="1"/>
  <c r="X14" i="617" s="1"/>
  <c r="Z79" i="535"/>
  <c r="AB79" i="535" s="1"/>
  <c r="AB81" i="535" s="1"/>
  <c r="AG25" i="617"/>
  <c r="AC39" i="535"/>
  <c r="AD45" i="535"/>
  <c r="AE45" i="535" s="1"/>
  <c r="R93" i="617"/>
  <c r="R94" i="617" s="1"/>
  <c r="T104" i="535"/>
  <c r="U102" i="625"/>
  <c r="AA17" i="5"/>
  <c r="AD41" i="515"/>
  <c r="AE41" i="515" s="1"/>
  <c r="AC47" i="515"/>
  <c r="R92" i="515"/>
  <c r="AD49" i="617"/>
  <c r="AG65" i="617"/>
  <c r="AD73" i="617"/>
  <c r="AE73" i="617" s="1"/>
  <c r="O88" i="617"/>
  <c r="AC43" i="515"/>
  <c r="AG29" i="625"/>
  <c r="AG57" i="515"/>
  <c r="AC62" i="5"/>
  <c r="AA61" i="5"/>
  <c r="AD13" i="515"/>
  <c r="AE13" i="515" s="1"/>
  <c r="AC11" i="515"/>
  <c r="AC27" i="515"/>
  <c r="AD29" i="515"/>
  <c r="AE29" i="515" s="1"/>
  <c r="AD53" i="515"/>
  <c r="AE53" i="515" s="1"/>
  <c r="AC51" i="515"/>
  <c r="L94" i="515"/>
  <c r="L95" i="515" s="1"/>
  <c r="L97" i="515"/>
  <c r="L98" i="515" s="1"/>
  <c r="AA77" i="5"/>
  <c r="U110" i="535"/>
  <c r="W63" i="617"/>
  <c r="W64" i="617" s="1"/>
  <c r="X62" i="617" s="1"/>
  <c r="AC15" i="625"/>
  <c r="X9" i="535"/>
  <c r="Q109" i="535"/>
  <c r="Q110" i="535" s="1"/>
  <c r="X33" i="515"/>
  <c r="T94" i="515"/>
  <c r="AC15" i="535"/>
  <c r="AG69" i="625"/>
  <c r="Z35" i="617"/>
  <c r="AB35" i="617" s="1"/>
  <c r="AB37" i="617" s="1"/>
  <c r="Z7" i="617"/>
  <c r="AB7" i="617" s="1"/>
  <c r="AB9" i="617" s="1"/>
  <c r="AD45" i="625"/>
  <c r="S88" i="617"/>
  <c r="Z71" i="617"/>
  <c r="AB71" i="617" s="1"/>
  <c r="AB73" i="617" s="1"/>
  <c r="AD73" i="625"/>
  <c r="AF39" i="515"/>
  <c r="AC18" i="5"/>
  <c r="AF19" i="535"/>
  <c r="U92" i="515"/>
  <c r="W7" i="535"/>
  <c r="W8" i="535" s="1"/>
  <c r="X6" i="535" s="1"/>
  <c r="AC15" i="617"/>
  <c r="U107" i="535"/>
  <c r="AG17" i="535"/>
  <c r="Z7" i="535"/>
  <c r="AB7" i="535" s="1"/>
  <c r="AB9" i="535" s="1"/>
  <c r="Y76" i="625"/>
  <c r="AC27" i="535"/>
  <c r="N96" i="625"/>
  <c r="P109" i="535"/>
  <c r="P110" i="535" s="1"/>
  <c r="S93" i="617"/>
  <c r="S94" i="617" s="1"/>
  <c r="AF71" i="617"/>
  <c r="Z23" i="617"/>
  <c r="AB23" i="617" s="1"/>
  <c r="AB25" i="617" s="1"/>
  <c r="AG97" i="535"/>
  <c r="W19" i="617"/>
  <c r="W20" i="617" s="1"/>
  <c r="X18" i="617" s="1"/>
  <c r="Z19" i="617"/>
  <c r="AB19" i="617" s="1"/>
  <c r="AB21" i="617" s="1"/>
  <c r="AF63" i="535"/>
  <c r="Z63" i="535"/>
  <c r="AB63" i="535" s="1"/>
  <c r="AB65" i="535" s="1"/>
  <c r="W83" i="535"/>
  <c r="W84" i="535" s="1"/>
  <c r="X82" i="535" s="1"/>
  <c r="AF83" i="535"/>
  <c r="AF43" i="617"/>
  <c r="W43" i="617"/>
  <c r="W44" i="617" s="1"/>
  <c r="X42" i="617" s="1"/>
  <c r="AF47" i="617"/>
  <c r="Z47" i="617"/>
  <c r="AB47" i="617" s="1"/>
  <c r="AB49" i="617" s="1"/>
  <c r="N90" i="617"/>
  <c r="N91" i="617" s="1"/>
  <c r="N88" i="617"/>
  <c r="N93" i="617"/>
  <c r="N94" i="617" s="1"/>
  <c r="W19" i="625"/>
  <c r="W20" i="625" s="1"/>
  <c r="X18" i="625" s="1"/>
  <c r="Z19" i="625"/>
  <c r="AB19" i="625" s="1"/>
  <c r="AB21" i="625" s="1"/>
  <c r="AF19" i="625"/>
  <c r="AF31" i="625"/>
  <c r="W31" i="625"/>
  <c r="W32" i="625" s="1"/>
  <c r="X30" i="625" s="1"/>
  <c r="Z31" i="625"/>
  <c r="AB31" i="625" s="1"/>
  <c r="AB33" i="625" s="1"/>
  <c r="X61" i="625"/>
  <c r="W59" i="625"/>
  <c r="W60" i="625" s="1"/>
  <c r="X58" i="625" s="1"/>
  <c r="AC59" i="625"/>
  <c r="V98" i="625"/>
  <c r="V102" i="625"/>
  <c r="Z47" i="515"/>
  <c r="AB47" i="515" s="1"/>
  <c r="AB49" i="515" s="1"/>
  <c r="X49" i="515"/>
  <c r="U97" i="515"/>
  <c r="U95" i="515"/>
  <c r="Y68" i="535"/>
  <c r="AD69" i="535" s="1"/>
  <c r="AE69" i="535" s="1"/>
  <c r="AC83" i="535"/>
  <c r="X89" i="535"/>
  <c r="W87" i="535"/>
  <c r="W88" i="535" s="1"/>
  <c r="X86" i="535" s="1"/>
  <c r="V110" i="535"/>
  <c r="V109" i="535"/>
  <c r="AD45" i="617"/>
  <c r="AG45" i="617" s="1"/>
  <c r="AC43" i="617"/>
  <c r="T88" i="617"/>
  <c r="T94" i="617"/>
  <c r="Q93" i="617"/>
  <c r="Q94" i="617" s="1"/>
  <c r="Q90" i="617"/>
  <c r="Q91" i="617" s="1"/>
  <c r="AF23" i="625"/>
  <c r="W23" i="625"/>
  <c r="W24" i="625" s="1"/>
  <c r="X22" i="625" s="1"/>
  <c r="AD89" i="625"/>
  <c r="AG89" i="625" s="1"/>
  <c r="AC87" i="625"/>
  <c r="AG29" i="617"/>
  <c r="Z65" i="5"/>
  <c r="Z67" i="5" s="1"/>
  <c r="L101" i="535"/>
  <c r="AB51" i="535"/>
  <c r="AB53" i="535" s="1"/>
  <c r="AB15" i="617"/>
  <c r="AB17" i="617" s="1"/>
  <c r="AB23" i="625"/>
  <c r="AB25" i="625" s="1"/>
  <c r="L96" i="625"/>
  <c r="L98" i="625"/>
  <c r="L99" i="625" s="1"/>
  <c r="L101" i="625"/>
  <c r="L102" i="625" s="1"/>
  <c r="AF71" i="535"/>
  <c r="Z95" i="535"/>
  <c r="AB95" i="535" s="1"/>
  <c r="AB97" i="535" s="1"/>
  <c r="X17" i="535"/>
  <c r="AG89" i="535"/>
  <c r="O92" i="515"/>
  <c r="AC23" i="617"/>
  <c r="AB59" i="617"/>
  <c r="AB61" i="617" s="1"/>
  <c r="AG9" i="515"/>
  <c r="AC63" i="515"/>
  <c r="T98" i="515"/>
  <c r="AC11" i="535"/>
  <c r="AD49" i="535"/>
  <c r="AE49" i="535" s="1"/>
  <c r="AC79" i="515"/>
  <c r="X73" i="515"/>
  <c r="AG69" i="617"/>
  <c r="AC39" i="515"/>
  <c r="AD73" i="535"/>
  <c r="AE73" i="535" s="1"/>
  <c r="AC7" i="617"/>
  <c r="AC83" i="625"/>
  <c r="AD73" i="5"/>
  <c r="X73" i="5"/>
  <c r="Z73" i="5" s="1"/>
  <c r="Z75" i="5" s="1"/>
  <c r="AA73" i="5"/>
  <c r="V73" i="5"/>
  <c r="W2" i="5"/>
  <c r="X41" i="5"/>
  <c r="Z41" i="5" s="1"/>
  <c r="Z43" i="5" s="1"/>
  <c r="AG33" i="617"/>
  <c r="Z31" i="535"/>
  <c r="AB31" i="535" s="1"/>
  <c r="AB33" i="535" s="1"/>
  <c r="AF11" i="535"/>
  <c r="AC7" i="535"/>
  <c r="AD57" i="535"/>
  <c r="AG61" i="535"/>
  <c r="AC63" i="617"/>
  <c r="AB87" i="535"/>
  <c r="AB89" i="535" s="1"/>
  <c r="Z71" i="535"/>
  <c r="AB71" i="535" s="1"/>
  <c r="AB73" i="535" s="1"/>
  <c r="AC47" i="535"/>
  <c r="U94" i="515"/>
  <c r="AG21" i="535"/>
  <c r="AC55" i="535"/>
  <c r="M101" i="535"/>
  <c r="M104" i="535" s="1"/>
  <c r="Q88" i="617"/>
  <c r="H40" i="835"/>
  <c r="X83" i="617"/>
  <c r="Y4" i="617" s="1"/>
  <c r="AC51" i="625"/>
  <c r="T96" i="625"/>
  <c r="AD69" i="515"/>
  <c r="AE69" i="515" s="1"/>
  <c r="AC67" i="515"/>
  <c r="AD49" i="515"/>
  <c r="AB39" i="617"/>
  <c r="AB41" i="617" s="1"/>
  <c r="Z35" i="535"/>
  <c r="AB35" i="535" s="1"/>
  <c r="AB37" i="535" s="1"/>
  <c r="AC71" i="535"/>
  <c r="W19" i="535"/>
  <c r="W20" i="535" s="1"/>
  <c r="X18" i="535" s="1"/>
  <c r="N97" i="515"/>
  <c r="N98" i="515" s="1"/>
  <c r="AC23" i="515"/>
  <c r="AE17" i="625"/>
  <c r="X53" i="5"/>
  <c r="Z53" i="5" s="1"/>
  <c r="Z55" i="5" s="1"/>
  <c r="M98" i="515"/>
  <c r="R104" i="535"/>
  <c r="K20" i="835"/>
  <c r="AC35" i="535"/>
  <c r="V41" i="5"/>
  <c r="AC19" i="535"/>
  <c r="L92" i="515"/>
  <c r="AG37" i="535"/>
  <c r="W63" i="535"/>
  <c r="W64" i="535" s="1"/>
  <c r="X62" i="535" s="1"/>
  <c r="N106" i="535"/>
  <c r="N107" i="535" s="1"/>
  <c r="AC47" i="617"/>
  <c r="AC71" i="617"/>
  <c r="AD13" i="625"/>
  <c r="AE13" i="625" s="1"/>
  <c r="AD57" i="625"/>
  <c r="AD65" i="625"/>
  <c r="X91" i="625"/>
  <c r="Y4" i="625" s="1"/>
  <c r="Q97" i="515"/>
  <c r="Q98" i="515" s="1"/>
  <c r="P101" i="625"/>
  <c r="P102" i="625" s="1"/>
  <c r="AE21" i="625"/>
  <c r="AG21" i="625"/>
  <c r="AE33" i="625"/>
  <c r="AG33" i="625"/>
  <c r="N94" i="515"/>
  <c r="N95" i="515" s="1"/>
  <c r="AF83" i="515"/>
  <c r="AF47" i="515"/>
  <c r="Z83" i="515"/>
  <c r="AB83" i="515" s="1"/>
  <c r="AB85" i="515" s="1"/>
  <c r="Z19" i="515"/>
  <c r="AB19" i="515" s="1"/>
  <c r="AB21" i="515" s="1"/>
  <c r="AC75" i="515"/>
  <c r="N104" i="535"/>
  <c r="AC19" i="515"/>
  <c r="AG81" i="617"/>
  <c r="N92" i="515"/>
  <c r="AG49" i="515"/>
  <c r="X85" i="515"/>
  <c r="R98" i="515"/>
  <c r="V57" i="5"/>
  <c r="T95" i="515"/>
  <c r="AC31" i="535"/>
  <c r="W91" i="535"/>
  <c r="W92" i="535" s="1"/>
  <c r="X90" i="535" s="1"/>
  <c r="AC63" i="535"/>
  <c r="R94" i="515"/>
  <c r="R95" i="515" s="1"/>
  <c r="AF67" i="535"/>
  <c r="X77" i="5"/>
  <c r="Z77" i="5" s="1"/>
  <c r="Z79" i="5" s="1"/>
  <c r="AC87" i="535"/>
  <c r="R106" i="535"/>
  <c r="R107" i="535" s="1"/>
  <c r="AG13" i="617" l="1"/>
  <c r="AG37" i="625"/>
  <c r="AG9" i="625"/>
  <c r="AG57" i="617"/>
  <c r="I40" i="835"/>
  <c r="AG61" i="625"/>
  <c r="AG21" i="617"/>
  <c r="AG49" i="625"/>
  <c r="H45" i="835"/>
  <c r="I45" i="835" s="1"/>
  <c r="I2" i="835" s="1"/>
  <c r="K2" i="835" s="1"/>
  <c r="AG73" i="617"/>
  <c r="AC67" i="535"/>
  <c r="AG53" i="625"/>
  <c r="AF2" i="625"/>
  <c r="M50" i="1532"/>
  <c r="M3" i="1532" s="1"/>
  <c r="M15" i="1532" s="1"/>
  <c r="AE81" i="625"/>
  <c r="AF2" i="535"/>
  <c r="AF2" i="617"/>
  <c r="AE53" i="617"/>
  <c r="AG53" i="617"/>
  <c r="M109" i="535"/>
  <c r="M110" i="535" s="1"/>
  <c r="AD61" i="535"/>
  <c r="AE61" i="535" s="1"/>
  <c r="AC59" i="535"/>
  <c r="AD1" i="5"/>
  <c r="AE45" i="617"/>
  <c r="AD4" i="617"/>
  <c r="AF4" i="617"/>
  <c r="AC1" i="5"/>
  <c r="AE77" i="617"/>
  <c r="AG77" i="617"/>
  <c r="M106" i="535"/>
  <c r="M107" i="535" s="1"/>
  <c r="AE89" i="625"/>
  <c r="AG49" i="617"/>
  <c r="AE49" i="617"/>
  <c r="AE85" i="625"/>
  <c r="AG85" i="625"/>
  <c r="AD77" i="625"/>
  <c r="AD4" i="625" s="1"/>
  <c r="AC75" i="625"/>
  <c r="L109" i="535"/>
  <c r="L110" i="535" s="1"/>
  <c r="L104" i="535"/>
  <c r="L106" i="535"/>
  <c r="L107" i="535" s="1"/>
  <c r="AE45" i="625"/>
  <c r="AG45" i="625"/>
  <c r="AG73" i="625"/>
  <c r="AE73" i="625"/>
  <c r="AE57" i="535"/>
  <c r="AG13" i="625"/>
  <c r="AE65" i="625"/>
  <c r="AG65" i="625"/>
  <c r="AE49" i="515"/>
  <c r="AE2" i="515" s="1"/>
  <c r="AD4" i="515"/>
  <c r="AG57" i="625"/>
  <c r="AE57" i="625"/>
  <c r="AF2" i="515"/>
  <c r="AD4" i="535" l="1"/>
  <c r="AE2" i="535"/>
  <c r="AB2" i="535" s="1"/>
  <c r="H50" i="1532"/>
  <c r="H3" i="1532" s="1"/>
  <c r="H15" i="1532" s="1"/>
  <c r="G50" i="1532"/>
  <c r="G3" i="1532" s="1"/>
  <c r="G15" i="1532" s="1"/>
  <c r="S50" i="1532"/>
  <c r="S3" i="1532" s="1"/>
  <c r="S15" i="1532" s="1"/>
  <c r="AE2" i="617"/>
  <c r="AB2" i="617" s="1"/>
  <c r="Q50" i="1532"/>
  <c r="Q3" i="1532" s="1"/>
  <c r="Q15" i="1532" s="1"/>
  <c r="AE4" i="617"/>
  <c r="AG4" i="617"/>
  <c r="AA1" i="5"/>
  <c r="AB2" i="515"/>
  <c r="P50" i="1532"/>
  <c r="P3" i="1532" s="1"/>
  <c r="P15" i="1532" s="1"/>
  <c r="AE77" i="625"/>
  <c r="AE2" i="625" s="1"/>
  <c r="AB2" i="625" s="1"/>
  <c r="AG77" i="625"/>
  <c r="O50" i="1532"/>
  <c r="O3" i="1532" s="1"/>
  <c r="O15" i="1532" s="1"/>
  <c r="T50" i="1532"/>
  <c r="T3" i="1532" s="1"/>
  <c r="T15" i="1532" s="1"/>
  <c r="R50" i="1532"/>
  <c r="R3" i="1532" s="1"/>
  <c r="I50" i="1532"/>
  <c r="I3" i="1532" s="1"/>
  <c r="I15" i="1532" s="1"/>
  <c r="J50" i="1532" l="1"/>
  <c r="J3" i="1532" s="1"/>
  <c r="J15" i="1532" s="1"/>
  <c r="X50" i="1532"/>
  <c r="X3" i="1532" s="1"/>
  <c r="X15" i="1532" s="1"/>
  <c r="AM8" i="1588" l="1"/>
  <c r="AE7" i="1588"/>
  <c r="AB7" i="1588"/>
  <c r="AD7" i="1588" s="1"/>
  <c r="AF7" i="1588"/>
  <c r="AJ7" i="1588" s="1"/>
  <c r="AI7" i="1588"/>
  <c r="AH7" i="1588" l="1"/>
  <c r="AG7" i="1588"/>
  <c r="AV7" i="1588"/>
  <c r="AD9" i="1588"/>
  <c r="AB95" i="1588"/>
  <c r="Z93" i="1588"/>
  <c r="AB91" i="1588"/>
  <c r="AI91" i="1588"/>
  <c r="AB59" i="1588"/>
  <c r="Z61" i="1588"/>
  <c r="Z29" i="1588"/>
  <c r="AB27" i="1588"/>
  <c r="AI27" i="1588"/>
  <c r="Z13" i="1588"/>
  <c r="AB11" i="1588"/>
  <c r="AA4" i="1588"/>
  <c r="X7" i="1588"/>
  <c r="Z85" i="1588"/>
  <c r="AB83" i="1588"/>
  <c r="AI83" i="1588"/>
  <c r="AB51" i="1588"/>
  <c r="Z53" i="1588"/>
  <c r="AE15" i="1588"/>
  <c r="AM16" i="1588"/>
  <c r="Z49" i="1588"/>
  <c r="AB47" i="1588"/>
  <c r="AM36" i="1588"/>
  <c r="AE35" i="1588"/>
  <c r="AM76" i="1588"/>
  <c r="AF75" i="1588"/>
  <c r="AG75" i="1588" s="1"/>
  <c r="AE75" i="1588"/>
  <c r="AM48" i="1588"/>
  <c r="AE47" i="1588"/>
  <c r="AE11" i="1588"/>
  <c r="AM12" i="1588"/>
  <c r="AB67" i="1588"/>
  <c r="AE67" i="1588"/>
  <c r="AM68" i="1588"/>
  <c r="AE31" i="1588"/>
  <c r="AM32" i="1588"/>
  <c r="AE87" i="1588"/>
  <c r="AM88" i="1588"/>
  <c r="AF35" i="1588"/>
  <c r="AH35" i="1588" s="1"/>
  <c r="AE83" i="1588"/>
  <c r="AM84" i="1588"/>
  <c r="AM28" i="1588"/>
  <c r="AF27" i="1588"/>
  <c r="AJ27" i="1588" s="1"/>
  <c r="AE27" i="1588"/>
  <c r="AE71" i="1588"/>
  <c r="AM72" i="1588"/>
  <c r="AM24" i="1588"/>
  <c r="AE23" i="1588"/>
  <c r="AB63" i="1588"/>
  <c r="AD63" i="1588" s="1"/>
  <c r="AV63" i="1588" s="1"/>
  <c r="AE63" i="1588"/>
  <c r="AF47" i="1588"/>
  <c r="AJ47" i="1588" s="1"/>
  <c r="AF15" i="1588"/>
  <c r="AG15" i="1588" s="1"/>
  <c r="AE59" i="1588"/>
  <c r="AF59" i="1588"/>
  <c r="AJ59" i="1588" s="1"/>
  <c r="AM60" i="1588"/>
  <c r="Z66" i="1588"/>
  <c r="AF67" i="1588"/>
  <c r="AG67" i="1588" s="1"/>
  <c r="Z74" i="1588"/>
  <c r="AM52" i="1588"/>
  <c r="AE51" i="1588"/>
  <c r="Z82" i="1588"/>
  <c r="AF83" i="1588"/>
  <c r="AJ83" i="1588" s="1"/>
  <c r="Z46" i="1588"/>
  <c r="AB30" i="1588"/>
  <c r="Z37" i="1588"/>
  <c r="AB35" i="1588"/>
  <c r="Z14" i="1588"/>
  <c r="AB15" i="1588"/>
  <c r="Z33" i="1588"/>
  <c r="AB31" i="1588"/>
  <c r="Z70" i="1588"/>
  <c r="AF71" i="1588"/>
  <c r="AJ71" i="1588" s="1"/>
  <c r="AB50" i="1588"/>
  <c r="Z30" i="1588"/>
  <c r="AF31" i="1588"/>
  <c r="AJ31" i="1588" s="1"/>
  <c r="AM80" i="1588"/>
  <c r="AE79" i="1588"/>
  <c r="AF95" i="1588"/>
  <c r="AG95" i="1588" s="1"/>
  <c r="AE95" i="1588"/>
  <c r="Z94" i="1588"/>
  <c r="AM96" i="1588"/>
  <c r="Z34" i="1588"/>
  <c r="Z58" i="1588"/>
  <c r="Z26" i="1588"/>
  <c r="AB46" i="1588"/>
  <c r="AB23" i="1588"/>
  <c r="AD23" i="1588" s="1"/>
  <c r="AB71" i="1588"/>
  <c r="AD71" i="1588" s="1"/>
  <c r="AD73" i="1588" s="1"/>
  <c r="AB75" i="1588"/>
  <c r="AD75" i="1588" s="1"/>
  <c r="AB34" i="1588"/>
  <c r="AB14" i="1588"/>
  <c r="AB10" i="1588"/>
  <c r="Z50" i="1588"/>
  <c r="AF51" i="1588"/>
  <c r="AJ51" i="1588" s="1"/>
  <c r="Z78" i="1588"/>
  <c r="AF79" i="1588"/>
  <c r="AJ79" i="1588" s="1"/>
  <c r="AB90" i="1588"/>
  <c r="AQ95" i="1588"/>
  <c r="X94" i="1588" s="1"/>
  <c r="AB94" i="1588"/>
  <c r="AF91" i="1588"/>
  <c r="AJ91" i="1588" s="1"/>
  <c r="AM92" i="1588"/>
  <c r="Z90" i="1588"/>
  <c r="AE91" i="1588"/>
  <c r="AB66" i="1588"/>
  <c r="AQ51" i="1588"/>
  <c r="X10" i="1588"/>
  <c r="Z86" i="1588"/>
  <c r="AF87" i="1588"/>
  <c r="AJ87" i="1588" s="1"/>
  <c r="Z22" i="1588"/>
  <c r="AF23" i="1588"/>
  <c r="AJ23" i="1588" s="1"/>
  <c r="AB82" i="1588"/>
  <c r="X82" i="1588"/>
  <c r="AQ67" i="1588"/>
  <c r="X66" i="1588" s="1"/>
  <c r="Z62" i="1588"/>
  <c r="X26" i="1588"/>
  <c r="AB26" i="1588"/>
  <c r="X90" i="1588"/>
  <c r="X58" i="1588"/>
  <c r="AB58" i="1588"/>
  <c r="X46" i="1588"/>
  <c r="AB79" i="1588"/>
  <c r="AD79" i="1588" s="1"/>
  <c r="AB87" i="1588"/>
  <c r="AD87" i="1588" s="1"/>
  <c r="AV87" i="1588" s="1"/>
  <c r="X34" i="1588"/>
  <c r="AQ31" i="1588"/>
  <c r="AQ15" i="1588"/>
  <c r="AI59" i="1588"/>
  <c r="AD83" i="1588" l="1"/>
  <c r="AD85" i="1588" s="1"/>
  <c r="AD27" i="1588"/>
  <c r="AV27" i="1588" s="1"/>
  <c r="AJ35" i="1588"/>
  <c r="AD35" i="1588"/>
  <c r="AD37" i="1588" s="1"/>
  <c r="AD11" i="1588"/>
  <c r="AD13" i="1588" s="1"/>
  <c r="AD59" i="1588"/>
  <c r="AV59" i="1588" s="1"/>
  <c r="AD95" i="1588"/>
  <c r="AV95" i="1588" s="1"/>
  <c r="AD31" i="1588"/>
  <c r="AD33" i="1588" s="1"/>
  <c r="AJ15" i="1588"/>
  <c r="AJ75" i="1588"/>
  <c r="X30" i="1588"/>
  <c r="X50" i="1588"/>
  <c r="AD91" i="1588"/>
  <c r="AD93" i="1588" s="1"/>
  <c r="AD51" i="1588"/>
  <c r="AV51" i="1588" s="1"/>
  <c r="AH15" i="1588"/>
  <c r="AD47" i="1588"/>
  <c r="AD49" i="1588" s="1"/>
  <c r="AD67" i="1588"/>
  <c r="AD69" i="1588" s="1"/>
  <c r="X14" i="1588"/>
  <c r="AH23" i="1588"/>
  <c r="AG87" i="1588"/>
  <c r="AG23" i="1588"/>
  <c r="AH87" i="1588"/>
  <c r="AD15" i="1588"/>
  <c r="AV15" i="1588" s="1"/>
  <c r="AQ4" i="1588"/>
  <c r="AV71" i="1588"/>
  <c r="AG35" i="1588"/>
  <c r="AD89" i="1588"/>
  <c r="AG27" i="1588"/>
  <c r="AV83" i="1588"/>
  <c r="AD25" i="1588"/>
  <c r="AV23" i="1588"/>
  <c r="AV79" i="1588"/>
  <c r="AD81" i="1588"/>
  <c r="AV75" i="1588"/>
  <c r="AD77" i="1588"/>
  <c r="AH31" i="1588"/>
  <c r="AH71" i="1588"/>
  <c r="AG83" i="1588"/>
  <c r="AH67" i="1588"/>
  <c r="AH91" i="1588"/>
  <c r="AD65" i="1588"/>
  <c r="AJ67" i="1588"/>
  <c r="AH75" i="1588"/>
  <c r="AH79" i="1588"/>
  <c r="AH51" i="1588"/>
  <c r="AG31" i="1588"/>
  <c r="AG71" i="1588"/>
  <c r="AH83" i="1588"/>
  <c r="AH47" i="1588"/>
  <c r="AG91" i="1588"/>
  <c r="AH27" i="1588"/>
  <c r="AD29" i="1588"/>
  <c r="AG79" i="1588"/>
  <c r="AG51" i="1588"/>
  <c r="AH59" i="1588"/>
  <c r="AH95" i="1588"/>
  <c r="AJ95" i="1588"/>
  <c r="AG47" i="1588"/>
  <c r="AG59" i="1588"/>
  <c r="AI31" i="1588"/>
  <c r="AV35" i="1588" l="1"/>
  <c r="AV91" i="1588"/>
  <c r="AV11" i="1588"/>
  <c r="AD97" i="1588"/>
  <c r="AV31" i="1588"/>
  <c r="AD61" i="1588"/>
  <c r="AD17" i="1588"/>
  <c r="AV67" i="1588"/>
  <c r="AD53" i="1588"/>
  <c r="AV47" i="1588"/>
  <c r="AI87" i="1588"/>
  <c r="AI47" i="1588"/>
  <c r="AI35" i="1588"/>
  <c r="AI15" i="1588"/>
  <c r="AI71" i="1588"/>
  <c r="AI51" i="1588"/>
  <c r="AI95" i="1588"/>
  <c r="AI79" i="1588"/>
  <c r="AI67" i="1588"/>
  <c r="AI75" i="1588"/>
  <c r="AI23" i="1588"/>
  <c r="X8" i="1588"/>
  <c r="Z6" i="1588" s="1"/>
  <c r="Z10" i="1588"/>
  <c r="AF11" i="1588"/>
  <c r="AH11" i="1588" s="1"/>
  <c r="AH2" i="1588" s="1"/>
  <c r="AJ11" i="1588" l="1"/>
  <c r="AF4" i="1588"/>
  <c r="AG11" i="1588"/>
  <c r="AI11" i="1588"/>
  <c r="AI2" i="1588" l="1"/>
  <c r="AD2" i="1588" s="1"/>
  <c r="X31" i="1585"/>
  <c r="X27" i="1585"/>
  <c r="O27" i="1585"/>
  <c r="R38" i="1585"/>
  <c r="T28" i="1585"/>
  <c r="O37" i="1585"/>
  <c r="X42" i="1585"/>
  <c r="Q49" i="1585"/>
  <c r="I47" i="1585"/>
  <c r="S44" i="1585"/>
  <c r="F24" i="1585"/>
  <c r="O21" i="1585"/>
  <c r="E40" i="1585"/>
  <c r="J30" i="1585"/>
  <c r="N43" i="1585"/>
  <c r="V38" i="1585"/>
  <c r="V30" i="1585"/>
  <c r="P37" i="1585"/>
  <c r="U36" i="1585"/>
  <c r="M25" i="1585"/>
  <c r="F41" i="1585"/>
  <c r="N25" i="1585"/>
  <c r="I46" i="1585"/>
  <c r="M35" i="1585"/>
  <c r="V47" i="1585"/>
  <c r="M36" i="1585"/>
  <c r="D29" i="1585"/>
  <c r="I45" i="1585"/>
  <c r="J25" i="1585"/>
  <c r="H38" i="1585"/>
  <c r="R26" i="1585"/>
  <c r="G23" i="1585"/>
  <c r="C28" i="1585"/>
  <c r="E24" i="1585"/>
  <c r="R32" i="1585"/>
  <c r="D32" i="1585"/>
  <c r="G49" i="1585"/>
  <c r="R49" i="1585"/>
  <c r="Q48" i="1585"/>
  <c r="S45" i="1585"/>
  <c r="C21" i="1585"/>
  <c r="D40" i="1585"/>
  <c r="K19" i="1585"/>
  <c r="Q38" i="1585"/>
  <c r="Q31" i="1585"/>
  <c r="P47" i="1585"/>
  <c r="I36" i="1585"/>
  <c r="X33" i="1585"/>
  <c r="R33" i="1585"/>
  <c r="I20" i="1585"/>
  <c r="G46" i="1585"/>
  <c r="T36" i="1585"/>
  <c r="X45" i="1585"/>
  <c r="D33" i="1585"/>
  <c r="U45" i="1585"/>
  <c r="H33" i="1585"/>
  <c r="N21" i="1585"/>
  <c r="D49" i="1585"/>
  <c r="E38" i="1585"/>
  <c r="S20" i="1585"/>
  <c r="U38" i="1585"/>
  <c r="Q35" i="1585"/>
  <c r="O39" i="1585"/>
  <c r="N33" i="1585"/>
  <c r="R34" i="1585"/>
  <c r="I19" i="1585"/>
  <c r="S37" i="1585"/>
  <c r="D22" i="1585"/>
  <c r="F45" i="1585"/>
  <c r="N32" i="1585"/>
  <c r="S32" i="1585"/>
  <c r="Q28" i="1585"/>
  <c r="Q20" i="1585"/>
  <c r="F49" i="1585"/>
  <c r="F35" i="1585"/>
  <c r="U31" i="1585"/>
  <c r="F21" i="1585"/>
  <c r="S38" i="1585"/>
  <c r="D21" i="1585"/>
  <c r="J23" i="1585"/>
  <c r="U28" i="1585"/>
  <c r="N26" i="1585"/>
  <c r="O19" i="1585"/>
  <c r="X24" i="1585"/>
  <c r="X32" i="1585"/>
  <c r="S29" i="1585"/>
  <c r="V25" i="1585"/>
  <c r="H37" i="1585"/>
  <c r="P19" i="1585"/>
  <c r="M47" i="1585"/>
  <c r="Q37" i="1585"/>
  <c r="H27" i="1585"/>
  <c r="C49" i="1585"/>
  <c r="D25" i="1585"/>
  <c r="R21" i="1585"/>
  <c r="T45" i="1585"/>
  <c r="V35" i="1585"/>
  <c r="F26" i="1585"/>
  <c r="R46" i="1585"/>
  <c r="V34" i="1585"/>
  <c r="H47" i="1585"/>
  <c r="O32" i="1585"/>
  <c r="F31" i="1585"/>
  <c r="T38" i="1585"/>
  <c r="X30" i="1585"/>
  <c r="E46" i="1585"/>
  <c r="G45" i="1585"/>
  <c r="E31" i="1585"/>
  <c r="R30" i="1585"/>
  <c r="T19" i="1585"/>
  <c r="O41" i="1585"/>
  <c r="H46" i="1585"/>
  <c r="P43" i="1585"/>
  <c r="F20" i="1585"/>
  <c r="G33" i="1585"/>
  <c r="M46" i="1585"/>
  <c r="E39" i="1585"/>
  <c r="O29" i="1585"/>
  <c r="S21" i="1585"/>
  <c r="U25" i="1585"/>
  <c r="I48" i="1585"/>
  <c r="M31" i="1585"/>
  <c r="T26" i="1585"/>
  <c r="O20" i="1585"/>
  <c r="S35" i="1585"/>
  <c r="R27" i="1585"/>
  <c r="N40" i="1585"/>
  <c r="I29" i="1585"/>
  <c r="U29" i="1585"/>
  <c r="G28" i="1585"/>
  <c r="P21" i="1585"/>
  <c r="F47" i="1585"/>
  <c r="U21" i="1585"/>
  <c r="U39" i="1585"/>
  <c r="S40" i="1585"/>
  <c r="H34" i="1585"/>
  <c r="T48" i="1585"/>
  <c r="U42" i="1585"/>
  <c r="O25" i="1585"/>
  <c r="J42" i="1585"/>
  <c r="T40" i="1585"/>
  <c r="P48" i="1585"/>
  <c r="J22" i="1585"/>
  <c r="S39" i="1585"/>
  <c r="U43" i="1585"/>
  <c r="E36" i="1585"/>
  <c r="M32" i="1585"/>
  <c r="U23" i="1585"/>
  <c r="T29" i="1585"/>
  <c r="O24" i="1585"/>
  <c r="D45" i="1585"/>
  <c r="I32" i="1585"/>
  <c r="U19" i="1585"/>
  <c r="Q32" i="1585"/>
  <c r="P41" i="1585"/>
  <c r="J47" i="1585"/>
  <c r="I24" i="1585"/>
  <c r="Q42" i="1585"/>
  <c r="G22" i="1585"/>
  <c r="R19" i="1585"/>
  <c r="G48" i="1585"/>
  <c r="P25" i="1585"/>
  <c r="Q29" i="1585"/>
  <c r="C48" i="1585"/>
  <c r="V28" i="1585"/>
  <c r="D19" i="1585"/>
  <c r="U47" i="1585"/>
  <c r="G39" i="1585"/>
  <c r="X22" i="1585"/>
  <c r="O47" i="1585"/>
  <c r="J27" i="1585"/>
  <c r="E35" i="1585"/>
  <c r="G41" i="1585"/>
  <c r="I37" i="1585"/>
  <c r="M48" i="1585"/>
  <c r="P38" i="1585"/>
  <c r="D46" i="1585"/>
  <c r="D31" i="1585"/>
  <c r="S48" i="1585"/>
  <c r="J34" i="1585"/>
  <c r="I21" i="1585"/>
  <c r="V31" i="1585"/>
  <c r="F46" i="1585"/>
  <c r="M27" i="1585"/>
  <c r="F40" i="1585"/>
  <c r="S25" i="1585"/>
  <c r="P33" i="1585"/>
  <c r="C19" i="1585"/>
  <c r="S49" i="1585"/>
  <c r="O26" i="1585"/>
  <c r="D36" i="1585"/>
  <c r="D44" i="1585"/>
  <c r="F23" i="1585"/>
  <c r="Q21" i="1585"/>
  <c r="V19" i="1585"/>
  <c r="V40" i="1585"/>
  <c r="T34" i="1585"/>
  <c r="Q41" i="1585"/>
  <c r="F37" i="1585"/>
  <c r="H36" i="1585"/>
  <c r="E21" i="1585"/>
  <c r="D37" i="1585"/>
  <c r="M33" i="1585"/>
  <c r="U49" i="1585"/>
  <c r="J43" i="1585"/>
  <c r="D24" i="1585"/>
  <c r="V49" i="1585"/>
  <c r="I22" i="1585"/>
  <c r="V41" i="1585"/>
  <c r="E19" i="1585"/>
  <c r="P44" i="1585"/>
  <c r="V37" i="1585"/>
  <c r="H31" i="1585"/>
  <c r="C39" i="1585"/>
  <c r="F22" i="1585"/>
  <c r="F29" i="1585"/>
  <c r="H49" i="1585"/>
  <c r="N23" i="1585"/>
  <c r="I35" i="1585"/>
  <c r="O42" i="1585"/>
  <c r="D26" i="1585"/>
  <c r="P45" i="1585"/>
  <c r="E48" i="1585"/>
  <c r="U24" i="1585"/>
  <c r="X39" i="1585"/>
  <c r="P23" i="1585"/>
  <c r="J39" i="1585"/>
  <c r="M45" i="1585"/>
  <c r="X35" i="1585"/>
  <c r="G26" i="1585"/>
  <c r="T42" i="1585"/>
  <c r="J35" i="1585"/>
  <c r="T46" i="1585"/>
  <c r="D38" i="1585"/>
  <c r="C33" i="1585"/>
  <c r="N41" i="1585"/>
  <c r="H32" i="1585"/>
  <c r="V29" i="1585"/>
  <c r="V39" i="1585"/>
  <c r="P22" i="1585"/>
  <c r="U30" i="1585"/>
  <c r="M30" i="1585"/>
  <c r="T43" i="1585"/>
  <c r="R37" i="1585"/>
  <c r="I31" i="1585"/>
  <c r="I42" i="1585"/>
  <c r="C22" i="1585"/>
  <c r="E49" i="1585"/>
  <c r="P28" i="1585"/>
  <c r="N35" i="1585"/>
  <c r="J19" i="1585"/>
  <c r="J31" i="1585"/>
  <c r="M44" i="1585"/>
  <c r="H44" i="1585"/>
  <c r="R39" i="1585"/>
  <c r="S34" i="1585"/>
  <c r="R23" i="1585"/>
  <c r="I38" i="1585"/>
  <c r="U22" i="1585"/>
  <c r="C46" i="1585"/>
  <c r="T21" i="1585"/>
  <c r="V26" i="1585"/>
  <c r="S46" i="1585"/>
  <c r="G27" i="1585"/>
  <c r="N30" i="1585"/>
  <c r="U26" i="1585"/>
  <c r="I23" i="1585"/>
  <c r="M41" i="1585"/>
  <c r="Q47" i="1585"/>
  <c r="X19" i="1585"/>
  <c r="E22" i="1585"/>
  <c r="V42" i="1585"/>
  <c r="E26" i="1585"/>
  <c r="O33" i="1585"/>
  <c r="R24" i="1585"/>
  <c r="Q23" i="1585"/>
  <c r="M20" i="1585"/>
  <c r="D39" i="1585"/>
  <c r="G36" i="1585"/>
  <c r="H23" i="1585"/>
  <c r="J24" i="1585"/>
  <c r="N39" i="1585"/>
  <c r="T32" i="1585"/>
  <c r="R42" i="1585"/>
  <c r="Q24" i="1585"/>
  <c r="O45" i="1585"/>
  <c r="X21" i="1585"/>
  <c r="M38" i="1585"/>
  <c r="J26" i="1585"/>
  <c r="Q43" i="1585"/>
  <c r="M22" i="1585"/>
  <c r="R28" i="1585"/>
  <c r="D48" i="1585"/>
  <c r="S41" i="1585"/>
  <c r="I43" i="1585"/>
  <c r="C40" i="1585"/>
  <c r="M39" i="1585"/>
  <c r="D23" i="1585"/>
  <c r="C24" i="1585"/>
  <c r="J20" i="1585"/>
  <c r="J21" i="1585"/>
  <c r="O35" i="1585"/>
  <c r="T49" i="1585"/>
  <c r="R35" i="1585"/>
  <c r="R41" i="1585"/>
  <c r="S33" i="1585"/>
  <c r="J45" i="1585"/>
  <c r="N42" i="1585"/>
  <c r="C47" i="1585"/>
  <c r="R25" i="1585"/>
  <c r="V45" i="1585"/>
  <c r="F28" i="1585"/>
  <c r="N46" i="1585"/>
  <c r="V36" i="1585"/>
  <c r="X41" i="1585"/>
  <c r="R44" i="1585"/>
  <c r="F38" i="1585"/>
  <c r="T37" i="1585"/>
  <c r="O36" i="1585"/>
  <c r="C42" i="1585"/>
  <c r="D28" i="1585"/>
  <c r="X29" i="1585"/>
  <c r="G47" i="1585"/>
  <c r="C44" i="1585"/>
  <c r="I27" i="1585"/>
  <c r="C31" i="1585"/>
  <c r="J44" i="1585"/>
  <c r="H42" i="1585"/>
  <c r="I30" i="1585"/>
  <c r="Q27" i="1585"/>
  <c r="W19" i="1585"/>
  <c r="N49" i="1585"/>
  <c r="R47" i="1585"/>
  <c r="G29" i="1585"/>
  <c r="E44" i="1585"/>
  <c r="Q30" i="1585"/>
  <c r="N45" i="1585"/>
  <c r="I33" i="1585"/>
  <c r="H28" i="1585"/>
  <c r="F25" i="1585"/>
  <c r="H29" i="1585"/>
  <c r="X38" i="1585"/>
  <c r="P36" i="1585"/>
  <c r="S43" i="1585"/>
  <c r="P32" i="1585"/>
  <c r="M23" i="1585"/>
  <c r="Q26" i="1585"/>
  <c r="N38" i="1585"/>
  <c r="Q45" i="1585"/>
  <c r="I39" i="1585"/>
  <c r="I28" i="1585"/>
  <c r="Q33" i="1585"/>
  <c r="H25" i="1585"/>
  <c r="C30" i="1585"/>
  <c r="T30" i="1585"/>
  <c r="E29" i="1585"/>
  <c r="C36" i="1585"/>
  <c r="Q22" i="1585"/>
  <c r="V21" i="1585"/>
  <c r="R22" i="1585"/>
  <c r="P39" i="1585"/>
  <c r="M26" i="1585"/>
  <c r="T20" i="1585"/>
  <c r="F42" i="1585"/>
  <c r="X37" i="1585"/>
  <c r="X44" i="1585"/>
  <c r="S24" i="1585"/>
  <c r="R31" i="1585"/>
  <c r="D34" i="1585"/>
  <c r="M19" i="1585"/>
  <c r="P49" i="1585"/>
  <c r="O38" i="1585"/>
  <c r="M40" i="1585"/>
  <c r="P26" i="1585"/>
  <c r="O43" i="1585"/>
  <c r="T41" i="1585"/>
  <c r="X49" i="1585"/>
  <c r="E27" i="1585"/>
  <c r="P29" i="1585"/>
  <c r="M21" i="1585"/>
  <c r="C20" i="1585"/>
  <c r="F48" i="1585"/>
  <c r="D30" i="1585"/>
  <c r="P20" i="1585"/>
  <c r="N19" i="1585"/>
  <c r="I44" i="1585"/>
  <c r="M29" i="1585"/>
  <c r="J48" i="1585"/>
  <c r="R43" i="1585"/>
  <c r="G24" i="1585"/>
  <c r="D27" i="1585"/>
  <c r="X43" i="1585"/>
  <c r="X25" i="1585"/>
  <c r="I34" i="1585"/>
  <c r="S36" i="1585"/>
  <c r="C26" i="1585"/>
  <c r="R40" i="1585"/>
  <c r="H21" i="1585"/>
  <c r="E34" i="1585"/>
  <c r="D43" i="1585"/>
  <c r="H35" i="1585"/>
  <c r="U33" i="1585"/>
  <c r="U35" i="1585"/>
  <c r="S26" i="1585"/>
  <c r="H40" i="1585"/>
  <c r="U20" i="1585"/>
  <c r="H45" i="1585"/>
  <c r="N29" i="1585"/>
  <c r="J41" i="1585"/>
  <c r="E45" i="1585"/>
  <c r="E42" i="1585"/>
  <c r="T44" i="1585"/>
  <c r="N47" i="1585"/>
  <c r="R29" i="1585"/>
  <c r="V20" i="1585"/>
  <c r="I49" i="1585"/>
  <c r="G44" i="1585"/>
  <c r="R48" i="1585"/>
  <c r="X23" i="1585"/>
  <c r="E25" i="1585"/>
  <c r="M28" i="1585"/>
  <c r="T31" i="1585"/>
  <c r="C37" i="1585"/>
  <c r="P30" i="1585"/>
  <c r="E20" i="1585"/>
  <c r="T47" i="1585"/>
  <c r="J38" i="1585"/>
  <c r="C32" i="1585"/>
  <c r="O44" i="1585"/>
  <c r="U41" i="1585"/>
  <c r="R20" i="1585"/>
  <c r="V43" i="1585"/>
  <c r="T27" i="1585"/>
  <c r="J36" i="1585"/>
  <c r="N31" i="1585"/>
  <c r="N22" i="1585"/>
  <c r="F27" i="1585"/>
  <c r="D35" i="1585"/>
  <c r="U40" i="1585"/>
  <c r="O40" i="1585"/>
  <c r="X34" i="1585"/>
  <c r="M24" i="1585"/>
  <c r="U27" i="1585"/>
  <c r="I26" i="1585"/>
  <c r="Q39" i="1585"/>
  <c r="N37" i="1585"/>
  <c r="N28" i="1585"/>
  <c r="C45" i="1585"/>
  <c r="V23" i="1585"/>
  <c r="U46" i="1585"/>
  <c r="F34" i="1585"/>
  <c r="C23" i="1585"/>
  <c r="P34" i="1585"/>
  <c r="D47" i="1585"/>
  <c r="E47" i="1585"/>
  <c r="V22" i="1585"/>
  <c r="G34" i="1585"/>
  <c r="O30" i="1585"/>
  <c r="H19" i="1585"/>
  <c r="F19" i="1585"/>
  <c r="G43" i="1585"/>
  <c r="P27" i="1585"/>
  <c r="F32" i="1585"/>
  <c r="D20" i="1585"/>
  <c r="M37" i="1585"/>
  <c r="V33" i="1585"/>
  <c r="O34" i="1585"/>
  <c r="T33" i="1585"/>
  <c r="S27" i="1585"/>
  <c r="S23" i="1585"/>
  <c r="V32" i="1585"/>
  <c r="E23" i="1585"/>
  <c r="Q19" i="1585"/>
  <c r="H43" i="1585"/>
  <c r="P40" i="1585"/>
  <c r="Q25" i="1585"/>
  <c r="X47" i="1585"/>
  <c r="P46" i="1585"/>
  <c r="D41" i="1585"/>
  <c r="H22" i="1585"/>
  <c r="G19" i="1585"/>
  <c r="T23" i="1585"/>
  <c r="P31" i="1585"/>
  <c r="N34" i="1585"/>
  <c r="S31" i="1585"/>
  <c r="H24" i="1585"/>
  <c r="H39" i="1585"/>
  <c r="V24" i="1585"/>
  <c r="O31" i="1585"/>
  <c r="C34" i="1585"/>
  <c r="N44" i="1585"/>
  <c r="J49" i="1585"/>
  <c r="G31" i="1585"/>
  <c r="J37" i="1585"/>
  <c r="E33" i="1585"/>
  <c r="V46" i="1585"/>
  <c r="H41" i="1585"/>
  <c r="C38" i="1585"/>
  <c r="J28" i="1585"/>
  <c r="U32" i="1585"/>
  <c r="E41" i="1585"/>
  <c r="O28" i="1585"/>
  <c r="P35" i="1585"/>
  <c r="T22" i="1585"/>
  <c r="E30" i="1585"/>
  <c r="X28" i="1585"/>
  <c r="C41" i="1585"/>
  <c r="C25" i="1585"/>
  <c r="G20" i="1585"/>
  <c r="F33" i="1585"/>
  <c r="F36" i="1585"/>
  <c r="G21" i="1585"/>
  <c r="T39" i="1585"/>
  <c r="I41" i="1585"/>
  <c r="G35" i="1585"/>
  <c r="N48" i="1585"/>
  <c r="G42" i="1585"/>
  <c r="X36" i="1585"/>
  <c r="Q44" i="1585"/>
  <c r="I25" i="1585"/>
  <c r="G30" i="1585"/>
  <c r="T24" i="1585"/>
  <c r="X48" i="1585"/>
  <c r="F44" i="1585"/>
  <c r="V44" i="1585"/>
  <c r="F39" i="1585"/>
  <c r="M43" i="1585"/>
  <c r="C35" i="1585"/>
  <c r="V27" i="1585"/>
  <c r="J32" i="1585"/>
  <c r="S42" i="1585"/>
  <c r="M49" i="1585"/>
  <c r="N20" i="1585"/>
  <c r="T25" i="1585"/>
  <c r="S28" i="1585"/>
  <c r="S30" i="1585"/>
  <c r="U48" i="1585"/>
  <c r="F43" i="1585"/>
  <c r="P42" i="1585"/>
  <c r="E28" i="1585"/>
  <c r="O23" i="1585"/>
  <c r="N27" i="1585"/>
  <c r="Q46" i="1585"/>
  <c r="S47" i="1585"/>
  <c r="U34" i="1585"/>
  <c r="H26" i="1585"/>
  <c r="G37" i="1585"/>
  <c r="U44" i="1585"/>
  <c r="M42" i="1585"/>
  <c r="E37" i="1585"/>
  <c r="O49" i="1585"/>
  <c r="O48" i="1585"/>
  <c r="P24" i="1585"/>
  <c r="C19" i="1532"/>
  <c r="C43" i="1585"/>
  <c r="S19" i="1585"/>
  <c r="X46" i="1585"/>
  <c r="J40" i="1585"/>
  <c r="V48" i="1585"/>
  <c r="O46" i="1585"/>
  <c r="X20" i="1585"/>
  <c r="I40" i="1585"/>
  <c r="G32" i="1585"/>
  <c r="R45" i="1585"/>
  <c r="G40" i="1585"/>
  <c r="F30" i="1585"/>
  <c r="J33" i="1585"/>
  <c r="C29" i="1585"/>
  <c r="E43" i="1585"/>
  <c r="G25" i="1585"/>
  <c r="H48" i="1585"/>
  <c r="L19" i="1585"/>
  <c r="R36" i="1585"/>
  <c r="J46" i="1585"/>
  <c r="X40" i="1585"/>
  <c r="Q36" i="1585"/>
  <c r="S22" i="1585"/>
  <c r="G38" i="1585"/>
  <c r="Q40" i="1585"/>
  <c r="H30" i="1585"/>
  <c r="H20" i="1585"/>
  <c r="N24" i="1585"/>
  <c r="T35" i="1585"/>
  <c r="C27" i="1585"/>
  <c r="N36" i="1585"/>
  <c r="X26" i="1585"/>
  <c r="Q34" i="1585"/>
  <c r="D42" i="1585"/>
  <c r="U37" i="1585"/>
  <c r="E32" i="1585"/>
  <c r="J29" i="1585"/>
  <c r="O22" i="1585"/>
  <c r="M34" i="1585"/>
  <c r="L50" i="1585" l="1"/>
  <c r="L3" i="1585" s="1"/>
  <c r="S50" i="1585"/>
  <c r="S3" i="1585" s="1"/>
  <c r="S15" i="1585" s="1"/>
  <c r="C50" i="1532"/>
  <c r="C3" i="1532" s="1"/>
  <c r="C15" i="1532" s="1"/>
  <c r="G50" i="1585"/>
  <c r="G3" i="1585" s="1"/>
  <c r="G15" i="1585" s="1"/>
  <c r="Q50" i="1585"/>
  <c r="Q3" i="1585" s="1"/>
  <c r="Q15" i="1585" s="1"/>
  <c r="F50" i="1585"/>
  <c r="F3" i="1585" s="1"/>
  <c r="F15" i="1585" s="1"/>
  <c r="H50" i="1585"/>
  <c r="H3" i="1585" s="1"/>
  <c r="H15" i="1585" s="1"/>
  <c r="N50" i="1585"/>
  <c r="N3" i="1585" s="1"/>
  <c r="N15" i="1585" s="1"/>
  <c r="M50" i="1585"/>
  <c r="M3" i="1585" s="1"/>
  <c r="M15" i="1585" s="1"/>
  <c r="W50" i="1585"/>
  <c r="W3" i="1585" s="1"/>
  <c r="W15" i="1585" s="1"/>
  <c r="X50" i="1585"/>
  <c r="X3" i="1585" s="1"/>
  <c r="X15" i="1585" s="1"/>
  <c r="J50" i="1585"/>
  <c r="J3" i="1585" s="1"/>
  <c r="J15" i="1585" s="1"/>
  <c r="E50" i="1585"/>
  <c r="E3" i="1585" s="1"/>
  <c r="E15" i="1585" s="1"/>
  <c r="V50" i="1585"/>
  <c r="V3" i="1585" s="1"/>
  <c r="C50" i="1585"/>
  <c r="C3" i="1585" s="1"/>
  <c r="C15" i="1585" s="1"/>
  <c r="D50" i="1585"/>
  <c r="D3" i="1585" s="1"/>
  <c r="D15" i="1585" s="1"/>
  <c r="R50" i="1585"/>
  <c r="R3" i="1585" s="1"/>
  <c r="U50" i="1585"/>
  <c r="U3" i="1585" s="1"/>
  <c r="U15" i="1585" s="1"/>
  <c r="T50" i="1585"/>
  <c r="T3" i="1585" s="1"/>
  <c r="T15" i="1585" s="1"/>
  <c r="P50" i="1585"/>
  <c r="P3" i="1585" s="1"/>
  <c r="P15" i="1585" s="1"/>
  <c r="O50" i="1585"/>
  <c r="O3" i="1585" s="1"/>
  <c r="O15" i="1585" s="1"/>
  <c r="I50" i="1585"/>
  <c r="I3" i="1585" s="1"/>
  <c r="I15" i="1585" s="1"/>
  <c r="K50" i="1585"/>
  <c r="K3" i="1585" s="1"/>
  <c r="K15" i="1585" s="1"/>
  <c r="D19" i="1532"/>
  <c r="D50" i="1532" l="1"/>
  <c r="D3" i="1532" s="1"/>
  <c r="D15" i="1532" s="1"/>
  <c r="E19" i="1532"/>
  <c r="F19" i="1532"/>
  <c r="F50" i="1532" l="1"/>
  <c r="F3" i="1532" s="1"/>
  <c r="F15" i="1532" s="1"/>
</calcChain>
</file>

<file path=xl/sharedStrings.xml><?xml version="1.0" encoding="utf-8"?>
<sst xmlns="http://schemas.openxmlformats.org/spreadsheetml/2006/main" count="9224" uniqueCount="512">
  <si>
    <t>IMPORT</t>
  </si>
  <si>
    <t>MODELE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</si>
  <si>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</si>
  <si>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</si>
  <si>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</si>
  <si>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</si>
  <si>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</si>
  <si>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</si>
  <si>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</si>
  <si>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</si>
  <si>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</si>
  <si>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</si>
  <si>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</si>
  <si>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Total</t>
  </si>
  <si>
    <t>Cumul</t>
  </si>
  <si>
    <t>Encours</t>
  </si>
  <si>
    <t>CH</t>
  </si>
  <si>
    <t>Sortie Chaine</t>
  </si>
  <si>
    <t>Effectifs</t>
  </si>
  <si>
    <t>Stagiaire</t>
  </si>
  <si>
    <t>VT</t>
  </si>
  <si>
    <t>Entre Chaine</t>
  </si>
  <si>
    <t>EFF</t>
  </si>
  <si>
    <t>P/H</t>
  </si>
  <si>
    <t>DESIG</t>
  </si>
  <si>
    <t>Meth</t>
  </si>
  <si>
    <t>Réel</t>
  </si>
  <si>
    <t>CODERSA   s.a.r.l</t>
  </si>
  <si>
    <t>DATE :</t>
  </si>
  <si>
    <t>LA FICHE DE PRODUCTION  DES CHAÎNES  E06.03C</t>
  </si>
  <si>
    <t>CLIENT</t>
  </si>
  <si>
    <t>LUSO</t>
  </si>
  <si>
    <t>4043-257-721</t>
  </si>
  <si>
    <t>Veste</t>
  </si>
  <si>
    <t>092-20</t>
  </si>
  <si>
    <t>Stear</t>
  </si>
  <si>
    <t>8147-287-330</t>
  </si>
  <si>
    <t>Robe</t>
  </si>
  <si>
    <t>Manteau</t>
  </si>
  <si>
    <t>Masque</t>
  </si>
  <si>
    <t>Chemise</t>
  </si>
  <si>
    <t>Pantalon</t>
  </si>
  <si>
    <t>Sweet</t>
  </si>
  <si>
    <t>Mango</t>
  </si>
  <si>
    <t>Luso</t>
  </si>
  <si>
    <t>Mono</t>
  </si>
  <si>
    <t>Bermuda</t>
  </si>
  <si>
    <t>Top</t>
  </si>
  <si>
    <t>037-20</t>
  </si>
  <si>
    <t>4043-100-093</t>
  </si>
  <si>
    <t>089-20</t>
  </si>
  <si>
    <t>8029-743-999</t>
  </si>
  <si>
    <t>101-20</t>
  </si>
  <si>
    <t>4043-263-063</t>
  </si>
  <si>
    <t>Gilet</t>
  </si>
  <si>
    <t>091-20</t>
  </si>
  <si>
    <t>8223-431-800</t>
  </si>
  <si>
    <t>Short</t>
  </si>
  <si>
    <t>043-20</t>
  </si>
  <si>
    <t>093-20</t>
  </si>
  <si>
    <t>8168-289-069</t>
  </si>
  <si>
    <t>071-20</t>
  </si>
  <si>
    <t>074-20</t>
  </si>
  <si>
    <t>076-20</t>
  </si>
  <si>
    <t>Imprima</t>
  </si>
  <si>
    <t>ZALI01 LOUP CHINE</t>
  </si>
  <si>
    <t>8138-495-172</t>
  </si>
  <si>
    <t>8160-275-330</t>
  </si>
  <si>
    <t>100-20</t>
  </si>
  <si>
    <t>8150-305-942</t>
  </si>
  <si>
    <t>105-20</t>
  </si>
  <si>
    <t>701366 will</t>
  </si>
  <si>
    <t>Moy</t>
  </si>
  <si>
    <t>R%</t>
  </si>
  <si>
    <t>4043-800-063</t>
  </si>
  <si>
    <t>JAMAL</t>
  </si>
  <si>
    <t>DENNI</t>
  </si>
  <si>
    <t>HICHAM</t>
  </si>
  <si>
    <t>KHALID</t>
  </si>
  <si>
    <t>ABDENOUR</t>
  </si>
  <si>
    <t>FARID</t>
  </si>
  <si>
    <t>EXL 009-20</t>
  </si>
  <si>
    <t>6:45</t>
  </si>
  <si>
    <t>7:45</t>
  </si>
  <si>
    <t>8:45</t>
  </si>
  <si>
    <t>9:45</t>
  </si>
  <si>
    <t>11:00</t>
  </si>
  <si>
    <t>12:00</t>
  </si>
  <si>
    <t>13:00</t>
  </si>
  <si>
    <t>1</t>
  </si>
  <si>
    <t>7</t>
  </si>
  <si>
    <t>8</t>
  </si>
  <si>
    <t>9</t>
  </si>
  <si>
    <t>YOUSSEF</t>
  </si>
  <si>
    <t>AMINE</t>
  </si>
  <si>
    <t>METHODES</t>
  </si>
  <si>
    <t>HAMID</t>
  </si>
  <si>
    <t>HEURES SAISIE</t>
  </si>
  <si>
    <t>7:10</t>
  </si>
  <si>
    <t>8:10</t>
  </si>
  <si>
    <t>9:10</t>
  </si>
  <si>
    <t>10:10</t>
  </si>
  <si>
    <t>11:25</t>
  </si>
  <si>
    <t>12:25</t>
  </si>
  <si>
    <t>13:25</t>
  </si>
  <si>
    <t>14:00</t>
  </si>
  <si>
    <t>15:00</t>
  </si>
  <si>
    <t>14:25</t>
  </si>
  <si>
    <t>CODERSA   S.A.R.L.</t>
  </si>
  <si>
    <t>H.Lancement</t>
  </si>
  <si>
    <t>Denllo</t>
  </si>
  <si>
    <t>REDOUANE</t>
  </si>
  <si>
    <t>HASSAN</t>
  </si>
  <si>
    <t>Fin Heure</t>
  </si>
  <si>
    <t>Modele</t>
  </si>
  <si>
    <t>Objectif/Prix</t>
  </si>
  <si>
    <t>8280-667-044</t>
  </si>
  <si>
    <t>8215-313-630</t>
  </si>
  <si>
    <t>3815-451-800</t>
  </si>
  <si>
    <t>8191-397-330</t>
  </si>
  <si>
    <t>103927-PIANO</t>
  </si>
  <si>
    <t>8292-376-330</t>
  </si>
  <si>
    <t>8048-701-712</t>
  </si>
  <si>
    <t>8503-624-526</t>
  </si>
  <si>
    <t>103676-Danna</t>
  </si>
  <si>
    <t>8500-624-526</t>
  </si>
  <si>
    <t>3854-541-330</t>
  </si>
  <si>
    <t>8415-107-330</t>
  </si>
  <si>
    <t>MOHAMMED</t>
  </si>
  <si>
    <t>105637-LUIS</t>
  </si>
  <si>
    <t>OTMAN</t>
  </si>
  <si>
    <t>8285-642-800</t>
  </si>
  <si>
    <t>Ch 01</t>
  </si>
  <si>
    <t>Ch 02</t>
  </si>
  <si>
    <t>Ch 03</t>
  </si>
  <si>
    <t>Ch 04</t>
  </si>
  <si>
    <t>Ch 05</t>
  </si>
  <si>
    <t>Ch 06</t>
  </si>
  <si>
    <t>Ch 07</t>
  </si>
  <si>
    <t>Ch 08</t>
  </si>
  <si>
    <t>Ch 09</t>
  </si>
  <si>
    <t>Ch 11</t>
  </si>
  <si>
    <t>Ch 12</t>
  </si>
  <si>
    <t>Ch 13</t>
  </si>
  <si>
    <t>Ch 14</t>
  </si>
  <si>
    <t>Ch 15</t>
  </si>
  <si>
    <t>Ch 16</t>
  </si>
  <si>
    <t>Ch 17</t>
  </si>
  <si>
    <t>Ch 18</t>
  </si>
  <si>
    <t>Ch 19</t>
  </si>
  <si>
    <t>Usine</t>
  </si>
  <si>
    <t>YASSIN</t>
  </si>
  <si>
    <t>AHMED</t>
  </si>
  <si>
    <t>ch 01</t>
  </si>
  <si>
    <t>ch 02</t>
  </si>
  <si>
    <t>ch 03</t>
  </si>
  <si>
    <t>ch 04</t>
  </si>
  <si>
    <t>ch 05</t>
  </si>
  <si>
    <t>ch 06</t>
  </si>
  <si>
    <t>ch 07</t>
  </si>
  <si>
    <t>ch 08</t>
  </si>
  <si>
    <t>ch 09</t>
  </si>
  <si>
    <t>ch 11</t>
  </si>
  <si>
    <t>ch 12</t>
  </si>
  <si>
    <t>ch 13</t>
  </si>
  <si>
    <t>ch 14</t>
  </si>
  <si>
    <t>ch 15</t>
  </si>
  <si>
    <t>ch 16</t>
  </si>
  <si>
    <t>ch 17</t>
  </si>
  <si>
    <t>ch 18</t>
  </si>
  <si>
    <t>ch 19</t>
  </si>
  <si>
    <t>Vide</t>
  </si>
  <si>
    <t>Lanc.</t>
  </si>
  <si>
    <t>9253-818-630</t>
  </si>
  <si>
    <t>.</t>
  </si>
  <si>
    <t>ABDRAZZAK</t>
  </si>
  <si>
    <t>Ch 22</t>
  </si>
  <si>
    <t>QTE PREVU</t>
  </si>
  <si>
    <t>Simulation</t>
  </si>
  <si>
    <t>CUENTA</t>
  </si>
  <si>
    <t xml:space="preserve">Stagiaires Formation </t>
  </si>
  <si>
    <t xml:space="preserve">Ouvriers Formation </t>
  </si>
  <si>
    <t>,</t>
  </si>
  <si>
    <t>020-22</t>
  </si>
  <si>
    <t>2218-232-251</t>
  </si>
  <si>
    <t xml:space="preserve"> </t>
  </si>
  <si>
    <t>2890-878-800</t>
  </si>
  <si>
    <t>023-22</t>
  </si>
  <si>
    <t>2990-559-712</t>
  </si>
  <si>
    <t>026-22</t>
  </si>
  <si>
    <t>2 PàM+4FL+Ctr</t>
  </si>
  <si>
    <t>MES</t>
  </si>
  <si>
    <t>022-22</t>
  </si>
  <si>
    <t>3177-707-712</t>
  </si>
  <si>
    <t>Annee</t>
  </si>
  <si>
    <t>029-22</t>
  </si>
  <si>
    <t>2198-799-712</t>
  </si>
  <si>
    <t xml:space="preserve">                  </t>
  </si>
  <si>
    <t>033-22</t>
  </si>
  <si>
    <t>CHORT</t>
  </si>
  <si>
    <t>3PAM +1CTR+4FER</t>
  </si>
  <si>
    <t>3 PAM 4fer 1ct</t>
  </si>
  <si>
    <t>5 PAM 1fer+ 1 ct</t>
  </si>
  <si>
    <t>TOURABI</t>
  </si>
  <si>
    <t>2291-888-800</t>
  </si>
  <si>
    <t>032-22</t>
  </si>
  <si>
    <t>3467-141-800</t>
  </si>
  <si>
    <t>SHORT</t>
  </si>
  <si>
    <t>037-22</t>
  </si>
  <si>
    <t>7587-669-046</t>
  </si>
  <si>
    <t>chemise</t>
  </si>
  <si>
    <t>2 PàM+1F</t>
  </si>
  <si>
    <t>U</t>
  </si>
  <si>
    <t>1PàM+2FL+Cont</t>
  </si>
  <si>
    <t>BACHIR</t>
  </si>
  <si>
    <t>3013-888-251</t>
  </si>
  <si>
    <t>034-22</t>
  </si>
  <si>
    <t>SKORT</t>
  </si>
  <si>
    <t>039-22</t>
  </si>
  <si>
    <t>sweet</t>
  </si>
  <si>
    <t>3362-696-727</t>
  </si>
  <si>
    <t>Gabardina</t>
  </si>
  <si>
    <t>5:30</t>
  </si>
  <si>
    <t>6:30</t>
  </si>
  <si>
    <t>7:30</t>
  </si>
  <si>
    <t>8:30</t>
  </si>
  <si>
    <t>10:45</t>
  </si>
  <si>
    <t>11:45</t>
  </si>
  <si>
    <t>12:45</t>
  </si>
  <si>
    <t>5:45</t>
  </si>
  <si>
    <t>10:00</t>
  </si>
  <si>
    <t>041-22</t>
  </si>
  <si>
    <t>2189-666-800</t>
  </si>
  <si>
    <t>036-22</t>
  </si>
  <si>
    <t>040-22</t>
  </si>
  <si>
    <t>7560-939-620</t>
  </si>
  <si>
    <t>SAID</t>
  </si>
  <si>
    <t>1PàM+3FL+Cont</t>
  </si>
  <si>
    <t>061-22</t>
  </si>
  <si>
    <t>7689-452-420</t>
  </si>
  <si>
    <t>064-22</t>
  </si>
  <si>
    <t>8035-888-800</t>
  </si>
  <si>
    <t>067-22</t>
  </si>
  <si>
    <t>0926-692-800</t>
  </si>
  <si>
    <t>069-22</t>
  </si>
  <si>
    <t>5PL+1Cont</t>
  </si>
  <si>
    <t>1PàM+3PL+Cont</t>
  </si>
  <si>
    <t>ZARA-MAN</t>
  </si>
  <si>
    <t>340-400-800</t>
  </si>
  <si>
    <t>66-22</t>
  </si>
  <si>
    <t>7541-358-743</t>
  </si>
  <si>
    <t>Gillet</t>
  </si>
  <si>
    <t>TOP</t>
  </si>
  <si>
    <t>074-22</t>
  </si>
  <si>
    <t>047-22</t>
  </si>
  <si>
    <t>4PàM+1FL+4 sp</t>
  </si>
  <si>
    <t>044-22</t>
  </si>
  <si>
    <t>7520-645-401</t>
  </si>
  <si>
    <t>1 MS</t>
  </si>
  <si>
    <t>078-22</t>
  </si>
  <si>
    <t>3478-716-756</t>
  </si>
  <si>
    <t>052-22</t>
  </si>
  <si>
    <t>15:30</t>
  </si>
  <si>
    <t>A.FINAL</t>
  </si>
  <si>
    <t>AVEC FINAL</t>
  </si>
  <si>
    <t>SANS FINAL</t>
  </si>
  <si>
    <t>TOTAL CHAINES</t>
  </si>
  <si>
    <t>8:05</t>
  </si>
  <si>
    <t>9:05</t>
  </si>
  <si>
    <t>10:05</t>
  </si>
  <si>
    <t>11:20</t>
  </si>
  <si>
    <t>12:20</t>
  </si>
  <si>
    <t>13:20</t>
  </si>
  <si>
    <t>14:20</t>
  </si>
  <si>
    <t>ZARA-MAT</t>
  </si>
  <si>
    <t>ABDELWAHID</t>
  </si>
  <si>
    <t>102-22</t>
  </si>
  <si>
    <t>8263-529-251</t>
  </si>
  <si>
    <t>Hassan</t>
  </si>
  <si>
    <t>Youssef</t>
  </si>
  <si>
    <t>Outmane</t>
  </si>
  <si>
    <t>Hicham</t>
  </si>
  <si>
    <t>Kousaimi</t>
  </si>
  <si>
    <t>Abdenour</t>
  </si>
  <si>
    <t>AHMAD</t>
  </si>
  <si>
    <t>2Spc+2PàM+4FL+Cont</t>
  </si>
  <si>
    <t>ALI</t>
  </si>
  <si>
    <t>108-22</t>
  </si>
  <si>
    <t>340-350-401</t>
  </si>
  <si>
    <t>1 Spc + 1 PàM</t>
  </si>
  <si>
    <t>106-22</t>
  </si>
  <si>
    <t>116-22</t>
  </si>
  <si>
    <t>118-22</t>
  </si>
  <si>
    <t>7560-580-800</t>
  </si>
  <si>
    <t>120-22</t>
  </si>
  <si>
    <t>121-22</t>
  </si>
  <si>
    <t>8412-624-712</t>
  </si>
  <si>
    <t>8138-760-800</t>
  </si>
  <si>
    <t>127-22</t>
  </si>
  <si>
    <t>8456-298-800</t>
  </si>
  <si>
    <t>manteau</t>
  </si>
  <si>
    <t>2Pàm+4FL+Cont</t>
  </si>
  <si>
    <t>123-22</t>
  </si>
  <si>
    <t>4FL+Cont</t>
  </si>
  <si>
    <t>131-22</t>
  </si>
  <si>
    <t>8482-321-401</t>
  </si>
  <si>
    <t>2PAM +4FL+2Cont</t>
  </si>
  <si>
    <t>KAMAL</t>
  </si>
  <si>
    <t>ABDNOR</t>
  </si>
  <si>
    <t>122-22</t>
  </si>
  <si>
    <t>8263-646-500</t>
  </si>
  <si>
    <t>2sp+4FL+2Cont</t>
  </si>
  <si>
    <t>2 sp+4FL+Cont</t>
  </si>
  <si>
    <t>Arrêt  Chaudière 45min</t>
  </si>
  <si>
    <t>129-22</t>
  </si>
  <si>
    <t>8705-636-704</t>
  </si>
  <si>
    <t>135-22</t>
  </si>
  <si>
    <t>8880-888-942</t>
  </si>
  <si>
    <t>132-22</t>
  </si>
  <si>
    <t>8498-298-401</t>
  </si>
  <si>
    <t>7PàM+4FL+Cont</t>
  </si>
  <si>
    <t>OMAR</t>
  </si>
  <si>
    <t>2FL+Cont</t>
  </si>
  <si>
    <t>134-22</t>
  </si>
  <si>
    <t>8750-331-085</t>
  </si>
  <si>
    <t>139-22</t>
  </si>
  <si>
    <t>7553-457-630</t>
  </si>
  <si>
    <t>2CON+ 4 fL</t>
  </si>
  <si>
    <t>2Cont</t>
  </si>
  <si>
    <t xml:space="preserve">    </t>
  </si>
  <si>
    <t>Manque en pcs</t>
  </si>
  <si>
    <t>Lundi</t>
  </si>
  <si>
    <t>Mardi</t>
  </si>
  <si>
    <t>Mercredi</t>
  </si>
  <si>
    <t>Jeudi</t>
  </si>
  <si>
    <t>Vendredi</t>
  </si>
  <si>
    <t>Samedi</t>
  </si>
  <si>
    <t>Dimanche</t>
  </si>
  <si>
    <t>800033-104</t>
  </si>
  <si>
    <t>Ch 20</t>
  </si>
  <si>
    <t>ch 20</t>
  </si>
  <si>
    <t>Date</t>
  </si>
  <si>
    <t>Heures Presence</t>
  </si>
  <si>
    <t>Production</t>
  </si>
  <si>
    <t>Moy effectif</t>
  </si>
  <si>
    <t>Horaires</t>
  </si>
  <si>
    <t>Mensuels</t>
  </si>
  <si>
    <t>Charges</t>
  </si>
  <si>
    <t>Chiffre Affaire</t>
  </si>
  <si>
    <t>%</t>
  </si>
  <si>
    <t>800034-104</t>
  </si>
  <si>
    <t>Modèle</t>
  </si>
  <si>
    <t>Prix</t>
  </si>
  <si>
    <t>812200-104</t>
  </si>
  <si>
    <t>812200-139</t>
  </si>
  <si>
    <t>812500-104</t>
  </si>
  <si>
    <t>812500-129</t>
  </si>
  <si>
    <t xml:space="preserve">  </t>
  </si>
  <si>
    <t>QTE PRÉVU</t>
  </si>
  <si>
    <t>Heures Presences</t>
  </si>
  <si>
    <t>% Charges</t>
  </si>
  <si>
    <t>Désignation</t>
  </si>
  <si>
    <t>% Rend</t>
  </si>
  <si>
    <t>Valeurs</t>
  </si>
  <si>
    <t>Dahdoh</t>
  </si>
  <si>
    <t>7653-474-743</t>
  </si>
  <si>
    <t>DAHDOH</t>
  </si>
  <si>
    <t>STRIPE-BOMBER</t>
  </si>
  <si>
    <t>8634-599-800</t>
  </si>
  <si>
    <t>3881-600-800</t>
  </si>
  <si>
    <t>8616-507-620</t>
  </si>
  <si>
    <t>JOGGER-RAYA-N</t>
  </si>
  <si>
    <t>7751-399-800</t>
  </si>
  <si>
    <t>OUTMAN</t>
  </si>
  <si>
    <t>8711-123-712</t>
  </si>
  <si>
    <t>9134-131-084</t>
  </si>
  <si>
    <t>9041-474-743</t>
  </si>
  <si>
    <t>ch 10</t>
  </si>
  <si>
    <t>Mohammed</t>
  </si>
  <si>
    <t>M0HAMED</t>
  </si>
  <si>
    <t>Koussaimi</t>
  </si>
  <si>
    <t>2322-791-800</t>
  </si>
  <si>
    <t>2682-597-712</t>
  </si>
  <si>
    <t>2700-741-600</t>
  </si>
  <si>
    <t>2132-116-058</t>
  </si>
  <si>
    <t>2204-597-800</t>
  </si>
  <si>
    <t>7461-518-800</t>
  </si>
  <si>
    <t>2730-722-800</t>
  </si>
  <si>
    <t xml:space="preserve">2242-620-712  </t>
  </si>
  <si>
    <t xml:space="preserve">  2246-404-250</t>
  </si>
  <si>
    <t>HARDY</t>
  </si>
  <si>
    <t>3175-597-712</t>
  </si>
  <si>
    <t>3022-900-302</t>
  </si>
  <si>
    <t>3177-900-302</t>
  </si>
  <si>
    <t>2845-722-800</t>
  </si>
  <si>
    <t>FRANCOISE</t>
  </si>
  <si>
    <t>Vers Dépôt</t>
  </si>
  <si>
    <t>Vers Final</t>
  </si>
  <si>
    <t>8:15</t>
  </si>
  <si>
    <t>9:15</t>
  </si>
  <si>
    <t>10:15</t>
  </si>
  <si>
    <t>11:35</t>
  </si>
  <si>
    <t>12:35</t>
  </si>
  <si>
    <t>13:35</t>
  </si>
  <si>
    <t>14:35</t>
  </si>
  <si>
    <t>15:35</t>
  </si>
  <si>
    <t>16,20</t>
  </si>
  <si>
    <t>9:40</t>
  </si>
  <si>
    <t>8:40</t>
  </si>
  <si>
    <t>10:40</t>
  </si>
  <si>
    <t>16:00</t>
  </si>
  <si>
    <t>MUSTAPHA</t>
  </si>
  <si>
    <t>l</t>
  </si>
  <si>
    <t>L</t>
  </si>
  <si>
    <t>S</t>
  </si>
  <si>
    <t>Entré Chaine</t>
  </si>
  <si>
    <t/>
  </si>
  <si>
    <t>%Rend</t>
  </si>
  <si>
    <t>MOSTAPHA</t>
  </si>
  <si>
    <t>MAJID</t>
  </si>
  <si>
    <t>ZAKARIYA</t>
  </si>
  <si>
    <t>majid</t>
  </si>
  <si>
    <t>FINAL</t>
  </si>
  <si>
    <t>155-25</t>
  </si>
  <si>
    <t>2215-518-800</t>
  </si>
  <si>
    <t>157-25</t>
  </si>
  <si>
    <t>2070-397-802</t>
  </si>
  <si>
    <t>158-25</t>
  </si>
  <si>
    <t>MANGO</t>
  </si>
  <si>
    <t>NEGRONI-202942</t>
  </si>
  <si>
    <t>Jaccket</t>
  </si>
  <si>
    <t>159-25</t>
  </si>
  <si>
    <t>2158-755-712</t>
  </si>
  <si>
    <t>156-25</t>
  </si>
  <si>
    <t>ATENAS-203645</t>
  </si>
  <si>
    <t>2076-780-803</t>
  </si>
  <si>
    <t>160-25</t>
  </si>
  <si>
    <t>ZAKARIA</t>
  </si>
  <si>
    <t>01-01-2026</t>
  </si>
  <si>
    <t>164-25</t>
  </si>
  <si>
    <t>7394-595-401</t>
  </si>
  <si>
    <t>163-25</t>
  </si>
  <si>
    <t>2259-600-730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</si>
  <si>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</si>
  <si>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</si>
  <si>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</si>
  <si>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</si>
  <si>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</si>
  <si>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</si>
  <si>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</si>
  <si>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</si>
  <si>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</si>
  <si>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</si>
  <si>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</si>
  <si>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</si>
  <si>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</si>
  <si>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</si>
  <si>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</si>
  <si>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</si>
  <si>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</si>
  <si>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</si>
  <si>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</si>
  <si>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</si>
  <si>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</si>
  <si>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</si>
  <si>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</si>
  <si>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</si>
  <si>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</si>
  <si>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</si>
  <si>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</si>
  <si>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</si>
  <si>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</si>
  <si>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</si>
  <si>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Problème Capaitè D'entrer chaine</t>
  </si>
  <si>
    <t>001-26</t>
  </si>
  <si>
    <t>MASS</t>
  </si>
  <si>
    <t>Cheristina-blanc</t>
  </si>
  <si>
    <t>Chenisier</t>
  </si>
  <si>
    <t>problème prèparation doublure</t>
  </si>
  <si>
    <t>s</t>
  </si>
  <si>
    <t>002-26</t>
  </si>
  <si>
    <t>2396-593-600</t>
  </si>
  <si>
    <t>-</t>
  </si>
  <si>
    <t>165-25</t>
  </si>
  <si>
    <t xml:space="preserve">problème prèparation </t>
  </si>
  <si>
    <t>004-26</t>
  </si>
  <si>
    <t>SARAH</t>
  </si>
  <si>
    <t>Chenise</t>
  </si>
  <si>
    <t>7394-593-741</t>
  </si>
  <si>
    <t xml:space="preserve">PAULSON  </t>
  </si>
  <si>
    <t>006-26</t>
  </si>
  <si>
    <r>
      <t>14</t>
    </r>
    <r>
      <rPr>
        <b/>
        <sz val="72"/>
        <color theme="0"/>
        <rFont val="Calibri"/>
        <family val="2"/>
        <scheme val="minor"/>
      </rPr>
      <t>*</t>
    </r>
  </si>
  <si>
    <r>
      <t>2</t>
    </r>
    <r>
      <rPr>
        <b/>
        <sz val="72"/>
        <color theme="0"/>
        <rFont val="Calibri"/>
        <family val="2"/>
        <scheme val="minor"/>
      </rPr>
      <t>*</t>
    </r>
  </si>
  <si>
    <t>007-26</t>
  </si>
  <si>
    <t>2395-582-401</t>
  </si>
  <si>
    <r>
      <t>4</t>
    </r>
    <r>
      <rPr>
        <b/>
        <sz val="72"/>
        <color theme="0"/>
        <rFont val="Calibri"/>
        <family val="2"/>
        <scheme val="minor"/>
      </rPr>
      <t>*</t>
    </r>
  </si>
  <si>
    <t>008-26</t>
  </si>
  <si>
    <t>2397-582-401</t>
  </si>
  <si>
    <t>005-26</t>
  </si>
  <si>
    <t>WINFREY</t>
  </si>
  <si>
    <t>TISSU</t>
  </si>
  <si>
    <t>Coupe</t>
  </si>
  <si>
    <t>Prép</t>
  </si>
  <si>
    <t>DOUBLURE</t>
  </si>
  <si>
    <t>Manque</t>
  </si>
  <si>
    <t>Encours au prep</t>
  </si>
  <si>
    <t>Encours Fabriqué au prep</t>
  </si>
  <si>
    <t>003-26</t>
  </si>
  <si>
    <t>OPRAH</t>
  </si>
  <si>
    <r>
      <rPr>
        <b/>
        <sz val="11"/>
        <color theme="0"/>
        <rFont val="Verdana"/>
        <family val="2"/>
      </rPr>
      <t>,</t>
    </r>
    <r>
      <rPr>
        <b/>
        <sz val="11"/>
        <color rgb="FF0070C0"/>
        <rFont val="Verdana"/>
        <family val="2"/>
      </rPr>
      <t>---&gt; Chaines</t>
    </r>
  </si>
  <si>
    <t>Plan Entré chaines</t>
  </si>
  <si>
    <t xml:space="preserve">Reste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</si>
</sst>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0;\-0;\-"/>
    <numFmt numFmtId="165" formatCode="0.0;\-0.0;\-"/>
    <numFmt numFmtId="166" formatCode="0.00;\-0.00;\-"/>
    <numFmt numFmtId="167" formatCode="_-* #,##0\ _€_-;\-* #,##0\ _€_-;_-* &quot;-&quot;??\ _€_-;_-@_-"/>
    <numFmt numFmtId="168" formatCode="0.0%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FF0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theme="0"/>
      <name val="Calibri"/>
      <family val="2"/>
      <scheme val="minor"/>
    </font>
    <font>
      <sz val="36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36"/>
      <color rgb="FF0070C0"/>
      <name val="Calibri"/>
      <family val="2"/>
      <scheme val="minor"/>
    </font>
    <font>
      <b/>
      <sz val="36"/>
      <color theme="7" tint="-0.499984740745262"/>
      <name val="Calibri"/>
      <family val="2"/>
      <scheme val="minor"/>
    </font>
    <font>
      <b/>
      <sz val="48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8"/>
      <color theme="3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z val="48"/>
      <color rgb="FFC00000"/>
      <name val="Calibri"/>
      <family val="2"/>
      <scheme val="minor"/>
    </font>
    <font>
      <b/>
      <sz val="48"/>
      <color theme="9" tint="0.39997558519241921"/>
      <name val="Calibri"/>
      <family val="2"/>
      <scheme val="minor"/>
    </font>
    <font>
      <sz val="3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36"/>
      <name val="Calibri"/>
      <family val="2"/>
      <scheme val="minor"/>
    </font>
    <font>
      <sz val="24"/>
      <color theme="0" tint="-0.499984740745262"/>
      <name val="Calibri"/>
      <family val="2"/>
      <scheme val="minor"/>
    </font>
    <font>
      <sz val="36"/>
      <color theme="0" tint="-0.499984740745262"/>
      <name val="Calibri"/>
      <family val="2"/>
      <scheme val="minor"/>
    </font>
    <font>
      <sz val="36"/>
      <color theme="1" tint="0.14999847407452621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72"/>
      <color rgb="FFFF0000"/>
      <name val="Calibri"/>
      <family val="2"/>
      <scheme val="minor"/>
    </font>
    <font>
      <sz val="36"/>
      <color theme="0" tint="-0.14999847407452621"/>
      <name val="Calibri"/>
      <family val="2"/>
      <scheme val="minor"/>
    </font>
    <font>
      <sz val="26"/>
      <color rgb="FFFF0000"/>
      <name val="Calibri"/>
      <family val="2"/>
      <scheme val="minor"/>
    </font>
    <font>
      <b/>
      <sz val="72"/>
      <color theme="0"/>
      <name val="Calibri"/>
      <family val="2"/>
      <scheme val="minor"/>
    </font>
    <font>
      <b/>
      <sz val="36"/>
      <color theme="9" tint="-0.499984740745262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36"/>
      <color theme="0" tint="-4.9989318521683403E-2"/>
      <name val="Calibri"/>
      <family val="2"/>
      <scheme val="minor"/>
    </font>
    <font>
      <sz val="36"/>
      <color theme="0" tint="-4.9989318521683403E-2"/>
      <name val="Calibri"/>
      <family val="2"/>
      <scheme val="minor"/>
    </font>
    <font>
      <b/>
      <sz val="22"/>
      <color theme="7" tint="-0.499984740745262"/>
      <name val="Calibri"/>
      <family val="2"/>
      <scheme val="minor"/>
    </font>
    <font>
      <sz val="36"/>
      <name val="Calibri"/>
      <family val="2"/>
      <scheme val="minor"/>
    </font>
    <font>
      <b/>
      <sz val="36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sz val="36"/>
      <color rgb="FFFF0000"/>
      <name val="Calibri"/>
      <family val="2"/>
      <scheme val="minor"/>
    </font>
    <font>
      <sz val="28"/>
      <color rgb="FFC00000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5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48"/>
      <color rgb="FF00B0F0"/>
      <name val="Calibri"/>
      <family val="2"/>
      <scheme val="minor"/>
    </font>
    <font>
      <b/>
      <sz val="36"/>
      <color rgb="FF00B050"/>
      <name val="Calibri"/>
      <family val="2"/>
      <scheme val="minor"/>
    </font>
    <font>
      <b/>
      <sz val="26"/>
      <color theme="0" tint="-0.34998626667073579"/>
      <name val="Calibri"/>
      <family val="2"/>
      <scheme val="minor"/>
    </font>
    <font>
      <b/>
      <sz val="36"/>
      <color theme="2" tint="-9.9978637043366805E-2"/>
      <name val="Calibri"/>
      <family val="2"/>
      <scheme val="minor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11"/>
      <color theme="0"/>
      <name val="Verdana"/>
      <family val="2"/>
    </font>
    <font>
      <sz val="11"/>
      <color theme="0"/>
      <name val="Verdana"/>
      <family val="2"/>
    </font>
    <font>
      <sz val="11"/>
      <color rgb="FFFF0000"/>
      <name val="Verdana"/>
      <family val="2"/>
    </font>
    <font>
      <b/>
      <sz val="11"/>
      <color rgb="FF0070C0"/>
      <name val="Verdana"/>
      <family val="2"/>
    </font>
    <font>
      <b/>
      <sz val="11"/>
      <color rgb="FFFF0000"/>
      <name val="Verdana"/>
      <family val="2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8EFC8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D7DEFD"/>
        <bgColor indexed="64"/>
      </patternFill>
    </fill>
    <fill>
      <patternFill patternType="solid">
        <fgColor rgb="FF76FB33"/>
        <bgColor indexed="64"/>
      </patternFill>
    </fill>
    <fill>
      <patternFill patternType="solid">
        <fgColor rgb="FFE97B8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DE0F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 style="double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double">
        <color auto="1"/>
      </right>
      <top style="thin">
        <color theme="0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theme="0"/>
      </bottom>
      <diagonal/>
    </border>
    <border>
      <left style="double">
        <color auto="1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double">
        <color auto="1"/>
      </left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theme="0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theme="0"/>
      </bottom>
      <diagonal/>
    </border>
    <border>
      <left style="thin">
        <color auto="1"/>
      </left>
      <right/>
      <top style="double">
        <color auto="1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double">
        <color auto="1"/>
      </bottom>
      <diagonal/>
    </border>
    <border>
      <left style="thin">
        <color auto="1"/>
      </left>
      <right/>
      <top/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auto="1"/>
      </right>
      <top style="thin">
        <color theme="0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864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65">
    <xf numFmtId="0" fontId="0" fillId="0" borderId="0" xfId="0"/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6" fillId="0" borderId="28" xfId="0" applyNumberFormat="1" applyFont="1" applyBorder="1" applyAlignment="1">
      <alignment horizontal="center" vertical="center"/>
    </xf>
    <xf numFmtId="164" fontId="6" fillId="0" borderId="29" xfId="0" applyNumberFormat="1" applyFont="1" applyBorder="1" applyAlignment="1">
      <alignment horizontal="center" vertical="center"/>
    </xf>
    <xf numFmtId="164" fontId="6" fillId="0" borderId="30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top"/>
    </xf>
    <xf numFmtId="164" fontId="7" fillId="5" borderId="29" xfId="0" applyNumberFormat="1" applyFont="1" applyFill="1" applyBorder="1" applyAlignment="1">
      <alignment horizontal="center" vertical="center"/>
    </xf>
    <xf numFmtId="164" fontId="5" fillId="4" borderId="13" xfId="0" applyNumberFormat="1" applyFont="1" applyFill="1" applyBorder="1" applyAlignment="1">
      <alignment horizontal="center" vertical="top"/>
    </xf>
    <xf numFmtId="164" fontId="6" fillId="3" borderId="28" xfId="0" applyNumberFormat="1" applyFont="1" applyFill="1" applyBorder="1" applyAlignment="1">
      <alignment horizontal="center" vertical="center"/>
    </xf>
    <xf numFmtId="164" fontId="7" fillId="3" borderId="29" xfId="0" applyNumberFormat="1" applyFont="1" applyFill="1" applyBorder="1" applyAlignment="1">
      <alignment horizontal="center" vertical="center"/>
    </xf>
    <xf numFmtId="164" fontId="6" fillId="3" borderId="29" xfId="0" applyNumberFormat="1" applyFont="1" applyFill="1" applyBorder="1" applyAlignment="1">
      <alignment horizontal="center" vertical="center"/>
    </xf>
    <xf numFmtId="164" fontId="6" fillId="3" borderId="30" xfId="0" applyNumberFormat="1" applyFont="1" applyFill="1" applyBorder="1" applyAlignment="1">
      <alignment horizontal="center" vertical="center"/>
    </xf>
    <xf numFmtId="9" fontId="1" fillId="0" borderId="0" xfId="2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9" fillId="2" borderId="1" xfId="0" applyNumberFormat="1" applyFont="1" applyFill="1" applyBorder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164" fontId="9" fillId="0" borderId="3" xfId="0" applyNumberFormat="1" applyFont="1" applyBorder="1" applyAlignment="1">
      <alignment horizontal="center"/>
    </xf>
    <xf numFmtId="164" fontId="9" fillId="0" borderId="2" xfId="0" applyNumberFormat="1" applyFont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0" fillId="0" borderId="1" xfId="0" applyNumberFormat="1" applyFont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164" fontId="11" fillId="0" borderId="4" xfId="0" applyNumberFormat="1" applyFont="1" applyBorder="1" applyAlignment="1">
      <alignment horizontal="center"/>
    </xf>
    <xf numFmtId="164" fontId="11" fillId="0" borderId="15" xfId="0" applyNumberFormat="1" applyFont="1" applyBorder="1" applyAlignment="1">
      <alignment horizontal="center"/>
    </xf>
    <xf numFmtId="164" fontId="10" fillId="0" borderId="33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6" borderId="1" xfId="0" applyNumberFormat="1" applyFont="1" applyFill="1" applyBorder="1" applyAlignment="1">
      <alignment horizontal="center"/>
    </xf>
    <xf numFmtId="164" fontId="11" fillId="2" borderId="1" xfId="0" applyNumberFormat="1" applyFont="1" applyFill="1" applyBorder="1" applyAlignment="1">
      <alignment horizontal="center"/>
    </xf>
    <xf numFmtId="164" fontId="11" fillId="2" borderId="14" xfId="0" applyNumberFormat="1" applyFont="1" applyFill="1" applyBorder="1" applyAlignment="1">
      <alignment horizontal="center"/>
    </xf>
    <xf numFmtId="164" fontId="10" fillId="2" borderId="34" xfId="0" applyNumberFormat="1" applyFont="1" applyFill="1" applyBorder="1" applyAlignment="1">
      <alignment horizontal="center"/>
    </xf>
    <xf numFmtId="9" fontId="11" fillId="2" borderId="21" xfId="2" applyFont="1" applyFill="1" applyBorder="1" applyAlignment="1">
      <alignment horizontal="center"/>
    </xf>
    <xf numFmtId="164" fontId="11" fillId="0" borderId="1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4" fontId="10" fillId="0" borderId="34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164" fontId="11" fillId="0" borderId="3" xfId="0" applyNumberFormat="1" applyFont="1" applyBorder="1" applyAlignment="1">
      <alignment horizontal="center"/>
    </xf>
    <xf numFmtId="164" fontId="11" fillId="0" borderId="16" xfId="0" applyNumberFormat="1" applyFont="1" applyBorder="1" applyAlignment="1">
      <alignment horizontal="center"/>
    </xf>
    <xf numFmtId="166" fontId="11" fillId="0" borderId="35" xfId="0" applyNumberFormat="1" applyFont="1" applyBorder="1" applyAlignment="1">
      <alignment horizontal="center"/>
    </xf>
    <xf numFmtId="166" fontId="11" fillId="0" borderId="22" xfId="0" applyNumberFormat="1" applyFont="1" applyBorder="1" applyAlignment="1">
      <alignment horizontal="center"/>
    </xf>
    <xf numFmtId="164" fontId="11" fillId="0" borderId="2" xfId="0" applyNumberFormat="1" applyFont="1" applyBorder="1" applyAlignment="1">
      <alignment horizontal="center"/>
    </xf>
    <xf numFmtId="164" fontId="11" fillId="0" borderId="23" xfId="0" applyNumberFormat="1" applyFont="1" applyBorder="1" applyAlignment="1">
      <alignment horizontal="center"/>
    </xf>
    <xf numFmtId="164" fontId="11" fillId="3" borderId="26" xfId="0" applyNumberFormat="1" applyFont="1" applyFill="1" applyBorder="1" applyAlignment="1">
      <alignment horizontal="center" vertical="center"/>
    </xf>
    <xf numFmtId="164" fontId="11" fillId="3" borderId="25" xfId="0" applyNumberFormat="1" applyFont="1" applyFill="1" applyBorder="1" applyAlignment="1">
      <alignment horizontal="center" vertical="center"/>
    </xf>
    <xf numFmtId="164" fontId="11" fillId="3" borderId="27" xfId="0" applyNumberFormat="1" applyFont="1" applyFill="1" applyBorder="1" applyAlignment="1">
      <alignment horizontal="center" vertical="center"/>
    </xf>
    <xf numFmtId="164" fontId="11" fillId="3" borderId="24" xfId="0" applyNumberFormat="1" applyFont="1" applyFill="1" applyBorder="1" applyAlignment="1">
      <alignment horizontal="center" vertical="center"/>
    </xf>
    <xf numFmtId="166" fontId="5" fillId="3" borderId="5" xfId="0" applyNumberFormat="1" applyFont="1" applyFill="1" applyBorder="1" applyAlignment="1">
      <alignment horizontal="center" vertical="center"/>
    </xf>
    <xf numFmtId="164" fontId="5" fillId="3" borderId="5" xfId="0" applyNumberFormat="1" applyFont="1" applyFill="1" applyBorder="1" applyAlignment="1">
      <alignment horizontal="center" vertical="center"/>
    </xf>
    <xf numFmtId="166" fontId="5" fillId="3" borderId="24" xfId="0" applyNumberFormat="1" applyFont="1" applyFill="1" applyBorder="1" applyAlignment="1">
      <alignment horizontal="center" vertical="center"/>
    </xf>
    <xf numFmtId="164" fontId="5" fillId="3" borderId="7" xfId="0" applyNumberFormat="1" applyFont="1" applyFill="1" applyBorder="1" applyAlignment="1">
      <alignment horizontal="center" vertical="center"/>
    </xf>
    <xf numFmtId="164" fontId="5" fillId="6" borderId="7" xfId="0" applyNumberFormat="1" applyFont="1" applyFill="1" applyBorder="1" applyAlignment="1">
      <alignment horizontal="center" vertical="center"/>
    </xf>
    <xf numFmtId="166" fontId="5" fillId="3" borderId="25" xfId="0" applyNumberFormat="1" applyFont="1" applyFill="1" applyBorder="1" applyAlignment="1">
      <alignment horizontal="center" vertical="center"/>
    </xf>
    <xf numFmtId="164" fontId="5" fillId="3" borderId="12" xfId="0" applyNumberFormat="1" applyFont="1" applyFill="1" applyBorder="1" applyAlignment="1">
      <alignment horizontal="center" vertical="center"/>
    </xf>
    <xf numFmtId="166" fontId="5" fillId="3" borderId="27" xfId="0" applyNumberFormat="1" applyFont="1" applyFill="1" applyBorder="1" applyAlignment="1">
      <alignment horizontal="center" vertical="center"/>
    </xf>
    <xf numFmtId="164" fontId="5" fillId="3" borderId="11" xfId="0" applyNumberFormat="1" applyFont="1" applyFill="1" applyBorder="1" applyAlignment="1">
      <alignment horizontal="center" vertical="center"/>
    </xf>
    <xf numFmtId="165" fontId="5" fillId="3" borderId="11" xfId="0" applyNumberFormat="1" applyFont="1" applyFill="1" applyBorder="1" applyAlignment="1">
      <alignment horizontal="center" vertical="center"/>
    </xf>
    <xf numFmtId="166" fontId="5" fillId="3" borderId="12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vertical="center"/>
    </xf>
    <xf numFmtId="166" fontId="5" fillId="3" borderId="11" xfId="0" applyNumberFormat="1" applyFont="1" applyFill="1" applyBorder="1" applyAlignment="1">
      <alignment vertical="center"/>
    </xf>
    <xf numFmtId="166" fontId="5" fillId="3" borderId="6" xfId="0" applyNumberFormat="1" applyFont="1" applyFill="1" applyBorder="1" applyAlignment="1">
      <alignment horizontal="center" vertical="center"/>
    </xf>
    <xf numFmtId="164" fontId="5" fillId="3" borderId="6" xfId="0" applyNumberFormat="1" applyFont="1" applyFill="1" applyBorder="1" applyAlignment="1">
      <alignment horizontal="center" vertical="center"/>
    </xf>
    <xf numFmtId="166" fontId="5" fillId="3" borderId="7" xfId="0" applyNumberFormat="1" applyFont="1" applyFill="1" applyBorder="1" applyAlignment="1">
      <alignment horizontal="center" vertical="center"/>
    </xf>
    <xf numFmtId="166" fontId="5" fillId="3" borderId="11" xfId="0" applyNumberFormat="1" applyFont="1" applyFill="1" applyBorder="1" applyAlignment="1">
      <alignment horizontal="center" vertical="center"/>
    </xf>
    <xf numFmtId="164" fontId="11" fillId="0" borderId="33" xfId="0" applyNumberFormat="1" applyFont="1" applyBorder="1" applyAlignment="1">
      <alignment horizontal="center"/>
    </xf>
    <xf numFmtId="164" fontId="11" fillId="2" borderId="34" xfId="0" applyNumberFormat="1" applyFont="1" applyFill="1" applyBorder="1" applyAlignment="1">
      <alignment horizontal="center"/>
    </xf>
    <xf numFmtId="164" fontId="11" fillId="0" borderId="34" xfId="0" applyNumberFormat="1" applyFont="1" applyBorder="1" applyAlignment="1">
      <alignment horizontal="center"/>
    </xf>
    <xf numFmtId="164" fontId="11" fillId="0" borderId="36" xfId="0" applyNumberFormat="1" applyFont="1" applyBorder="1" applyAlignment="1">
      <alignment horizontal="center"/>
    </xf>
    <xf numFmtId="164" fontId="11" fillId="0" borderId="0" xfId="0" applyNumberFormat="1" applyFont="1" applyAlignment="1">
      <alignment horizontal="center" vertical="top"/>
    </xf>
    <xf numFmtId="164" fontId="11" fillId="4" borderId="10" xfId="0" applyNumberFormat="1" applyFont="1" applyFill="1" applyBorder="1" applyAlignment="1">
      <alignment horizontal="center" vertical="top"/>
    </xf>
    <xf numFmtId="164" fontId="11" fillId="4" borderId="8" xfId="0" applyNumberFormat="1" applyFont="1" applyFill="1" applyBorder="1" applyAlignment="1">
      <alignment horizontal="center" vertical="top"/>
    </xf>
    <xf numFmtId="164" fontId="11" fillId="4" borderId="13" xfId="0" applyNumberFormat="1" applyFont="1" applyFill="1" applyBorder="1" applyAlignment="1">
      <alignment horizontal="center" vertical="top"/>
    </xf>
    <xf numFmtId="164" fontId="11" fillId="4" borderId="9" xfId="0" applyNumberFormat="1" applyFont="1" applyFill="1" applyBorder="1" applyAlignment="1">
      <alignment horizontal="center" vertical="top"/>
    </xf>
    <xf numFmtId="9" fontId="4" fillId="7" borderId="0" xfId="2" applyFont="1" applyFill="1" applyAlignment="1">
      <alignment horizontal="center" vertical="center"/>
    </xf>
    <xf numFmtId="164" fontId="12" fillId="5" borderId="29" xfId="0" applyNumberFormat="1" applyFont="1" applyFill="1" applyBorder="1" applyAlignment="1">
      <alignment horizontal="center" vertical="center"/>
    </xf>
    <xf numFmtId="164" fontId="13" fillId="5" borderId="32" xfId="0" applyNumberFormat="1" applyFont="1" applyFill="1" applyBorder="1" applyAlignment="1">
      <alignment horizontal="center" vertical="center"/>
    </xf>
    <xf numFmtId="164" fontId="13" fillId="5" borderId="29" xfId="0" applyNumberFormat="1" applyFont="1" applyFill="1" applyBorder="1" applyAlignment="1">
      <alignment horizontal="center" vertical="center"/>
    </xf>
    <xf numFmtId="164" fontId="13" fillId="5" borderId="30" xfId="0" applyNumberFormat="1" applyFont="1" applyFill="1" applyBorder="1" applyAlignment="1">
      <alignment horizontal="center" vertical="center"/>
    </xf>
    <xf numFmtId="164" fontId="13" fillId="5" borderId="28" xfId="0" applyNumberFormat="1" applyFont="1" applyFill="1" applyBorder="1" applyAlignment="1">
      <alignment horizontal="center" vertical="center"/>
    </xf>
    <xf numFmtId="165" fontId="5" fillId="3" borderId="12" xfId="0" applyNumberFormat="1" applyFont="1" applyFill="1" applyBorder="1" applyAlignment="1">
      <alignment horizontal="center" vertical="center"/>
    </xf>
    <xf numFmtId="14" fontId="11" fillId="0" borderId="1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7" fontId="1" fillId="0" borderId="0" xfId="1" applyNumberFormat="1" applyFont="1" applyAlignment="1">
      <alignment horizontal="center"/>
    </xf>
    <xf numFmtId="16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66" fontId="3" fillId="0" borderId="0" xfId="0" applyNumberFormat="1" applyFont="1" applyAlignment="1" applyProtection="1">
      <alignment horizontal="center" vertical="center"/>
      <protection locked="0"/>
    </xf>
    <xf numFmtId="164" fontId="7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/>
      <protection locked="0"/>
    </xf>
    <xf numFmtId="164" fontId="17" fillId="0" borderId="0" xfId="0" applyNumberFormat="1" applyFont="1" applyProtection="1">
      <protection locked="0"/>
    </xf>
    <xf numFmtId="164" fontId="18" fillId="3" borderId="28" xfId="0" applyNumberFormat="1" applyFont="1" applyFill="1" applyBorder="1" applyAlignment="1">
      <alignment horizontal="center" vertical="center"/>
    </xf>
    <xf numFmtId="164" fontId="16" fillId="0" borderId="0" xfId="0" applyNumberFormat="1" applyFont="1" applyAlignment="1" applyProtection="1">
      <alignment horizontal="center"/>
      <protection locked="0"/>
    </xf>
    <xf numFmtId="164" fontId="20" fillId="0" borderId="0" xfId="0" applyNumberFormat="1" applyFont="1" applyAlignment="1" applyProtection="1">
      <alignment horizontal="center"/>
      <protection locked="0"/>
    </xf>
    <xf numFmtId="164" fontId="20" fillId="0" borderId="2" xfId="0" applyNumberFormat="1" applyFont="1" applyBorder="1" applyAlignment="1" applyProtection="1">
      <alignment horizontal="center"/>
      <protection locked="0"/>
    </xf>
    <xf numFmtId="164" fontId="20" fillId="2" borderId="1" xfId="0" applyNumberFormat="1" applyFont="1" applyFill="1" applyBorder="1" applyAlignment="1" applyProtection="1">
      <alignment horizontal="center"/>
      <protection locked="0"/>
    </xf>
    <xf numFmtId="164" fontId="20" fillId="0" borderId="1" xfId="0" applyNumberFormat="1" applyFont="1" applyBorder="1" applyAlignment="1" applyProtection="1">
      <alignment horizontal="center"/>
      <protection locked="0"/>
    </xf>
    <xf numFmtId="164" fontId="21" fillId="0" borderId="1" xfId="0" applyNumberFormat="1" applyFont="1" applyBorder="1" applyAlignment="1">
      <alignment horizontal="center"/>
    </xf>
    <xf numFmtId="164" fontId="20" fillId="0" borderId="3" xfId="0" applyNumberFormat="1" applyFont="1" applyBorder="1" applyAlignment="1" applyProtection="1">
      <alignment horizontal="center"/>
      <protection locked="0"/>
    </xf>
    <xf numFmtId="164" fontId="21" fillId="0" borderId="3" xfId="0" applyNumberFormat="1" applyFont="1" applyBorder="1" applyAlignment="1">
      <alignment horizontal="center"/>
    </xf>
    <xf numFmtId="164" fontId="17" fillId="3" borderId="24" xfId="0" applyNumberFormat="1" applyFont="1" applyFill="1" applyBorder="1" applyAlignment="1" applyProtection="1">
      <alignment horizontal="center" vertical="center"/>
      <protection locked="0"/>
    </xf>
    <xf numFmtId="166" fontId="17" fillId="3" borderId="5" xfId="0" applyNumberFormat="1" applyFont="1" applyFill="1" applyBorder="1" applyAlignment="1" applyProtection="1">
      <alignment horizontal="center" vertical="center"/>
      <protection locked="0"/>
    </xf>
    <xf numFmtId="164" fontId="17" fillId="3" borderId="5" xfId="0" applyNumberFormat="1" applyFont="1" applyFill="1" applyBorder="1" applyAlignment="1" applyProtection="1">
      <alignment horizontal="center" vertical="center"/>
      <protection locked="0"/>
    </xf>
    <xf numFmtId="164" fontId="19" fillId="0" borderId="33" xfId="0" applyNumberFormat="1" applyFont="1" applyBorder="1" applyAlignment="1">
      <alignment horizontal="center"/>
    </xf>
    <xf numFmtId="164" fontId="17" fillId="0" borderId="20" xfId="0" applyNumberFormat="1" applyFont="1" applyBorder="1" applyAlignment="1">
      <alignment horizontal="center"/>
    </xf>
    <xf numFmtId="164" fontId="17" fillId="3" borderId="25" xfId="0" applyNumberFormat="1" applyFont="1" applyFill="1" applyBorder="1" applyAlignment="1" applyProtection="1">
      <alignment horizontal="center" vertical="center"/>
      <protection locked="0"/>
    </xf>
    <xf numFmtId="164" fontId="22" fillId="3" borderId="25" xfId="0" applyNumberFormat="1" applyFont="1" applyFill="1" applyBorder="1" applyAlignment="1" applyProtection="1">
      <alignment horizontal="right" vertical="center"/>
      <protection locked="0"/>
    </xf>
    <xf numFmtId="166" fontId="17" fillId="3" borderId="7" xfId="0" applyNumberFormat="1" applyFont="1" applyFill="1" applyBorder="1" applyAlignment="1" applyProtection="1">
      <alignment horizontal="center" vertical="center"/>
      <protection locked="0"/>
    </xf>
    <xf numFmtId="164" fontId="17" fillId="3" borderId="12" xfId="0" applyNumberFormat="1" applyFont="1" applyFill="1" applyBorder="1" applyAlignment="1" applyProtection="1">
      <alignment horizontal="center" vertical="center"/>
      <protection locked="0"/>
    </xf>
    <xf numFmtId="164" fontId="19" fillId="0" borderId="34" xfId="0" applyNumberFormat="1" applyFont="1" applyBorder="1" applyAlignment="1">
      <alignment horizontal="center"/>
    </xf>
    <xf numFmtId="164" fontId="17" fillId="0" borderId="21" xfId="0" applyNumberFormat="1" applyFont="1" applyBorder="1" applyAlignment="1">
      <alignment horizontal="center"/>
    </xf>
    <xf numFmtId="164" fontId="23" fillId="3" borderId="27" xfId="0" applyNumberFormat="1" applyFont="1" applyFill="1" applyBorder="1" applyAlignment="1" applyProtection="1">
      <alignment horizontal="center" vertical="center"/>
      <protection locked="0"/>
    </xf>
    <xf numFmtId="164" fontId="17" fillId="3" borderId="11" xfId="0" applyNumberFormat="1" applyFont="1" applyFill="1" applyBorder="1" applyAlignment="1" applyProtection="1">
      <alignment horizontal="center" vertical="center"/>
      <protection locked="0"/>
    </xf>
    <xf numFmtId="166" fontId="17" fillId="0" borderId="35" xfId="0" applyNumberFormat="1" applyFont="1" applyBorder="1" applyAlignment="1">
      <alignment horizontal="center"/>
    </xf>
    <xf numFmtId="166" fontId="17" fillId="0" borderId="22" xfId="0" applyNumberFormat="1" applyFont="1" applyBorder="1" applyAlignment="1">
      <alignment horizontal="center"/>
    </xf>
    <xf numFmtId="164" fontId="17" fillId="0" borderId="33" xfId="0" applyNumberFormat="1" applyFont="1" applyBorder="1" applyAlignment="1">
      <alignment horizontal="center"/>
    </xf>
    <xf numFmtId="164" fontId="17" fillId="0" borderId="34" xfId="0" applyNumberFormat="1" applyFont="1" applyBorder="1" applyAlignment="1">
      <alignment horizontal="center"/>
    </xf>
    <xf numFmtId="164" fontId="27" fillId="6" borderId="1" xfId="0" applyNumberFormat="1" applyFont="1" applyFill="1" applyBorder="1" applyAlignment="1">
      <alignment horizontal="center"/>
    </xf>
    <xf numFmtId="164" fontId="26" fillId="0" borderId="0" xfId="0" applyNumberFormat="1" applyFont="1" applyAlignment="1" applyProtection="1">
      <alignment horizontal="center"/>
      <protection locked="0"/>
    </xf>
    <xf numFmtId="164" fontId="28" fillId="3" borderId="29" xfId="0" applyNumberFormat="1" applyFont="1" applyFill="1" applyBorder="1" applyAlignment="1">
      <alignment horizontal="center" vertical="center"/>
    </xf>
    <xf numFmtId="164" fontId="28" fillId="3" borderId="30" xfId="0" applyNumberFormat="1" applyFont="1" applyFill="1" applyBorder="1" applyAlignment="1">
      <alignment horizontal="center" vertical="center"/>
    </xf>
    <xf numFmtId="164" fontId="28" fillId="3" borderId="28" xfId="0" applyNumberFormat="1" applyFont="1" applyFill="1" applyBorder="1" applyAlignment="1">
      <alignment horizontal="center" vertical="center"/>
    </xf>
    <xf numFmtId="164" fontId="28" fillId="3" borderId="31" xfId="0" applyNumberFormat="1" applyFont="1" applyFill="1" applyBorder="1" applyAlignment="1">
      <alignment horizontal="center" vertical="center"/>
    </xf>
    <xf numFmtId="164" fontId="28" fillId="3" borderId="18" xfId="0" applyNumberFormat="1" applyFont="1" applyFill="1" applyBorder="1" applyAlignment="1">
      <alignment horizontal="center" vertical="center"/>
    </xf>
    <xf numFmtId="164" fontId="27" fillId="6" borderId="7" xfId="0" applyNumberFormat="1" applyFont="1" applyFill="1" applyBorder="1" applyAlignment="1" applyProtection="1">
      <alignment horizontal="center" vertical="center"/>
      <protection locked="0"/>
    </xf>
    <xf numFmtId="9" fontId="29" fillId="2" borderId="21" xfId="2" applyFont="1" applyFill="1" applyBorder="1" applyAlignment="1" applyProtection="1">
      <alignment horizontal="center"/>
    </xf>
    <xf numFmtId="164" fontId="30" fillId="3" borderId="29" xfId="0" applyNumberFormat="1" applyFont="1" applyFill="1" applyBorder="1" applyAlignment="1">
      <alignment horizontal="center" vertical="center"/>
    </xf>
    <xf numFmtId="164" fontId="31" fillId="3" borderId="29" xfId="0" applyNumberFormat="1" applyFont="1" applyFill="1" applyBorder="1" applyAlignment="1">
      <alignment horizontal="center" vertical="center"/>
    </xf>
    <xf numFmtId="164" fontId="32" fillId="2" borderId="1" xfId="0" applyNumberFormat="1" applyFont="1" applyFill="1" applyBorder="1" applyAlignment="1">
      <alignment horizontal="center"/>
    </xf>
    <xf numFmtId="164" fontId="27" fillId="0" borderId="2" xfId="0" applyNumberFormat="1" applyFont="1" applyBorder="1" applyAlignment="1">
      <alignment horizontal="center"/>
    </xf>
    <xf numFmtId="164" fontId="27" fillId="0" borderId="4" xfId="0" applyNumberFormat="1" applyFont="1" applyBorder="1" applyAlignment="1">
      <alignment horizontal="center"/>
    </xf>
    <xf numFmtId="164" fontId="27" fillId="2" borderId="1" xfId="0" applyNumberFormat="1" applyFont="1" applyFill="1" applyBorder="1" applyAlignment="1">
      <alignment horizontal="center"/>
    </xf>
    <xf numFmtId="164" fontId="27" fillId="0" borderId="1" xfId="0" applyNumberFormat="1" applyFont="1" applyBorder="1" applyAlignment="1">
      <alignment horizontal="center"/>
    </xf>
    <xf numFmtId="164" fontId="33" fillId="0" borderId="3" xfId="0" applyNumberFormat="1" applyFont="1" applyBorder="1" applyAlignment="1">
      <alignment horizontal="center"/>
    </xf>
    <xf numFmtId="164" fontId="27" fillId="2" borderId="34" xfId="0" applyNumberFormat="1" applyFont="1" applyFill="1" applyBorder="1" applyAlignment="1">
      <alignment horizontal="center"/>
    </xf>
    <xf numFmtId="164" fontId="19" fillId="0" borderId="0" xfId="0" applyNumberFormat="1" applyFont="1" applyAlignment="1" applyProtection="1">
      <alignment horizontal="center" vertical="center"/>
      <protection locked="0"/>
    </xf>
    <xf numFmtId="166" fontId="17" fillId="0" borderId="0" xfId="0" applyNumberFormat="1" applyFont="1" applyAlignment="1" applyProtection="1">
      <alignment horizontal="center" vertical="center"/>
      <protection locked="0"/>
    </xf>
    <xf numFmtId="164" fontId="34" fillId="0" borderId="0" xfId="0" applyNumberFormat="1" applyFont="1" applyAlignment="1" applyProtection="1">
      <alignment horizontal="center" vertical="center"/>
      <protection locked="0"/>
    </xf>
    <xf numFmtId="14" fontId="17" fillId="0" borderId="17" xfId="0" applyNumberFormat="1" applyFont="1" applyBorder="1" applyAlignment="1" applyProtection="1">
      <alignment horizontal="right" vertical="center"/>
      <protection locked="0"/>
    </xf>
    <xf numFmtId="14" fontId="17" fillId="0" borderId="17" xfId="0" applyNumberFormat="1" applyFont="1" applyBorder="1" applyAlignment="1" applyProtection="1">
      <alignment vertical="center"/>
      <protection locked="0"/>
    </xf>
    <xf numFmtId="164" fontId="24" fillId="3" borderId="11" xfId="0" applyNumberFormat="1" applyFont="1" applyFill="1" applyBorder="1" applyAlignment="1" applyProtection="1">
      <alignment horizontal="center" vertical="center"/>
      <protection locked="0"/>
    </xf>
    <xf numFmtId="49" fontId="36" fillId="3" borderId="0" xfId="0" applyNumberFormat="1" applyFont="1" applyFill="1" applyAlignment="1" applyProtection="1">
      <alignment horizontal="center" vertical="center"/>
      <protection locked="0"/>
    </xf>
    <xf numFmtId="164" fontId="16" fillId="0" borderId="0" xfId="0" applyNumberFormat="1" applyFont="1" applyAlignment="1" applyProtection="1">
      <alignment horizontal="center" vertical="center"/>
      <protection locked="0"/>
    </xf>
    <xf numFmtId="164" fontId="15" fillId="4" borderId="10" xfId="0" applyNumberFormat="1" applyFont="1" applyFill="1" applyBorder="1" applyAlignment="1" applyProtection="1">
      <alignment horizontal="center" vertical="center"/>
      <protection locked="0"/>
    </xf>
    <xf numFmtId="164" fontId="15" fillId="4" borderId="8" xfId="0" applyNumberFormat="1" applyFont="1" applyFill="1" applyBorder="1" applyAlignment="1" applyProtection="1">
      <alignment horizontal="center" vertical="center"/>
      <protection locked="0"/>
    </xf>
    <xf numFmtId="164" fontId="21" fillId="4" borderId="8" xfId="0" applyNumberFormat="1" applyFont="1" applyFill="1" applyBorder="1" applyAlignment="1" applyProtection="1">
      <alignment horizontal="center" vertical="center"/>
      <protection locked="0"/>
    </xf>
    <xf numFmtId="49" fontId="15" fillId="4" borderId="8" xfId="0" applyNumberFormat="1" applyFont="1" applyFill="1" applyBorder="1" applyAlignment="1" applyProtection="1">
      <alignment horizontal="center" vertical="center"/>
      <protection locked="0"/>
    </xf>
    <xf numFmtId="164" fontId="15" fillId="4" borderId="13" xfId="0" applyNumberFormat="1" applyFont="1" applyFill="1" applyBorder="1" applyAlignment="1" applyProtection="1">
      <alignment horizontal="center" vertical="center"/>
      <protection locked="0"/>
    </xf>
    <xf numFmtId="164" fontId="15" fillId="4" borderId="9" xfId="0" applyNumberFormat="1" applyFont="1" applyFill="1" applyBorder="1" applyAlignment="1" applyProtection="1">
      <alignment horizontal="center" vertical="center"/>
      <protection locked="0"/>
    </xf>
    <xf numFmtId="164" fontId="37" fillId="0" borderId="0" xfId="0" applyNumberFormat="1" applyFont="1" applyAlignment="1" applyProtection="1">
      <alignment horizontal="center"/>
      <protection locked="0"/>
    </xf>
    <xf numFmtId="166" fontId="37" fillId="0" borderId="0" xfId="0" applyNumberFormat="1" applyFont="1" applyAlignment="1" applyProtection="1">
      <alignment horizontal="center" vertical="center"/>
      <protection locked="0"/>
    </xf>
    <xf numFmtId="166" fontId="38" fillId="0" borderId="0" xfId="0" applyNumberFormat="1" applyFont="1" applyAlignment="1">
      <alignment horizontal="center"/>
    </xf>
    <xf numFmtId="166" fontId="38" fillId="0" borderId="0" xfId="0" applyNumberFormat="1" applyFont="1" applyAlignment="1" applyProtection="1">
      <alignment horizontal="center"/>
      <protection locked="0"/>
    </xf>
    <xf numFmtId="164" fontId="24" fillId="5" borderId="27" xfId="0" applyNumberFormat="1" applyFont="1" applyFill="1" applyBorder="1" applyAlignment="1" applyProtection="1">
      <alignment horizontal="center" vertical="center"/>
      <protection locked="0"/>
    </xf>
    <xf numFmtId="164" fontId="27" fillId="8" borderId="1" xfId="0" applyNumberFormat="1" applyFont="1" applyFill="1" applyBorder="1" applyAlignment="1">
      <alignment horizontal="center"/>
    </xf>
    <xf numFmtId="166" fontId="39" fillId="0" borderId="0" xfId="0" applyNumberFormat="1" applyFont="1" applyAlignment="1">
      <alignment horizontal="center"/>
    </xf>
    <xf numFmtId="166" fontId="17" fillId="3" borderId="22" xfId="0" applyNumberFormat="1" applyFont="1" applyFill="1" applyBorder="1" applyAlignment="1">
      <alignment horizontal="center"/>
    </xf>
    <xf numFmtId="164" fontId="15" fillId="4" borderId="8" xfId="0" applyNumberFormat="1" applyFont="1" applyFill="1" applyBorder="1" applyAlignment="1" applyProtection="1">
      <alignment horizontal="center" vertical="center" wrapText="1"/>
      <protection locked="0"/>
    </xf>
    <xf numFmtId="164" fontId="26" fillId="0" borderId="0" xfId="0" applyNumberFormat="1" applyFont="1" applyAlignment="1" applyProtection="1">
      <alignment horizontal="center" vertical="center"/>
      <protection locked="0"/>
    </xf>
    <xf numFmtId="9" fontId="23" fillId="3" borderId="27" xfId="2" applyFont="1" applyFill="1" applyBorder="1" applyAlignment="1" applyProtection="1">
      <alignment horizontal="right" vertical="center"/>
      <protection locked="0"/>
    </xf>
    <xf numFmtId="164" fontId="27" fillId="0" borderId="39" xfId="0" applyNumberFormat="1" applyFont="1" applyBorder="1" applyAlignment="1">
      <alignment horizontal="center" vertical="center"/>
    </xf>
    <xf numFmtId="164" fontId="16" fillId="0" borderId="0" xfId="0" applyNumberFormat="1" applyFont="1" applyAlignment="1">
      <alignment horizontal="center"/>
    </xf>
    <xf numFmtId="2" fontId="40" fillId="0" borderId="11" xfId="0" applyNumberFormat="1" applyFont="1" applyBorder="1" applyAlignment="1">
      <alignment horizontal="center" vertical="center"/>
    </xf>
    <xf numFmtId="2" fontId="25" fillId="0" borderId="11" xfId="0" applyNumberFormat="1" applyFont="1" applyBorder="1" applyAlignment="1">
      <alignment horizontal="center" vertical="center"/>
    </xf>
    <xf numFmtId="167" fontId="22" fillId="0" borderId="0" xfId="1" applyNumberFormat="1" applyFont="1" applyAlignment="1" applyProtection="1">
      <alignment vertical="center"/>
    </xf>
    <xf numFmtId="164" fontId="39" fillId="0" borderId="0" xfId="0" applyNumberFormat="1" applyFont="1" applyAlignment="1">
      <alignment horizontal="center"/>
    </xf>
    <xf numFmtId="49" fontId="42" fillId="3" borderId="0" xfId="0" applyNumberFormat="1" applyFont="1" applyFill="1" applyAlignment="1" applyProtection="1">
      <alignment horizontal="center" vertical="center"/>
      <protection locked="0"/>
    </xf>
    <xf numFmtId="0" fontId="27" fillId="0" borderId="3" xfId="0" applyFont="1" applyBorder="1" applyAlignment="1">
      <alignment horizontal="center"/>
    </xf>
    <xf numFmtId="164" fontId="22" fillId="3" borderId="27" xfId="0" applyNumberFormat="1" applyFont="1" applyFill="1" applyBorder="1" applyAlignment="1" applyProtection="1">
      <alignment horizontal="center" vertical="center"/>
      <protection locked="0"/>
    </xf>
    <xf numFmtId="164" fontId="17" fillId="3" borderId="27" xfId="0" applyNumberFormat="1" applyFont="1" applyFill="1" applyBorder="1" applyAlignment="1" applyProtection="1">
      <alignment horizontal="center" vertical="center"/>
      <protection locked="0"/>
    </xf>
    <xf numFmtId="164" fontId="35" fillId="0" borderId="0" xfId="0" applyNumberFormat="1" applyFont="1" applyAlignment="1" applyProtection="1">
      <alignment horizontal="center"/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66" fontId="38" fillId="0" borderId="0" xfId="0" applyNumberFormat="1" applyFont="1" applyAlignment="1" applyProtection="1">
      <alignment horizontal="center" vertical="center"/>
      <protection locked="0"/>
    </xf>
    <xf numFmtId="164" fontId="20" fillId="2" borderId="39" xfId="0" applyNumberFormat="1" applyFont="1" applyFill="1" applyBorder="1" applyAlignment="1">
      <alignment horizontal="center" vertical="center"/>
    </xf>
    <xf numFmtId="164" fontId="43" fillId="0" borderId="0" xfId="0" applyNumberFormat="1" applyFont="1" applyAlignment="1">
      <alignment horizontal="center"/>
    </xf>
    <xf numFmtId="164" fontId="7" fillId="0" borderId="0" xfId="0" applyNumberFormat="1" applyFont="1" applyAlignment="1" applyProtection="1">
      <alignment horizontal="center" vertical="center"/>
      <protection locked="0"/>
    </xf>
    <xf numFmtId="164" fontId="44" fillId="3" borderId="29" xfId="0" applyNumberFormat="1" applyFont="1" applyFill="1" applyBorder="1" applyAlignment="1">
      <alignment horizontal="center" vertical="center"/>
    </xf>
    <xf numFmtId="164" fontId="19" fillId="0" borderId="0" xfId="0" applyNumberFormat="1" applyFont="1" applyAlignment="1" applyProtection="1">
      <alignment horizontal="center"/>
      <protection locked="0"/>
    </xf>
    <xf numFmtId="164" fontId="45" fillId="3" borderId="25" xfId="0" applyNumberFormat="1" applyFont="1" applyFill="1" applyBorder="1" applyAlignment="1" applyProtection="1">
      <alignment horizontal="center" vertical="center"/>
      <protection locked="0"/>
    </xf>
    <xf numFmtId="165" fontId="45" fillId="3" borderId="25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" fontId="5" fillId="0" borderId="0" xfId="0" applyNumberFormat="1" applyFont="1" applyAlignment="1" applyProtection="1">
      <alignment horizontal="center" vertical="center"/>
      <protection locked="0"/>
    </xf>
    <xf numFmtId="0" fontId="46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6" fontId="3" fillId="0" borderId="37" xfId="0" applyNumberFormat="1" applyFont="1" applyBorder="1" applyAlignment="1">
      <alignment horizontal="center" vertical="center"/>
    </xf>
    <xf numFmtId="9" fontId="0" fillId="0" borderId="37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37" xfId="0" applyFill="1" applyBorder="1" applyAlignment="1">
      <alignment horizontal="center" vertical="center"/>
    </xf>
    <xf numFmtId="16" fontId="3" fillId="9" borderId="37" xfId="0" applyNumberFormat="1" applyFont="1" applyFill="1" applyBorder="1" applyAlignment="1">
      <alignment horizontal="center" vertical="center"/>
    </xf>
    <xf numFmtId="168" fontId="46" fillId="0" borderId="0" xfId="0" applyNumberFormat="1" applyFont="1" applyAlignment="1" applyProtection="1">
      <alignment horizontal="center" vertical="center"/>
      <protection locked="0"/>
    </xf>
    <xf numFmtId="9" fontId="46" fillId="0" borderId="0" xfId="0" applyNumberFormat="1" applyFont="1" applyAlignment="1" applyProtection="1">
      <alignment horizontal="center" vertical="center"/>
      <protection locked="0"/>
    </xf>
    <xf numFmtId="164" fontId="27" fillId="0" borderId="0" xfId="0" applyNumberFormat="1" applyFont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8" fillId="0" borderId="37" xfId="0" applyFont="1" applyBorder="1" applyAlignment="1" applyProtection="1">
      <alignment horizontal="center" vertical="center"/>
      <protection locked="0"/>
    </xf>
    <xf numFmtId="9" fontId="14" fillId="0" borderId="37" xfId="2" applyFont="1" applyBorder="1" applyAlignment="1" applyProtection="1">
      <alignment horizontal="center" vertical="center"/>
      <protection locked="0"/>
    </xf>
    <xf numFmtId="168" fontId="48" fillId="0" borderId="0" xfId="0" applyNumberFormat="1" applyFont="1" applyAlignment="1" applyProtection="1">
      <alignment horizontal="center" vertical="center"/>
      <protection locked="0"/>
    </xf>
    <xf numFmtId="9" fontId="48" fillId="0" borderId="0" xfId="0" applyNumberFormat="1" applyFont="1" applyAlignment="1" applyProtection="1">
      <alignment horizontal="center" vertical="center"/>
      <protection locked="0"/>
    </xf>
    <xf numFmtId="0" fontId="5" fillId="10" borderId="37" xfId="0" applyFont="1" applyFill="1" applyBorder="1" applyAlignment="1" applyProtection="1">
      <alignment horizontal="center" vertical="center"/>
      <protection locked="0"/>
    </xf>
    <xf numFmtId="9" fontId="9" fillId="10" borderId="37" xfId="2" applyFont="1" applyFill="1" applyBorder="1" applyAlignment="1" applyProtection="1">
      <alignment horizontal="center" vertical="center"/>
      <protection locked="0"/>
    </xf>
    <xf numFmtId="0" fontId="5" fillId="10" borderId="12" xfId="0" applyFont="1" applyFill="1" applyBorder="1" applyAlignment="1" applyProtection="1">
      <alignment horizontal="center" vertical="center"/>
      <protection locked="0"/>
    </xf>
    <xf numFmtId="164" fontId="20" fillId="3" borderId="39" xfId="0" applyNumberFormat="1" applyFont="1" applyFill="1" applyBorder="1" applyAlignment="1">
      <alignment horizontal="center" vertical="center"/>
    </xf>
    <xf numFmtId="9" fontId="19" fillId="0" borderId="0" xfId="2" applyFont="1" applyAlignment="1" applyProtection="1">
      <alignment horizontal="center"/>
      <protection locked="0"/>
    </xf>
    <xf numFmtId="166" fontId="17" fillId="11" borderId="7" xfId="0" applyNumberFormat="1" applyFont="1" applyFill="1" applyBorder="1" applyAlignment="1" applyProtection="1">
      <alignment horizontal="center" vertical="center"/>
      <protection locked="0"/>
    </xf>
    <xf numFmtId="164" fontId="2" fillId="0" borderId="0" xfId="0" applyNumberFormat="1" applyFont="1" applyAlignment="1" applyProtection="1">
      <alignment horizontal="center"/>
      <protection locked="0"/>
    </xf>
    <xf numFmtId="164" fontId="2" fillId="0" borderId="0" xfId="0" applyNumberFormat="1" applyFont="1" applyAlignment="1" applyProtection="1">
      <alignment horizontal="center" vertical="center"/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27" fillId="2" borderId="1" xfId="0" applyFont="1" applyFill="1" applyBorder="1" applyAlignment="1" applyProtection="1">
      <alignment horizontal="center"/>
      <protection locked="0"/>
    </xf>
    <xf numFmtId="0" fontId="26" fillId="0" borderId="1" xfId="0" applyFont="1" applyBorder="1" applyAlignment="1" applyProtection="1">
      <alignment horizontal="center"/>
      <protection locked="0"/>
    </xf>
    <xf numFmtId="0" fontId="26" fillId="0" borderId="3" xfId="0" applyFont="1" applyBorder="1" applyAlignment="1" applyProtection="1">
      <alignment horizontal="center"/>
      <protection locked="0"/>
    </xf>
    <xf numFmtId="164" fontId="17" fillId="0" borderId="0" xfId="0" applyNumberFormat="1" applyFont="1" applyAlignment="1" applyProtection="1">
      <alignment horizontal="left" vertical="center"/>
      <protection locked="0"/>
    </xf>
    <xf numFmtId="164" fontId="23" fillId="3" borderId="11" xfId="0" applyNumberFormat="1" applyFont="1" applyFill="1" applyBorder="1" applyAlignment="1" applyProtection="1">
      <alignment horizontal="center" vertical="center"/>
      <protection locked="0"/>
    </xf>
    <xf numFmtId="164" fontId="22" fillId="3" borderId="24" xfId="0" applyNumberFormat="1" applyFont="1" applyFill="1" applyBorder="1" applyAlignment="1" applyProtection="1">
      <alignment horizontal="right" vertical="center"/>
      <protection locked="0"/>
    </xf>
    <xf numFmtId="166" fontId="39" fillId="12" borderId="0" xfId="0" applyNumberFormat="1" applyFont="1" applyFill="1" applyAlignment="1">
      <alignment horizontal="center"/>
    </xf>
    <xf numFmtId="9" fontId="10" fillId="0" borderId="37" xfId="2" applyFont="1" applyBorder="1" applyAlignment="1" applyProtection="1">
      <alignment horizontal="center" vertical="center"/>
      <protection locked="0"/>
    </xf>
    <xf numFmtId="164" fontId="20" fillId="3" borderId="39" xfId="0" applyNumberFormat="1" applyFont="1" applyFill="1" applyBorder="1" applyAlignment="1">
      <alignment horizontal="center" vertical="center" wrapText="1"/>
    </xf>
    <xf numFmtId="164" fontId="27" fillId="0" borderId="0" xfId="0" applyNumberFormat="1" applyFont="1" applyAlignment="1">
      <alignment horizontal="center" vertical="center"/>
    </xf>
    <xf numFmtId="9" fontId="9" fillId="0" borderId="0" xfId="0" applyNumberFormat="1" applyFont="1" applyAlignment="1" applyProtection="1">
      <alignment horizontal="center" vertical="center"/>
      <protection locked="0"/>
    </xf>
    <xf numFmtId="49" fontId="49" fillId="3" borderId="0" xfId="0" applyNumberFormat="1" applyFont="1" applyFill="1" applyAlignment="1" applyProtection="1">
      <alignment horizontal="center" vertical="center"/>
      <protection locked="0"/>
    </xf>
    <xf numFmtId="49" fontId="50" fillId="3" borderId="0" xfId="0" applyNumberFormat="1" applyFont="1" applyFill="1" applyAlignment="1" applyProtection="1">
      <alignment horizontal="center" vertical="center"/>
      <protection locked="0"/>
    </xf>
    <xf numFmtId="164" fontId="51" fillId="5" borderId="11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9" fontId="8" fillId="0" borderId="37" xfId="2" applyFont="1" applyBorder="1" applyAlignment="1" applyProtection="1">
      <alignment horizontal="center" vertical="center"/>
      <protection locked="0"/>
    </xf>
    <xf numFmtId="164" fontId="40" fillId="0" borderId="0" xfId="0" applyNumberFormat="1" applyFont="1" applyAlignment="1">
      <alignment horizontal="center"/>
    </xf>
    <xf numFmtId="164" fontId="27" fillId="3" borderId="0" xfId="0" applyNumberFormat="1" applyFont="1" applyFill="1" applyAlignment="1" applyProtection="1">
      <alignment vertical="center"/>
      <protection locked="0"/>
    </xf>
    <xf numFmtId="164" fontId="15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49" fontId="52" fillId="3" borderId="0" xfId="0" applyNumberFormat="1" applyFont="1" applyFill="1" applyAlignment="1" applyProtection="1">
      <alignment horizontal="center" vertical="center"/>
      <protection locked="0"/>
    </xf>
    <xf numFmtId="49" fontId="53" fillId="3" borderId="0" xfId="0" applyNumberFormat="1" applyFont="1" applyFill="1" applyAlignment="1" applyProtection="1">
      <alignment horizontal="center" vertical="center"/>
      <protection locked="0"/>
    </xf>
    <xf numFmtId="2" fontId="27" fillId="0" borderId="11" xfId="0" applyNumberFormat="1" applyFont="1" applyBorder="1" applyAlignment="1">
      <alignment horizontal="center" vertical="center"/>
    </xf>
    <xf numFmtId="164" fontId="27" fillId="8" borderId="1" xfId="0" applyNumberFormat="1" applyFont="1" applyFill="1" applyBorder="1" applyAlignment="1" applyProtection="1">
      <alignment horizontal="center"/>
      <protection locked="0"/>
    </xf>
    <xf numFmtId="164" fontId="17" fillId="13" borderId="25" xfId="0" applyNumberFormat="1" applyFont="1" applyFill="1" applyBorder="1" applyAlignment="1" applyProtection="1">
      <alignment horizontal="center" vertical="center"/>
      <protection locked="0"/>
    </xf>
    <xf numFmtId="164" fontId="17" fillId="3" borderId="37" xfId="0" applyNumberFormat="1" applyFont="1" applyFill="1" applyBorder="1" applyAlignment="1" applyProtection="1">
      <alignment horizontal="center" vertical="center"/>
      <protection locked="0"/>
    </xf>
    <xf numFmtId="164" fontId="26" fillId="0" borderId="37" xfId="0" applyNumberFormat="1" applyFont="1" applyBorder="1" applyAlignment="1" applyProtection="1">
      <alignment horizontal="center" vertical="center"/>
      <protection locked="0"/>
    </xf>
    <xf numFmtId="164" fontId="27" fillId="0" borderId="37" xfId="0" applyNumberFormat="1" applyFont="1" applyBorder="1" applyAlignment="1">
      <alignment horizontal="center" vertical="center"/>
    </xf>
    <xf numFmtId="9" fontId="54" fillId="0" borderId="0" xfId="2" applyFont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center" vertical="center"/>
      <protection locked="0"/>
    </xf>
    <xf numFmtId="0" fontId="55" fillId="0" borderId="1" xfId="0" applyFont="1" applyBorder="1" applyAlignment="1" applyProtection="1">
      <alignment horizontal="center"/>
      <protection locked="0"/>
    </xf>
    <xf numFmtId="0" fontId="55" fillId="0" borderId="3" xfId="0" applyFont="1" applyBorder="1" applyAlignment="1" applyProtection="1">
      <alignment horizontal="center"/>
      <protection locked="0"/>
    </xf>
    <xf numFmtId="164" fontId="26" fillId="14" borderId="0" xfId="0" applyNumberFormat="1" applyFont="1" applyFill="1" applyAlignment="1" applyProtection="1">
      <alignment horizontal="center"/>
      <protection locked="0"/>
    </xf>
    <xf numFmtId="0" fontId="27" fillId="16" borderId="1" xfId="0" applyFont="1" applyFill="1" applyBorder="1" applyAlignment="1" applyProtection="1">
      <alignment horizontal="center"/>
      <protection locked="0"/>
    </xf>
    <xf numFmtId="164" fontId="15" fillId="5" borderId="8" xfId="0" applyNumberFormat="1" applyFont="1" applyFill="1" applyBorder="1" applyAlignment="1" applyProtection="1">
      <alignment horizontal="center" vertical="center"/>
      <protection locked="0"/>
    </xf>
    <xf numFmtId="49" fontId="15" fillId="5" borderId="8" xfId="0" applyNumberFormat="1" applyFont="1" applyFill="1" applyBorder="1" applyAlignment="1" applyProtection="1">
      <alignment horizontal="center" vertical="center"/>
      <protection locked="0"/>
    </xf>
    <xf numFmtId="164" fontId="56" fillId="0" borderId="0" xfId="0" applyNumberFormat="1" applyFont="1" applyAlignment="1" applyProtection="1">
      <alignment horizontal="center"/>
      <protection locked="0"/>
    </xf>
    <xf numFmtId="0" fontId="57" fillId="0" borderId="37" xfId="0" applyFont="1" applyBorder="1" applyAlignment="1" applyProtection="1">
      <alignment horizontal="center" vertical="center"/>
      <protection locked="0"/>
    </xf>
    <xf numFmtId="0" fontId="57" fillId="0" borderId="40" xfId="0" applyFont="1" applyBorder="1" applyAlignment="1" applyProtection="1">
      <alignment horizontal="center" vertical="center"/>
      <protection locked="0"/>
    </xf>
    <xf numFmtId="9" fontId="57" fillId="0" borderId="37" xfId="2" applyFont="1" applyBorder="1" applyAlignment="1" applyProtection="1">
      <alignment horizontal="center" vertical="center"/>
      <protection locked="0"/>
    </xf>
    <xf numFmtId="0" fontId="58" fillId="0" borderId="0" xfId="0" applyFont="1" applyAlignment="1" applyProtection="1">
      <alignment horizontal="center" vertical="center"/>
      <protection locked="0"/>
    </xf>
    <xf numFmtId="9" fontId="59" fillId="0" borderId="0" xfId="0" applyNumberFormat="1" applyFont="1" applyAlignment="1" applyProtection="1">
      <alignment horizontal="center" vertical="center"/>
      <protection locked="0"/>
    </xf>
    <xf numFmtId="0" fontId="58" fillId="0" borderId="37" xfId="0" applyFont="1" applyBorder="1" applyAlignment="1">
      <alignment horizontal="center"/>
    </xf>
    <xf numFmtId="0" fontId="58" fillId="0" borderId="0" xfId="0" applyFont="1" applyAlignment="1">
      <alignment horizontal="center"/>
    </xf>
    <xf numFmtId="14" fontId="58" fillId="0" borderId="37" xfId="0" applyNumberFormat="1" applyFont="1" applyBorder="1" applyAlignment="1">
      <alignment horizontal="center"/>
    </xf>
    <xf numFmtId="0" fontId="58" fillId="0" borderId="37" xfId="0" applyFont="1" applyBorder="1" applyAlignment="1">
      <alignment horizontal="left"/>
    </xf>
    <xf numFmtId="0" fontId="58" fillId="0" borderId="0" xfId="0" applyFont="1" applyAlignment="1">
      <alignment horizontal="left"/>
    </xf>
    <xf numFmtId="43" fontId="9" fillId="0" borderId="0" xfId="1" applyFont="1" applyAlignment="1" applyProtection="1">
      <alignment horizontal="center" vertical="center"/>
    </xf>
    <xf numFmtId="17" fontId="5" fillId="0" borderId="0" xfId="1" applyNumberFormat="1" applyFont="1" applyAlignment="1" applyProtection="1">
      <alignment horizontal="center" vertical="center"/>
    </xf>
    <xf numFmtId="9" fontId="11" fillId="0" borderId="37" xfId="2" applyFont="1" applyBorder="1" applyAlignment="1" applyProtection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42" xfId="0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5" fillId="4" borderId="43" xfId="0" applyFont="1" applyFill="1" applyBorder="1" applyAlignment="1" applyProtection="1">
      <alignment horizontal="center" vertical="center"/>
      <protection locked="0"/>
    </xf>
    <xf numFmtId="14" fontId="3" fillId="0" borderId="0" xfId="0" applyNumberFormat="1" applyFont="1" applyAlignment="1" applyProtection="1">
      <alignment horizontal="center" vertical="center"/>
      <protection locked="0"/>
    </xf>
    <xf numFmtId="1" fontId="3" fillId="0" borderId="0" xfId="0" applyNumberFormat="1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9" fontId="3" fillId="0" borderId="37" xfId="2" applyFont="1" applyBorder="1" applyAlignment="1" applyProtection="1">
      <alignment horizontal="center" vertical="center"/>
    </xf>
    <xf numFmtId="9" fontId="3" fillId="0" borderId="0" xfId="2" applyFont="1" applyAlignment="1" applyProtection="1">
      <alignment horizontal="center" vertical="center"/>
    </xf>
    <xf numFmtId="14" fontId="3" fillId="0" borderId="44" xfId="0" applyNumberFormat="1" applyFont="1" applyBorder="1" applyAlignment="1" applyProtection="1">
      <alignment horizontal="center" vertical="center"/>
      <protection locked="0"/>
    </xf>
    <xf numFmtId="1" fontId="3" fillId="0" borderId="44" xfId="0" applyNumberFormat="1" applyFont="1" applyBorder="1" applyAlignment="1" applyProtection="1">
      <alignment horizontal="center" vertical="center"/>
      <protection locked="0"/>
    </xf>
    <xf numFmtId="0" fontId="3" fillId="0" borderId="44" xfId="0" applyFont="1" applyBorder="1" applyAlignment="1" applyProtection="1">
      <alignment horizontal="center" vertical="center"/>
      <protection locked="0"/>
    </xf>
    <xf numFmtId="14" fontId="3" fillId="0" borderId="45" xfId="0" applyNumberFormat="1" applyFont="1" applyBorder="1" applyAlignment="1" applyProtection="1">
      <alignment horizontal="center" vertical="center"/>
      <protection locked="0"/>
    </xf>
    <xf numFmtId="1" fontId="3" fillId="0" borderId="45" xfId="0" applyNumberFormat="1" applyFont="1" applyBorder="1" applyAlignment="1" applyProtection="1">
      <alignment horizontal="center" vertical="center"/>
      <protection locked="0"/>
    </xf>
    <xf numFmtId="0" fontId="3" fillId="0" borderId="45" xfId="0" applyFont="1" applyBorder="1" applyAlignment="1" applyProtection="1">
      <alignment horizontal="center" vertical="center"/>
      <protection locked="0"/>
    </xf>
    <xf numFmtId="14" fontId="3" fillId="0" borderId="46" xfId="0" applyNumberFormat="1" applyFont="1" applyBorder="1" applyAlignment="1" applyProtection="1">
      <alignment horizontal="center" vertical="center"/>
      <protection locked="0"/>
    </xf>
    <xf numFmtId="0" fontId="3" fillId="0" borderId="46" xfId="0" applyFont="1" applyBorder="1" applyAlignment="1" applyProtection="1">
      <alignment horizontal="center" vertical="center"/>
      <protection locked="0"/>
    </xf>
    <xf numFmtId="14" fontId="3" fillId="0" borderId="47" xfId="0" applyNumberFormat="1" applyFont="1" applyBorder="1" applyAlignment="1" applyProtection="1">
      <alignment horizontal="center" vertical="center"/>
      <protection locked="0"/>
    </xf>
    <xf numFmtId="0" fontId="3" fillId="0" borderId="47" xfId="0" applyFont="1" applyBorder="1" applyAlignment="1" applyProtection="1">
      <alignment horizontal="center" vertical="center"/>
      <protection locked="0"/>
    </xf>
    <xf numFmtId="9" fontId="0" fillId="0" borderId="0" xfId="2" applyFont="1" applyAlignment="1" applyProtection="1">
      <alignment horizontal="center"/>
      <protection locked="0"/>
    </xf>
    <xf numFmtId="9" fontId="11" fillId="17" borderId="37" xfId="2" applyFont="1" applyFill="1" applyBorder="1" applyAlignment="1" applyProtection="1">
      <alignment horizontal="center" vertical="center"/>
    </xf>
    <xf numFmtId="9" fontId="11" fillId="0" borderId="0" xfId="2" applyFont="1" applyAlignment="1" applyProtection="1">
      <alignment horizontal="center" vertical="center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Alignment="1">
      <alignment horizontal="center"/>
    </xf>
    <xf numFmtId="2" fontId="3" fillId="0" borderId="37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5" fillId="4" borderId="43" xfId="0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4" fontId="11" fillId="17" borderId="37" xfId="0" applyNumberFormat="1" applyFont="1" applyFill="1" applyBorder="1" applyAlignment="1">
      <alignment horizontal="center" vertical="center"/>
    </xf>
    <xf numFmtId="44" fontId="3" fillId="0" borderId="44" xfId="0" applyNumberFormat="1" applyFont="1" applyBorder="1" applyAlignment="1">
      <alignment horizontal="center" vertical="center"/>
    </xf>
    <xf numFmtId="44" fontId="3" fillId="0" borderId="45" xfId="0" applyNumberFormat="1" applyFont="1" applyBorder="1" applyAlignment="1">
      <alignment horizontal="center" vertical="center"/>
    </xf>
    <xf numFmtId="44" fontId="3" fillId="0" borderId="46" xfId="0" applyNumberFormat="1" applyFont="1" applyBorder="1" applyAlignment="1">
      <alignment horizontal="center" vertical="center"/>
    </xf>
    <xf numFmtId="44" fontId="3" fillId="0" borderId="47" xfId="0" applyNumberFormat="1" applyFont="1" applyBorder="1" applyAlignment="1">
      <alignment horizontal="center" vertical="center"/>
    </xf>
    <xf numFmtId="44" fontId="61" fillId="0" borderId="45" xfId="0" applyNumberFormat="1" applyFont="1" applyBorder="1" applyAlignment="1">
      <alignment horizontal="center" vertical="center"/>
    </xf>
    <xf numFmtId="44" fontId="61" fillId="0" borderId="46" xfId="0" applyNumberFormat="1" applyFont="1" applyBorder="1" applyAlignment="1">
      <alignment horizontal="center" vertical="center"/>
    </xf>
    <xf numFmtId="44" fontId="60" fillId="0" borderId="47" xfId="0" applyNumberFormat="1" applyFont="1" applyBorder="1" applyAlignment="1">
      <alignment horizontal="center" vertical="center"/>
    </xf>
    <xf numFmtId="44" fontId="60" fillId="0" borderId="0" xfId="0" applyNumberFormat="1" applyFont="1" applyAlignment="1">
      <alignment horizontal="center" vertical="center"/>
    </xf>
    <xf numFmtId="44" fontId="61" fillId="0" borderId="47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44" fontId="61" fillId="0" borderId="37" xfId="0" applyNumberFormat="1" applyFont="1" applyBorder="1" applyAlignment="1">
      <alignment horizontal="center" vertical="center"/>
    </xf>
    <xf numFmtId="14" fontId="3" fillId="0" borderId="37" xfId="0" applyNumberFormat="1" applyFont="1" applyBorder="1" applyAlignment="1">
      <alignment horizontal="center" vertical="center"/>
    </xf>
    <xf numFmtId="14" fontId="11" fillId="17" borderId="37" xfId="0" applyNumberFormat="1" applyFont="1" applyFill="1" applyBorder="1" applyAlignment="1">
      <alignment horizontal="center" vertical="center" wrapText="1"/>
    </xf>
    <xf numFmtId="1" fontId="3" fillId="0" borderId="37" xfId="0" applyNumberFormat="1" applyFont="1" applyBorder="1" applyAlignment="1">
      <alignment horizontal="center" vertical="center"/>
    </xf>
    <xf numFmtId="0" fontId="11" fillId="17" borderId="37" xfId="0" applyFont="1" applyFill="1" applyBorder="1" applyAlignment="1">
      <alignment horizontal="center" vertical="center"/>
    </xf>
    <xf numFmtId="43" fontId="11" fillId="17" borderId="37" xfId="1" applyFont="1" applyFill="1" applyBorder="1" applyAlignment="1" applyProtection="1">
      <alignment horizontal="center" vertical="center"/>
    </xf>
    <xf numFmtId="9" fontId="11" fillId="5" borderId="48" xfId="2" applyFont="1" applyFill="1" applyBorder="1" applyAlignment="1" applyProtection="1">
      <alignment horizontal="center" vertical="center"/>
      <protection locked="0"/>
    </xf>
    <xf numFmtId="9" fontId="11" fillId="15" borderId="37" xfId="2" applyFont="1" applyFill="1" applyBorder="1" applyAlignment="1" applyProtection="1">
      <alignment horizontal="center" vertical="center"/>
      <protection locked="0"/>
    </xf>
    <xf numFmtId="0" fontId="46" fillId="0" borderId="0" xfId="0" applyFont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9" fontId="54" fillId="0" borderId="0" xfId="2" applyFont="1" applyAlignment="1" applyProtection="1">
      <alignment horizontal="center" vertical="center"/>
    </xf>
    <xf numFmtId="0" fontId="5" fillId="10" borderId="37" xfId="0" applyFont="1" applyFill="1" applyBorder="1" applyAlignment="1">
      <alignment horizontal="center" vertical="center"/>
    </xf>
    <xf numFmtId="9" fontId="11" fillId="18" borderId="48" xfId="2" applyFont="1" applyFill="1" applyBorder="1" applyAlignment="1" applyProtection="1">
      <alignment horizontal="center" vertical="center"/>
      <protection locked="0"/>
    </xf>
    <xf numFmtId="9" fontId="11" fillId="19" borderId="48" xfId="2" applyFont="1" applyFill="1" applyBorder="1" applyAlignment="1" applyProtection="1">
      <alignment horizontal="center" vertical="center"/>
      <protection locked="0"/>
    </xf>
    <xf numFmtId="164" fontId="62" fillId="8" borderId="37" xfId="0" applyNumberFormat="1" applyFont="1" applyFill="1" applyBorder="1" applyAlignment="1">
      <alignment horizontal="center" vertical="center"/>
    </xf>
    <xf numFmtId="164" fontId="62" fillId="0" borderId="0" xfId="0" applyNumberFormat="1" applyFont="1" applyAlignment="1">
      <alignment horizontal="center" vertical="center"/>
    </xf>
    <xf numFmtId="164" fontId="63" fillId="0" borderId="0" xfId="0" applyNumberFormat="1" applyFont="1" applyAlignment="1">
      <alignment horizontal="center" vertical="center"/>
    </xf>
    <xf numFmtId="164" fontId="63" fillId="3" borderId="37" xfId="0" applyNumberFormat="1" applyFont="1" applyFill="1" applyBorder="1" applyAlignment="1">
      <alignment horizontal="center" vertical="center"/>
    </xf>
    <xf numFmtId="166" fontId="63" fillId="0" borderId="0" xfId="0" applyNumberFormat="1" applyFont="1" applyAlignment="1">
      <alignment horizontal="center" vertical="center"/>
    </xf>
    <xf numFmtId="0" fontId="62" fillId="3" borderId="37" xfId="0" applyFont="1" applyFill="1" applyBorder="1" applyAlignment="1">
      <alignment horizontal="center" vertical="center"/>
    </xf>
    <xf numFmtId="164" fontId="62" fillId="0" borderId="37" xfId="0" applyNumberFormat="1" applyFont="1" applyBorder="1" applyAlignment="1">
      <alignment horizontal="center" vertical="center"/>
    </xf>
    <xf numFmtId="164" fontId="62" fillId="0" borderId="37" xfId="0" applyNumberFormat="1" applyFont="1" applyBorder="1" applyAlignment="1">
      <alignment horizontal="center"/>
    </xf>
    <xf numFmtId="164" fontId="63" fillId="0" borderId="0" xfId="0" applyNumberFormat="1" applyFont="1" applyAlignment="1">
      <alignment horizontal="center"/>
    </xf>
    <xf numFmtId="166" fontId="63" fillId="0" borderId="0" xfId="0" applyNumberFormat="1" applyFont="1" applyAlignment="1">
      <alignment horizontal="center"/>
    </xf>
    <xf numFmtId="164" fontId="63" fillId="0" borderId="37" xfId="0" applyNumberFormat="1" applyFont="1" applyBorder="1" applyAlignment="1">
      <alignment horizontal="center"/>
    </xf>
    <xf numFmtId="164" fontId="63" fillId="3" borderId="0" xfId="0" applyNumberFormat="1" applyFont="1" applyFill="1" applyAlignment="1">
      <alignment horizontal="center"/>
    </xf>
    <xf numFmtId="43" fontId="0" fillId="0" borderId="0" xfId="1" applyFont="1" applyAlignment="1" applyProtection="1">
      <alignment horizontal="center"/>
    </xf>
    <xf numFmtId="164" fontId="63" fillId="0" borderId="37" xfId="0" applyNumberFormat="1" applyFont="1" applyBorder="1" applyAlignment="1">
      <alignment horizontal="center" vertical="center"/>
    </xf>
    <xf numFmtId="0" fontId="0" fillId="5" borderId="0" xfId="0" applyFill="1"/>
    <xf numFmtId="43" fontId="0" fillId="0" borderId="0" xfId="1" applyFont="1"/>
    <xf numFmtId="0" fontId="0" fillId="0" borderId="0" xfId="0" applyAlignment="1">
      <alignment horizontal="right"/>
    </xf>
    <xf numFmtId="1" fontId="0" fillId="0" borderId="0" xfId="0" applyNumberFormat="1"/>
    <xf numFmtId="1" fontId="0" fillId="0" borderId="0" xfId="0" applyNumberFormat="1" applyAlignment="1">
      <alignment horizontal="center"/>
    </xf>
    <xf numFmtId="1" fontId="29" fillId="3" borderId="21" xfId="2" applyNumberFormat="1" applyFont="1" applyFill="1" applyBorder="1" applyAlignment="1" applyProtection="1">
      <alignment horizontal="center"/>
    </xf>
    <xf numFmtId="164" fontId="0" fillId="0" borderId="0" xfId="0" applyNumberFormat="1" applyAlignment="1" applyProtection="1">
      <alignment horizontal="center"/>
    </xf>
    <xf numFmtId="164" fontId="16" fillId="0" borderId="0" xfId="0" applyNumberFormat="1" applyFont="1" applyAlignment="1" applyProtection="1">
      <alignment horizontal="center"/>
    </xf>
    <xf numFmtId="164" fontId="18" fillId="3" borderId="28" xfId="0" applyNumberFormat="1" applyFont="1" applyFill="1" applyBorder="1" applyAlignment="1" applyProtection="1">
      <alignment horizontal="center" vertical="center"/>
    </xf>
    <xf numFmtId="164" fontId="27" fillId="0" borderId="4" xfId="0" applyNumberFormat="1" applyFont="1" applyBorder="1" applyAlignment="1" applyProtection="1">
      <alignment horizontal="center"/>
    </xf>
    <xf numFmtId="164" fontId="19" fillId="0" borderId="33" xfId="0" applyNumberFormat="1" applyFont="1" applyBorder="1" applyAlignment="1" applyProtection="1">
      <alignment horizontal="center"/>
    </xf>
    <xf numFmtId="164" fontId="17" fillId="0" borderId="20" xfId="0" applyNumberFormat="1" applyFont="1" applyBorder="1" applyAlignment="1" applyProtection="1">
      <alignment horizontal="center"/>
    </xf>
    <xf numFmtId="166" fontId="38" fillId="0" borderId="0" xfId="0" applyNumberFormat="1" applyFont="1" applyAlignment="1" applyProtection="1">
      <alignment horizontal="center"/>
    </xf>
    <xf numFmtId="166" fontId="39" fillId="0" borderId="0" xfId="0" applyNumberFormat="1" applyFont="1" applyAlignment="1" applyProtection="1">
      <alignment horizontal="center"/>
    </xf>
    <xf numFmtId="166" fontId="19" fillId="0" borderId="0" xfId="0" applyNumberFormat="1" applyFont="1" applyAlignment="1" applyProtection="1">
      <alignment horizontal="center"/>
    </xf>
    <xf numFmtId="164" fontId="16" fillId="16" borderId="0" xfId="0" applyNumberFormat="1" applyFont="1" applyFill="1" applyAlignment="1" applyProtection="1">
      <alignment horizontal="center"/>
    </xf>
    <xf numFmtId="164" fontId="17" fillId="3" borderId="20" xfId="0" applyNumberFormat="1" applyFont="1" applyFill="1" applyBorder="1" applyAlignment="1" applyProtection="1">
      <alignment horizontal="center"/>
    </xf>
    <xf numFmtId="164" fontId="30" fillId="3" borderId="29" xfId="0" applyNumberFormat="1" applyFont="1" applyFill="1" applyBorder="1" applyAlignment="1" applyProtection="1">
      <alignment horizontal="center" vertical="center"/>
    </xf>
    <xf numFmtId="164" fontId="27" fillId="6" borderId="1" xfId="0" applyNumberFormat="1" applyFont="1" applyFill="1" applyBorder="1" applyAlignment="1" applyProtection="1">
      <alignment horizontal="center"/>
    </xf>
    <xf numFmtId="164" fontId="32" fillId="2" borderId="1" xfId="0" applyNumberFormat="1" applyFont="1" applyFill="1" applyBorder="1" applyAlignment="1" applyProtection="1">
      <alignment horizontal="center"/>
    </xf>
    <xf numFmtId="164" fontId="27" fillId="2" borderId="1" xfId="0" applyNumberFormat="1" applyFont="1" applyFill="1" applyBorder="1" applyAlignment="1" applyProtection="1">
      <alignment horizontal="center"/>
    </xf>
    <xf numFmtId="164" fontId="27" fillId="2" borderId="34" xfId="0" applyNumberFormat="1" applyFont="1" applyFill="1" applyBorder="1" applyAlignment="1" applyProtection="1">
      <alignment horizontal="center"/>
    </xf>
    <xf numFmtId="164" fontId="40" fillId="0" borderId="0" xfId="0" applyNumberFormat="1" applyFont="1" applyAlignment="1" applyProtection="1">
      <alignment horizontal="center"/>
    </xf>
    <xf numFmtId="164" fontId="28" fillId="3" borderId="29" xfId="0" applyNumberFormat="1" applyFont="1" applyFill="1" applyBorder="1" applyAlignment="1" applyProtection="1">
      <alignment horizontal="center" vertical="center"/>
    </xf>
    <xf numFmtId="164" fontId="27" fillId="8" borderId="1" xfId="0" applyNumberFormat="1" applyFont="1" applyFill="1" applyBorder="1" applyAlignment="1" applyProtection="1">
      <alignment horizontal="center"/>
    </xf>
    <xf numFmtId="164" fontId="21" fillId="0" borderId="1" xfId="0" applyNumberFormat="1" applyFont="1" applyBorder="1" applyAlignment="1" applyProtection="1">
      <alignment horizontal="center"/>
    </xf>
    <xf numFmtId="164" fontId="64" fillId="0" borderId="1" xfId="0" applyNumberFormat="1" applyFont="1" applyBorder="1" applyAlignment="1" applyProtection="1">
      <alignment horizontal="center"/>
    </xf>
    <xf numFmtId="164" fontId="27" fillId="0" borderId="1" xfId="0" applyNumberFormat="1" applyFont="1" applyBorder="1" applyAlignment="1" applyProtection="1">
      <alignment horizontal="center"/>
    </xf>
    <xf numFmtId="164" fontId="19" fillId="0" borderId="34" xfId="0" applyNumberFormat="1" applyFont="1" applyBorder="1" applyAlignment="1" applyProtection="1">
      <alignment horizontal="center"/>
    </xf>
    <xf numFmtId="164" fontId="17" fillId="0" borderId="21" xfId="0" applyNumberFormat="1" applyFont="1" applyBorder="1" applyAlignment="1" applyProtection="1">
      <alignment horizontal="center"/>
    </xf>
    <xf numFmtId="164" fontId="28" fillId="3" borderId="30" xfId="0" applyNumberFormat="1" applyFont="1" applyFill="1" applyBorder="1" applyAlignment="1" applyProtection="1">
      <alignment horizontal="center" vertical="center"/>
    </xf>
    <xf numFmtId="2" fontId="25" fillId="0" borderId="11" xfId="0" applyNumberFormat="1" applyFont="1" applyBorder="1" applyAlignment="1" applyProtection="1">
      <alignment horizontal="center" vertical="center"/>
    </xf>
    <xf numFmtId="164" fontId="21" fillId="0" borderId="3" xfId="0" applyNumberFormat="1" applyFont="1" applyBorder="1" applyAlignment="1" applyProtection="1">
      <alignment horizontal="center"/>
    </xf>
    <xf numFmtId="164" fontId="33" fillId="0" borderId="3" xfId="0" applyNumberFormat="1" applyFont="1" applyBorder="1" applyAlignment="1" applyProtection="1">
      <alignment horizontal="center"/>
    </xf>
    <xf numFmtId="166" fontId="17" fillId="0" borderId="35" xfId="0" applyNumberFormat="1" applyFont="1" applyBorder="1" applyAlignment="1" applyProtection="1">
      <alignment horizontal="center"/>
    </xf>
    <xf numFmtId="166" fontId="17" fillId="3" borderId="22" xfId="0" applyNumberFormat="1" applyFont="1" applyFill="1" applyBorder="1" applyAlignment="1" applyProtection="1">
      <alignment horizontal="center"/>
    </xf>
    <xf numFmtId="166" fontId="17" fillId="5" borderId="0" xfId="0" applyNumberFormat="1" applyFont="1" applyFill="1" applyAlignment="1" applyProtection="1">
      <alignment horizontal="center" vertical="center"/>
    </xf>
    <xf numFmtId="2" fontId="40" fillId="0" borderId="11" xfId="0" applyNumberFormat="1" applyFont="1" applyBorder="1" applyAlignment="1" applyProtection="1">
      <alignment horizontal="center" vertical="center"/>
    </xf>
    <xf numFmtId="164" fontId="28" fillId="3" borderId="18" xfId="0" applyNumberFormat="1" applyFont="1" applyFill="1" applyBorder="1" applyAlignment="1" applyProtection="1">
      <alignment horizontal="center" vertical="center"/>
    </xf>
    <xf numFmtId="164" fontId="28" fillId="3" borderId="28" xfId="0" applyNumberFormat="1" applyFont="1" applyFill="1" applyBorder="1" applyAlignment="1" applyProtection="1">
      <alignment horizontal="center" vertical="center"/>
    </xf>
    <xf numFmtId="164" fontId="31" fillId="3" borderId="29" xfId="0" applyNumberFormat="1" applyFont="1" applyFill="1" applyBorder="1" applyAlignment="1" applyProtection="1">
      <alignment horizontal="center" vertical="center"/>
    </xf>
    <xf numFmtId="43" fontId="28" fillId="3" borderId="30" xfId="1" applyFont="1" applyFill="1" applyBorder="1" applyAlignment="1" applyProtection="1">
      <alignment horizontal="center" vertical="center"/>
    </xf>
    <xf numFmtId="43" fontId="19" fillId="0" borderId="0" xfId="1" applyFont="1" applyAlignment="1" applyProtection="1">
      <alignment horizontal="center" vertical="top"/>
    </xf>
    <xf numFmtId="43" fontId="19" fillId="0" borderId="0" xfId="1" applyFont="1" applyAlignment="1" applyProtection="1">
      <alignment horizontal="center"/>
    </xf>
    <xf numFmtId="43" fontId="19" fillId="3" borderId="39" xfId="1" applyFont="1" applyFill="1" applyBorder="1" applyAlignment="1" applyProtection="1">
      <alignment horizontal="center" vertical="center" wrapText="1"/>
    </xf>
    <xf numFmtId="164" fontId="27" fillId="0" borderId="39" xfId="0" applyNumberFormat="1" applyFont="1" applyBorder="1" applyAlignment="1" applyProtection="1">
      <alignment horizontal="center" vertical="center"/>
    </xf>
    <xf numFmtId="43" fontId="19" fillId="0" borderId="0" xfId="1" applyFont="1" applyAlignment="1" applyProtection="1">
      <alignment horizontal="center" wrapText="1"/>
    </xf>
    <xf numFmtId="43" fontId="0" fillId="0" borderId="0" xfId="1" applyFont="1" applyAlignment="1" applyProtection="1">
      <alignment horizontal="center" vertical="center"/>
    </xf>
    <xf numFmtId="167" fontId="19" fillId="0" borderId="0" xfId="1" applyNumberFormat="1" applyFont="1" applyAlignment="1" applyProtection="1">
      <alignment horizontal="center"/>
    </xf>
    <xf numFmtId="164" fontId="0" fillId="0" borderId="0" xfId="0" applyNumberFormat="1" applyAlignment="1" applyProtection="1">
      <alignment horizontal="center" vertical="center"/>
    </xf>
    <xf numFmtId="164" fontId="19" fillId="0" borderId="0" xfId="0" applyNumberFormat="1" applyFont="1" applyAlignment="1" applyProtection="1">
      <alignment horizontal="center" wrapText="1"/>
    </xf>
    <xf numFmtId="164" fontId="19" fillId="3" borderId="39" xfId="0" applyNumberFormat="1" applyFont="1" applyFill="1" applyBorder="1" applyAlignment="1" applyProtection="1">
      <alignment horizontal="center" vertical="center" wrapText="1"/>
    </xf>
    <xf numFmtId="9" fontId="19" fillId="0" borderId="0" xfId="2" applyFont="1" applyAlignment="1" applyProtection="1">
      <alignment horizontal="center"/>
    </xf>
    <xf numFmtId="164" fontId="26" fillId="0" borderId="0" xfId="0" applyNumberFormat="1" applyFont="1" applyAlignment="1" applyProtection="1">
      <alignment horizontal="center"/>
    </xf>
    <xf numFmtId="168" fontId="19" fillId="0" borderId="0" xfId="2" applyNumberFormat="1" applyFont="1" applyAlignment="1" applyProtection="1">
      <alignment horizontal="center"/>
    </xf>
    <xf numFmtId="164" fontId="20" fillId="0" borderId="0" xfId="0" applyNumberFormat="1" applyFont="1" applyAlignment="1" applyProtection="1">
      <alignment horizontal="center"/>
    </xf>
    <xf numFmtId="164" fontId="31" fillId="0" borderId="0" xfId="0" applyNumberFormat="1" applyFont="1" applyAlignment="1" applyProtection="1">
      <alignment vertical="center"/>
      <protection locked="0"/>
    </xf>
    <xf numFmtId="164" fontId="28" fillId="3" borderId="0" xfId="0" applyNumberFormat="1" applyFont="1" applyFill="1" applyAlignment="1" applyProtection="1">
      <alignment vertical="center"/>
      <protection locked="0"/>
    </xf>
    <xf numFmtId="164" fontId="28" fillId="0" borderId="0" xfId="0" applyNumberFormat="1" applyFont="1" applyAlignment="1" applyProtection="1">
      <alignment horizontal="center" vertical="center"/>
      <protection locked="0"/>
    </xf>
    <xf numFmtId="49" fontId="67" fillId="3" borderId="0" xfId="0" applyNumberFormat="1" applyFont="1" applyFill="1" applyAlignment="1" applyProtection="1">
      <alignment horizontal="center" vertical="center"/>
      <protection locked="0"/>
    </xf>
    <xf numFmtId="164" fontId="17" fillId="0" borderId="0" xfId="0" applyNumberFormat="1" applyFont="1" applyAlignment="1" applyProtection="1">
      <alignment horizontal="center" vertical="center"/>
      <protection locked="0"/>
    </xf>
    <xf numFmtId="49" fontId="53" fillId="3" borderId="0" xfId="0" applyNumberFormat="1" applyFont="1" applyFill="1" applyAlignment="1" applyProtection="1">
      <alignment horizontal="center" vertical="center" wrapText="1"/>
      <protection locked="0"/>
    </xf>
    <xf numFmtId="49" fontId="36" fillId="3" borderId="17" xfId="0" applyNumberFormat="1" applyFont="1" applyFill="1" applyBorder="1" applyAlignment="1" applyProtection="1">
      <alignment vertical="center"/>
      <protection locked="0"/>
    </xf>
    <xf numFmtId="164" fontId="39" fillId="0" borderId="0" xfId="0" applyNumberFormat="1" applyFont="1" applyAlignment="1" applyProtection="1">
      <alignment horizontal="center"/>
      <protection locked="0"/>
    </xf>
    <xf numFmtId="166" fontId="27" fillId="5" borderId="0" xfId="0" applyNumberFormat="1" applyFont="1" applyFill="1" applyAlignment="1" applyProtection="1">
      <alignment horizontal="center" vertical="center"/>
      <protection locked="0"/>
    </xf>
    <xf numFmtId="164" fontId="19" fillId="5" borderId="0" xfId="0" applyNumberFormat="1" applyFont="1" applyFill="1" applyAlignment="1" applyProtection="1">
      <alignment horizontal="center" vertical="center"/>
      <protection locked="0"/>
    </xf>
    <xf numFmtId="164" fontId="15" fillId="4" borderId="19" xfId="0" applyNumberFormat="1" applyFont="1" applyFill="1" applyBorder="1" applyAlignment="1" applyProtection="1">
      <alignment horizontal="center" vertical="center"/>
      <protection locked="0"/>
    </xf>
    <xf numFmtId="49" fontId="36" fillId="4" borderId="8" xfId="0" applyNumberFormat="1" applyFont="1" applyFill="1" applyBorder="1" applyAlignment="1" applyProtection="1">
      <alignment horizontal="left" vertical="center"/>
      <protection locked="0"/>
    </xf>
    <xf numFmtId="164" fontId="36" fillId="4" borderId="8" xfId="0" applyNumberFormat="1" applyFont="1" applyFill="1" applyBorder="1" applyAlignment="1" applyProtection="1">
      <alignment horizontal="left" vertical="center"/>
      <protection locked="0"/>
    </xf>
    <xf numFmtId="164" fontId="15" fillId="16" borderId="0" xfId="0" applyNumberFormat="1" applyFont="1" applyFill="1" applyAlignment="1" applyProtection="1">
      <alignment horizontal="center" vertical="center"/>
      <protection locked="0"/>
    </xf>
    <xf numFmtId="164" fontId="15" fillId="4" borderId="9" xfId="0" applyNumberFormat="1" applyFont="1" applyFill="1" applyBorder="1" applyAlignment="1" applyProtection="1">
      <alignment horizontal="center" vertical="center" wrapText="1"/>
      <protection locked="0"/>
    </xf>
    <xf numFmtId="164" fontId="18" fillId="3" borderId="49" xfId="0" applyNumberFormat="1" applyFont="1" applyFill="1" applyBorder="1" applyAlignment="1" applyProtection="1">
      <alignment horizontal="center" vertical="center"/>
      <protection locked="0"/>
    </xf>
    <xf numFmtId="164" fontId="30" fillId="3" borderId="50" xfId="0" applyNumberFormat="1" applyFont="1" applyFill="1" applyBorder="1" applyAlignment="1" applyProtection="1">
      <alignment horizontal="center" vertical="center"/>
      <protection locked="0"/>
    </xf>
    <xf numFmtId="0" fontId="17" fillId="3" borderId="25" xfId="0" applyFont="1" applyFill="1" applyBorder="1" applyAlignment="1" applyProtection="1">
      <alignment horizontal="center" vertical="center"/>
      <protection locked="0"/>
    </xf>
    <xf numFmtId="164" fontId="28" fillId="3" borderId="50" xfId="0" applyNumberFormat="1" applyFont="1" applyFill="1" applyBorder="1" applyAlignment="1" applyProtection="1">
      <alignment horizontal="center" vertical="center"/>
      <protection locked="0"/>
    </xf>
    <xf numFmtId="164" fontId="65" fillId="3" borderId="25" xfId="0" applyNumberFormat="1" applyFont="1" applyFill="1" applyBorder="1" applyAlignment="1" applyProtection="1">
      <alignment horizontal="center" vertical="center"/>
      <protection locked="0"/>
    </xf>
    <xf numFmtId="164" fontId="28" fillId="3" borderId="51" xfId="0" applyNumberFormat="1" applyFont="1" applyFill="1" applyBorder="1" applyAlignment="1" applyProtection="1">
      <alignment horizontal="center" vertical="center"/>
      <protection locked="0"/>
    </xf>
    <xf numFmtId="164" fontId="18" fillId="3" borderId="25" xfId="0" applyNumberFormat="1" applyFont="1" applyFill="1" applyBorder="1" applyAlignment="1" applyProtection="1">
      <alignment horizontal="center" vertical="center"/>
      <protection locked="0"/>
    </xf>
    <xf numFmtId="164" fontId="22" fillId="3" borderId="25" xfId="0" applyNumberFormat="1" applyFont="1" applyFill="1" applyBorder="1" applyAlignment="1" applyProtection="1">
      <alignment horizontal="center" vertical="center"/>
      <protection locked="0"/>
    </xf>
    <xf numFmtId="43" fontId="22" fillId="3" borderId="27" xfId="1" applyFont="1" applyFill="1" applyBorder="1" applyAlignment="1" applyProtection="1">
      <alignment horizontal="center" vertical="center"/>
      <protection locked="0"/>
    </xf>
    <xf numFmtId="43" fontId="7" fillId="0" borderId="0" xfId="1" applyFont="1" applyAlignment="1" applyProtection="1">
      <alignment horizontal="center"/>
      <protection locked="0"/>
    </xf>
    <xf numFmtId="43" fontId="0" fillId="0" borderId="0" xfId="1" applyFont="1" applyAlignment="1" applyProtection="1">
      <alignment horizontal="center"/>
      <protection locked="0"/>
    </xf>
    <xf numFmtId="43" fontId="19" fillId="0" borderId="0" xfId="1" applyFont="1" applyAlignment="1" applyProtection="1">
      <alignment horizontal="center" vertical="top"/>
      <protection locked="0"/>
    </xf>
    <xf numFmtId="43" fontId="3" fillId="0" borderId="0" xfId="1" applyFont="1" applyAlignment="1" applyProtection="1">
      <alignment horizontal="center"/>
      <protection locked="0"/>
    </xf>
    <xf numFmtId="43" fontId="38" fillId="0" borderId="0" xfId="1" applyFont="1" applyAlignment="1" applyProtection="1">
      <alignment horizontal="center"/>
      <protection locked="0"/>
    </xf>
    <xf numFmtId="43" fontId="16" fillId="0" borderId="0" xfId="1" applyFont="1" applyAlignment="1" applyProtection="1">
      <alignment horizontal="center"/>
      <protection locked="0"/>
    </xf>
    <xf numFmtId="43" fontId="19" fillId="0" borderId="0" xfId="1" applyFont="1" applyAlignment="1" applyProtection="1">
      <alignment horizontal="center"/>
      <protection locked="0"/>
    </xf>
    <xf numFmtId="43" fontId="16" fillId="16" borderId="0" xfId="1" applyFont="1" applyFill="1" applyAlignment="1" applyProtection="1">
      <alignment horizontal="center"/>
      <protection locked="0"/>
    </xf>
    <xf numFmtId="43" fontId="0" fillId="0" borderId="0" xfId="1" applyFont="1" applyAlignment="1" applyProtection="1">
      <alignment horizontal="center" vertical="center"/>
      <protection locked="0"/>
    </xf>
    <xf numFmtId="43" fontId="3" fillId="0" borderId="0" xfId="1" applyFont="1" applyAlignment="1" applyProtection="1">
      <alignment horizontal="center" vertical="center"/>
      <protection locked="0"/>
    </xf>
    <xf numFmtId="43" fontId="27" fillId="0" borderId="0" xfId="1" applyFont="1" applyAlignment="1" applyProtection="1">
      <alignment horizontal="center" vertical="center"/>
      <protection locked="0"/>
    </xf>
    <xf numFmtId="43" fontId="2" fillId="0" borderId="0" xfId="1" applyFont="1" applyAlignment="1" applyProtection="1">
      <alignment horizontal="center"/>
      <protection locked="0"/>
    </xf>
    <xf numFmtId="164" fontId="27" fillId="0" borderId="0" xfId="0" applyNumberFormat="1" applyFont="1" applyAlignment="1" applyProtection="1">
      <alignment horizontal="center"/>
      <protection locked="0"/>
    </xf>
    <xf numFmtId="0" fontId="68" fillId="0" borderId="0" xfId="0" applyFont="1" applyAlignment="1">
      <alignment horizontal="center" vertical="center"/>
    </xf>
    <xf numFmtId="1" fontId="69" fillId="0" borderId="37" xfId="0" applyNumberFormat="1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" fontId="69" fillId="0" borderId="0" xfId="0" applyNumberFormat="1" applyFont="1" applyAlignment="1">
      <alignment horizontal="center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9" fontId="11" fillId="0" borderId="37" xfId="2" applyFont="1" applyBorder="1" applyAlignment="1" applyProtection="1">
      <alignment horizontal="center" vertical="center"/>
      <protection locked="0"/>
    </xf>
    <xf numFmtId="166" fontId="27" fillId="0" borderId="0" xfId="0" applyNumberFormat="1" applyFont="1" applyAlignment="1" applyProtection="1">
      <alignment horizontal="center"/>
      <protection locked="0"/>
    </xf>
    <xf numFmtId="166" fontId="27" fillId="0" borderId="0" xfId="1" applyNumberFormat="1" applyFont="1" applyAlignment="1" applyProtection="1">
      <alignment horizontal="center"/>
      <protection locked="0"/>
    </xf>
    <xf numFmtId="164" fontId="25" fillId="0" borderId="0" xfId="0" quotePrefix="1" applyNumberFormat="1" applyFont="1" applyAlignment="1" applyProtection="1">
      <alignment vertical="center"/>
      <protection locked="0"/>
    </xf>
    <xf numFmtId="164" fontId="25" fillId="0" borderId="0" xfId="0" applyNumberFormat="1" applyFont="1" applyAlignment="1" applyProtection="1">
      <alignment vertical="center"/>
      <protection locked="0"/>
    </xf>
    <xf numFmtId="164" fontId="17" fillId="3" borderId="21" xfId="0" applyNumberFormat="1" applyFont="1" applyFill="1" applyBorder="1" applyAlignment="1" applyProtection="1">
      <alignment horizontal="center"/>
      <protection locked="0"/>
    </xf>
    <xf numFmtId="164" fontId="18" fillId="3" borderId="24" xfId="0" applyNumberFormat="1" applyFont="1" applyFill="1" applyBorder="1" applyAlignment="1" applyProtection="1">
      <alignment horizontal="center" vertical="center"/>
      <protection locked="0"/>
    </xf>
    <xf numFmtId="164" fontId="0" fillId="0" borderId="0" xfId="0" applyNumberFormat="1" applyFont="1" applyAlignment="1" applyProtection="1">
      <alignment horizontal="center"/>
      <protection locked="0"/>
    </xf>
    <xf numFmtId="164" fontId="19" fillId="6" borderId="0" xfId="0" applyNumberFormat="1" applyFont="1" applyFill="1" applyAlignment="1" applyProtection="1">
      <alignment horizontal="center" vertical="center"/>
      <protection locked="0"/>
    </xf>
    <xf numFmtId="164" fontId="24" fillId="3" borderId="27" xfId="0" applyNumberFormat="1" applyFont="1" applyFill="1" applyBorder="1" applyAlignment="1" applyProtection="1">
      <alignment horizontal="center" vertical="center"/>
      <protection locked="0"/>
    </xf>
    <xf numFmtId="1" fontId="72" fillId="0" borderId="0" xfId="0" applyNumberFormat="1" applyFont="1" applyAlignment="1">
      <alignment horizontal="center" vertical="center"/>
    </xf>
    <xf numFmtId="164" fontId="18" fillId="3" borderId="27" xfId="0" applyNumberFormat="1" applyFont="1" applyFill="1" applyBorder="1" applyAlignment="1" applyProtection="1">
      <alignment horizontal="center" vertical="center"/>
      <protection locked="0"/>
    </xf>
    <xf numFmtId="1" fontId="72" fillId="0" borderId="37" xfId="0" applyNumberFormat="1" applyFont="1" applyBorder="1" applyAlignment="1">
      <alignment horizontal="center" vertical="center"/>
    </xf>
    <xf numFmtId="0" fontId="69" fillId="0" borderId="37" xfId="0" applyFont="1" applyBorder="1" applyAlignment="1">
      <alignment horizontal="center" vertical="center"/>
    </xf>
    <xf numFmtId="164" fontId="27" fillId="0" borderId="2" xfId="0" applyNumberFormat="1" applyFont="1" applyBorder="1" applyAlignment="1">
      <alignment horizontal="center"/>
    </xf>
    <xf numFmtId="0" fontId="26" fillId="0" borderId="1" xfId="0" applyFont="1" applyBorder="1" applyAlignment="1" applyProtection="1">
      <alignment horizontal="center"/>
      <protection locked="0"/>
    </xf>
    <xf numFmtId="9" fontId="11" fillId="15" borderId="37" xfId="2" applyFont="1" applyFill="1" applyBorder="1" applyAlignment="1" applyProtection="1">
      <alignment horizontal="center" vertical="center"/>
      <protection locked="0"/>
    </xf>
    <xf numFmtId="164" fontId="27" fillId="0" borderId="2" xfId="0" applyNumberFormat="1" applyFont="1" applyBorder="1" applyAlignment="1" applyProtection="1">
      <alignment horizontal="center"/>
    </xf>
    <xf numFmtId="0" fontId="27" fillId="0" borderId="3" xfId="0" applyFont="1" applyBorder="1" applyAlignment="1" applyProtection="1">
      <alignment horizontal="center"/>
    </xf>
    <xf numFmtId="9" fontId="11" fillId="0" borderId="37" xfId="2" applyFont="1" applyBorder="1" applyAlignment="1" applyProtection="1">
      <alignment horizontal="center" vertical="center"/>
      <protection locked="0"/>
    </xf>
    <xf numFmtId="0" fontId="26" fillId="20" borderId="1" xfId="0" applyFont="1" applyFill="1" applyBorder="1" applyAlignment="1" applyProtection="1">
      <alignment horizontal="center"/>
      <protection locked="0"/>
    </xf>
    <xf numFmtId="0" fontId="27" fillId="20" borderId="1" xfId="0" applyFont="1" applyFill="1" applyBorder="1" applyAlignment="1" applyProtection="1">
      <alignment horizontal="center"/>
      <protection locked="0"/>
    </xf>
    <xf numFmtId="0" fontId="26" fillId="20" borderId="3" xfId="0" applyFont="1" applyFill="1" applyBorder="1" applyAlignment="1" applyProtection="1">
      <alignment horizontal="center"/>
      <protection locked="0"/>
    </xf>
    <xf numFmtId="0" fontId="72" fillId="0" borderId="0" xfId="0" applyFont="1" applyAlignment="1">
      <alignment horizontal="center" vertical="center"/>
    </xf>
    <xf numFmtId="0" fontId="74" fillId="0" borderId="0" xfId="0" applyFont="1" applyAlignment="1">
      <alignment horizontal="center" vertic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49" fontId="5" fillId="0" borderId="0" xfId="0" applyNumberFormat="1" applyFont="1" applyAlignment="1" applyProtection="1">
      <alignment horizontal="center" vertical="center"/>
      <protection locked="0"/>
    </xf>
    <xf numFmtId="49" fontId="9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5" fontId="17" fillId="0" borderId="1" xfId="0" applyNumberFormat="1" applyFont="1" applyBorder="1" applyAlignment="1">
      <alignment horizontal="center"/>
    </xf>
    <xf numFmtId="165" fontId="17" fillId="0" borderId="3" xfId="0" applyNumberFormat="1" applyFont="1" applyBorder="1" applyAlignment="1">
      <alignment horizont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166" fontId="17" fillId="0" borderId="3" xfId="0" applyNumberFormat="1" applyFont="1" applyBorder="1" applyAlignment="1">
      <alignment horizontal="center"/>
    </xf>
    <xf numFmtId="164" fontId="27" fillId="0" borderId="7" xfId="0" applyNumberFormat="1" applyFont="1" applyBorder="1" applyAlignment="1">
      <alignment horizontal="center"/>
    </xf>
    <xf numFmtId="0" fontId="27" fillId="0" borderId="11" xfId="0" applyFont="1" applyBorder="1" applyAlignment="1">
      <alignment horizont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9" fillId="3" borderId="37" xfId="0" applyFont="1" applyFill="1" applyBorder="1" applyAlignment="1">
      <alignment horizontal="center" vertic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27" fillId="21" borderId="7" xfId="0" applyNumberFormat="1" applyFont="1" applyFill="1" applyBorder="1" applyAlignment="1" applyProtection="1">
      <alignment horizontal="center" vertical="center"/>
      <protection locked="0"/>
    </xf>
    <xf numFmtId="164" fontId="17" fillId="21" borderId="11" xfId="0" applyNumberFormat="1" applyFont="1" applyFill="1" applyBorder="1" applyAlignment="1" applyProtection="1">
      <alignment horizontal="center" vertical="center"/>
      <protection locked="0"/>
    </xf>
    <xf numFmtId="0" fontId="26" fillId="0" borderId="1" xfId="0" applyFont="1" applyBorder="1" applyAlignment="1" applyProtection="1">
      <alignment horizont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1" fontId="72" fillId="0" borderId="0" xfId="0" applyNumberFormat="1" applyFont="1" applyBorder="1" applyAlignment="1">
      <alignment horizontal="center" vertical="center"/>
    </xf>
    <xf numFmtId="0" fontId="69" fillId="0" borderId="0" xfId="0" applyFont="1" applyBorder="1" applyAlignment="1">
      <alignment horizontal="center" vertical="center"/>
    </xf>
    <xf numFmtId="1" fontId="69" fillId="0" borderId="0" xfId="0" applyNumberFormat="1" applyFont="1" applyBorder="1" applyAlignment="1">
      <alignment horizontal="center" vertic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29" fillId="3" borderId="21" xfId="2" applyNumberFormat="1" applyFont="1" applyFill="1" applyBorder="1" applyAlignment="1" applyProtection="1">
      <alignment horizontal="center"/>
    </xf>
    <xf numFmtId="0" fontId="27" fillId="22" borderId="1" xfId="0" applyFont="1" applyFill="1" applyBorder="1" applyAlignment="1" applyProtection="1">
      <alignment horizont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17" fillId="0" borderId="3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17" fillId="0" borderId="3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164" fontId="27" fillId="18" borderId="7" xfId="0" applyNumberFormat="1" applyFont="1" applyFill="1" applyBorder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2" fontId="27" fillId="0" borderId="11" xfId="0" applyNumberFormat="1" applyFont="1" applyBorder="1" applyAlignment="1">
      <alignment horizontal="center"/>
    </xf>
    <xf numFmtId="166" fontId="17" fillId="0" borderId="1" xfId="0" applyNumberFormat="1" applyFont="1" applyBorder="1" applyAlignment="1">
      <alignment horizontal="center"/>
    </xf>
    <xf numFmtId="0" fontId="69" fillId="0" borderId="0" xfId="0" applyFont="1" applyAlignment="1">
      <alignment horizontal="center" vertical="center"/>
    </xf>
    <xf numFmtId="0" fontId="68" fillId="0" borderId="6" xfId="0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 vertical="center"/>
    </xf>
    <xf numFmtId="1" fontId="69" fillId="3" borderId="37" xfId="0" applyNumberFormat="1" applyFont="1" applyFill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/>
    </xf>
    <xf numFmtId="164" fontId="4" fillId="0" borderId="17" xfId="0" applyNumberFormat="1" applyFont="1" applyBorder="1" applyAlignment="1">
      <alignment horizontal="left"/>
    </xf>
    <xf numFmtId="164" fontId="11" fillId="4" borderId="13" xfId="0" applyNumberFormat="1" applyFont="1" applyFill="1" applyBorder="1" applyAlignment="1">
      <alignment horizontal="center" vertical="top" wrapText="1"/>
    </xf>
    <xf numFmtId="164" fontId="11" fillId="4" borderId="19" xfId="0" applyNumberFormat="1" applyFont="1" applyFill="1" applyBorder="1" applyAlignment="1">
      <alignment horizontal="center" vertical="top" wrapText="1"/>
    </xf>
    <xf numFmtId="14" fontId="11" fillId="0" borderId="17" xfId="0" applyNumberFormat="1" applyFont="1" applyBorder="1" applyAlignment="1">
      <alignment horizontal="center" vertical="center"/>
    </xf>
    <xf numFmtId="2" fontId="41" fillId="0" borderId="38" xfId="0" applyNumberFormat="1" applyFont="1" applyBorder="1" applyAlignment="1">
      <alignment horizontal="center" vertical="center"/>
    </xf>
    <xf numFmtId="2" fontId="41" fillId="0" borderId="7" xfId="0" applyNumberFormat="1" applyFont="1" applyBorder="1" applyAlignment="1">
      <alignment horizontal="center" vertical="center"/>
    </xf>
    <xf numFmtId="164" fontId="19" fillId="0" borderId="0" xfId="0" applyNumberFormat="1" applyFont="1" applyAlignment="1" applyProtection="1">
      <alignment horizontal="left"/>
      <protection locked="0"/>
    </xf>
    <xf numFmtId="164" fontId="15" fillId="4" borderId="13" xfId="0" applyNumberFormat="1" applyFont="1" applyFill="1" applyBorder="1" applyAlignment="1" applyProtection="1">
      <alignment horizontal="center" vertical="center" wrapText="1"/>
      <protection locked="0"/>
    </xf>
    <xf numFmtId="164" fontId="15" fillId="4" borderId="19" xfId="0" applyNumberFormat="1" applyFont="1" applyFill="1" applyBorder="1" applyAlignment="1" applyProtection="1">
      <alignment horizontal="center" vertical="center" wrapText="1"/>
      <protection locked="0"/>
    </xf>
    <xf numFmtId="164" fontId="30" fillId="0" borderId="0" xfId="0" applyNumberFormat="1" applyFont="1" applyAlignment="1" applyProtection="1">
      <alignment horizontal="center" vertical="center"/>
      <protection locked="0"/>
    </xf>
    <xf numFmtId="164" fontId="14" fillId="0" borderId="0" xfId="0" applyNumberFormat="1" applyFont="1" applyAlignment="1" applyProtection="1">
      <alignment horizontal="center"/>
      <protection locked="0"/>
    </xf>
    <xf numFmtId="10" fontId="31" fillId="8" borderId="0" xfId="2" applyNumberFormat="1" applyFont="1" applyFill="1" applyAlignment="1" applyProtection="1">
      <alignment horizontal="center" vertical="center"/>
    </xf>
    <xf numFmtId="164" fontId="47" fillId="0" borderId="0" xfId="0" applyNumberFormat="1" applyFont="1" applyAlignment="1" applyProtection="1">
      <alignment horizontal="center" vertical="center"/>
      <protection locked="0"/>
    </xf>
    <xf numFmtId="164" fontId="17" fillId="0" borderId="17" xfId="0" applyNumberFormat="1" applyFont="1" applyBorder="1" applyAlignment="1" applyProtection="1">
      <alignment horizontal="left" vertical="center"/>
      <protection locked="0"/>
    </xf>
    <xf numFmtId="164" fontId="36" fillId="0" borderId="0" xfId="0" applyNumberFormat="1" applyFont="1" applyAlignment="1" applyProtection="1">
      <alignment horizontal="center" vertical="center"/>
      <protection locked="0"/>
    </xf>
    <xf numFmtId="14" fontId="17" fillId="0" borderId="17" xfId="0" applyNumberFormat="1" applyFont="1" applyBorder="1" applyAlignment="1" applyProtection="1">
      <alignment horizontal="center" vertical="center"/>
      <protection locked="0"/>
    </xf>
    <xf numFmtId="164" fontId="27" fillId="0" borderId="37" xfId="0" applyNumberFormat="1" applyFont="1" applyBorder="1" applyAlignment="1" applyProtection="1">
      <alignment horizontal="center" vertical="center"/>
      <protection locked="0"/>
    </xf>
    <xf numFmtId="164" fontId="31" fillId="0" borderId="0" xfId="0" applyNumberFormat="1" applyFont="1" applyAlignment="1" applyProtection="1">
      <alignment horizontal="center" vertical="center"/>
      <protection locked="0"/>
    </xf>
    <xf numFmtId="49" fontId="40" fillId="5" borderId="17" xfId="0" applyNumberFormat="1" applyFont="1" applyFill="1" applyBorder="1" applyAlignment="1" applyProtection="1">
      <alignment horizontal="center" vertical="center"/>
      <protection locked="0"/>
    </xf>
    <xf numFmtId="49" fontId="22" fillId="3" borderId="17" xfId="0" applyNumberFormat="1" applyFont="1" applyFill="1" applyBorder="1" applyAlignment="1" applyProtection="1">
      <alignment horizontal="center" vertical="center"/>
      <protection locked="0"/>
    </xf>
    <xf numFmtId="9" fontId="3" fillId="0" borderId="37" xfId="2" applyFont="1" applyBorder="1" applyAlignment="1" applyProtection="1">
      <alignment horizontal="center" vertical="center"/>
    </xf>
    <xf numFmtId="0" fontId="57" fillId="0" borderId="41" xfId="0" applyFont="1" applyBorder="1" applyAlignment="1" applyProtection="1">
      <alignment horizontal="center" vertical="center" wrapText="1"/>
      <protection locked="0"/>
    </xf>
    <xf numFmtId="0" fontId="57" fillId="0" borderId="40" xfId="0" applyFont="1" applyBorder="1" applyAlignment="1" applyProtection="1">
      <alignment horizontal="center" vertical="center" wrapText="1"/>
      <protection locked="0"/>
    </xf>
    <xf numFmtId="164" fontId="66" fillId="0" borderId="0" xfId="0" applyNumberFormat="1" applyFont="1" applyAlignment="1" applyProtection="1">
      <alignment horizontal="center" vertical="center"/>
      <protection locked="0"/>
    </xf>
    <xf numFmtId="2" fontId="41" fillId="0" borderId="38" xfId="0" applyNumberFormat="1" applyFont="1" applyBorder="1" applyAlignment="1" applyProtection="1">
      <alignment horizontal="center" vertical="center"/>
    </xf>
    <xf numFmtId="2" fontId="41" fillId="0" borderId="7" xfId="0" applyNumberFormat="1" applyFont="1" applyBorder="1" applyAlignment="1" applyProtection="1">
      <alignment horizontal="center" vertical="center"/>
    </xf>
    <xf numFmtId="164" fontId="41" fillId="0" borderId="0" xfId="0" applyNumberFormat="1" applyFont="1" applyAlignment="1" applyProtection="1">
      <alignment horizontal="center"/>
      <protection locked="0"/>
    </xf>
    <xf numFmtId="164" fontId="22" fillId="0" borderId="0" xfId="0" applyNumberFormat="1" applyFont="1" applyAlignment="1" applyProtection="1">
      <alignment horizontal="left"/>
      <protection locked="0"/>
    </xf>
    <xf numFmtId="164" fontId="27" fillId="0" borderId="52" xfId="0" applyNumberFormat="1" applyFont="1" applyBorder="1" applyAlignment="1" applyProtection="1">
      <alignment horizontal="center" vertical="center"/>
    </xf>
    <xf numFmtId="164" fontId="27" fillId="0" borderId="53" xfId="0" applyNumberFormat="1" applyFont="1" applyBorder="1" applyAlignment="1" applyProtection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8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49" fontId="69" fillId="0" borderId="0" xfId="0" applyNumberFormat="1" applyFont="1" applyAlignment="1">
      <alignment horizontal="center" vertical="center"/>
    </xf>
    <xf numFmtId="0" fontId="68" fillId="0" borderId="41" xfId="0" applyFont="1" applyBorder="1" applyAlignment="1">
      <alignment horizontal="center" vertical="center"/>
    </xf>
    <xf numFmtId="0" fontId="68" fillId="0" borderId="45" xfId="0" applyFont="1" applyBorder="1" applyAlignment="1">
      <alignment horizontal="center" vertical="center"/>
    </xf>
    <xf numFmtId="0" fontId="68" fillId="0" borderId="40" xfId="0" applyFont="1" applyBorder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68" fillId="0" borderId="12" xfId="0" applyFont="1" applyBorder="1" applyAlignment="1">
      <alignment horizontal="center" vertical="center"/>
    </xf>
    <xf numFmtId="0" fontId="68" fillId="0" borderId="7" xfId="0" applyFont="1" applyBorder="1" applyAlignment="1">
      <alignment horizontal="center" vertical="center"/>
    </xf>
    <xf numFmtId="0" fontId="68" fillId="0" borderId="6" xfId="0" applyFont="1" applyBorder="1" applyAlignment="1">
      <alignment horizontal="center" vertical="center"/>
    </xf>
    <xf numFmtId="0" fontId="68" fillId="0" borderId="37" xfId="0" applyFont="1" applyBorder="1" applyAlignment="1">
      <alignment horizontal="center" vertical="center" wrapText="1"/>
    </xf>
    <xf numFmtId="0" fontId="68" fillId="0" borderId="41" xfId="0" applyFont="1" applyBorder="1" applyAlignment="1">
      <alignment horizontal="center" vertical="center" wrapText="1"/>
    </xf>
    <xf numFmtId="0" fontId="68" fillId="0" borderId="40" xfId="0" applyFont="1" applyBorder="1" applyAlignment="1">
      <alignment horizontal="center" vertical="center" wrapText="1"/>
    </xf>
    <xf numFmtId="0" fontId="68" fillId="0" borderId="55" xfId="0" applyFont="1" applyBorder="1" applyAlignment="1">
      <alignment horizontal="center" vertical="center" wrapText="1"/>
    </xf>
    <xf numFmtId="0" fontId="68" fillId="0" borderId="54" xfId="0" applyFont="1" applyBorder="1" applyAlignment="1">
      <alignment horizontal="center" vertical="center" wrapText="1"/>
    </xf>
    <xf numFmtId="0" fontId="68" fillId="0" borderId="12" xfId="0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 vertical="center" wrapText="1"/>
    </xf>
    <xf numFmtId="0" fontId="73" fillId="0" borderId="12" xfId="0" applyFont="1" applyBorder="1" applyAlignment="1">
      <alignment horizontal="center" vertical="center" wrapText="1"/>
    </xf>
    <xf numFmtId="0" fontId="73" fillId="0" borderId="7" xfId="0" applyFont="1" applyBorder="1" applyAlignment="1">
      <alignment horizontal="center" vertical="center" wrapText="1"/>
    </xf>
    <xf numFmtId="0" fontId="73" fillId="0" borderId="6" xfId="0" applyFont="1" applyBorder="1" applyAlignment="1">
      <alignment horizontal="center" vertical="center" wrapText="1"/>
    </xf>
    <xf numFmtId="49" fontId="73" fillId="0" borderId="12" xfId="0" applyNumberFormat="1" applyFont="1" applyBorder="1" applyAlignment="1">
      <alignment horizontal="center" vertical="center" wrapText="1"/>
    </xf>
    <xf numFmtId="49" fontId="73" fillId="0" borderId="7" xfId="0" applyNumberFormat="1" applyFont="1" applyBorder="1" applyAlignment="1">
      <alignment horizontal="center" vertical="center" wrapText="1"/>
    </xf>
    <xf numFmtId="49" fontId="73" fillId="0" borderId="6" xfId="0" applyNumberFormat="1" applyFont="1" applyBorder="1" applyAlignment="1">
      <alignment horizontal="center" vertical="center" wrapText="1"/>
    </xf>
    <xf numFmtId="0" fontId="68" fillId="0" borderId="7" xfId="0" applyFont="1" applyBorder="1" applyAlignment="1">
      <alignment horizontal="center" vertical="center" wrapText="1"/>
    </xf>
  </cellXfs>
  <cellStyles count="8643">
    <cellStyle name="Comma" xfId="1" builtinId="3"/>
    <cellStyle name="Milliers 10" xfId="93"/>
    <cellStyle name="Milliers 10 2" xfId="273"/>
    <cellStyle name="Milliers 10 2 2" xfId="633"/>
    <cellStyle name="Milliers 10 2 2 2" xfId="1353"/>
    <cellStyle name="Milliers 10 2 2 2 2" xfId="3513"/>
    <cellStyle name="Milliers 10 2 2 2 2 2" xfId="7833"/>
    <cellStyle name="Milliers 10 2 2 2 3" xfId="5673"/>
    <cellStyle name="Milliers 10 2 2 3" xfId="2073"/>
    <cellStyle name="Milliers 10 2 2 3 2" xfId="4233"/>
    <cellStyle name="Milliers 10 2 2 3 2 2" xfId="8553"/>
    <cellStyle name="Milliers 10 2 2 3 3" xfId="6393"/>
    <cellStyle name="Milliers 10 2 2 4" xfId="2793"/>
    <cellStyle name="Milliers 10 2 2 4 2" xfId="7113"/>
    <cellStyle name="Milliers 10 2 2 5" xfId="4953"/>
    <cellStyle name="Milliers 10 2 3" xfId="993"/>
    <cellStyle name="Milliers 10 2 3 2" xfId="3153"/>
    <cellStyle name="Milliers 10 2 3 2 2" xfId="7473"/>
    <cellStyle name="Milliers 10 2 3 3" xfId="5313"/>
    <cellStyle name="Milliers 10 2 4" xfId="1713"/>
    <cellStyle name="Milliers 10 2 4 2" xfId="3873"/>
    <cellStyle name="Milliers 10 2 4 2 2" xfId="8193"/>
    <cellStyle name="Milliers 10 2 4 3" xfId="6033"/>
    <cellStyle name="Milliers 10 2 5" xfId="2433"/>
    <cellStyle name="Milliers 10 2 5 2" xfId="6753"/>
    <cellStyle name="Milliers 10 2 6" xfId="4593"/>
    <cellStyle name="Milliers 10 3" xfId="453"/>
    <cellStyle name="Milliers 10 3 2" xfId="1173"/>
    <cellStyle name="Milliers 10 3 2 2" xfId="3333"/>
    <cellStyle name="Milliers 10 3 2 2 2" xfId="7653"/>
    <cellStyle name="Milliers 10 3 2 3" xfId="5493"/>
    <cellStyle name="Milliers 10 3 3" xfId="1893"/>
    <cellStyle name="Milliers 10 3 3 2" xfId="4053"/>
    <cellStyle name="Milliers 10 3 3 2 2" xfId="8373"/>
    <cellStyle name="Milliers 10 3 3 3" xfId="6213"/>
    <cellStyle name="Milliers 10 3 4" xfId="2613"/>
    <cellStyle name="Milliers 10 3 4 2" xfId="6933"/>
    <cellStyle name="Milliers 10 3 5" xfId="4773"/>
    <cellStyle name="Milliers 10 4" xfId="813"/>
    <cellStyle name="Milliers 10 4 2" xfId="2973"/>
    <cellStyle name="Milliers 10 4 2 2" xfId="7293"/>
    <cellStyle name="Milliers 10 4 3" xfId="5133"/>
    <cellStyle name="Milliers 10 5" xfId="1533"/>
    <cellStyle name="Milliers 10 5 2" xfId="3693"/>
    <cellStyle name="Milliers 10 5 2 2" xfId="8013"/>
    <cellStyle name="Milliers 10 5 3" xfId="5853"/>
    <cellStyle name="Milliers 10 6" xfId="2253"/>
    <cellStyle name="Milliers 10 6 2" xfId="6573"/>
    <cellStyle name="Milliers 10 7" xfId="4413"/>
    <cellStyle name="Milliers 11" xfId="183"/>
    <cellStyle name="Milliers 11 2" xfId="543"/>
    <cellStyle name="Milliers 11 2 2" xfId="1263"/>
    <cellStyle name="Milliers 11 2 2 2" xfId="3423"/>
    <cellStyle name="Milliers 11 2 2 2 2" xfId="7743"/>
    <cellStyle name="Milliers 11 2 2 3" xfId="5583"/>
    <cellStyle name="Milliers 11 2 3" xfId="1983"/>
    <cellStyle name="Milliers 11 2 3 2" xfId="4143"/>
    <cellStyle name="Milliers 11 2 3 2 2" xfId="8463"/>
    <cellStyle name="Milliers 11 2 3 3" xfId="6303"/>
    <cellStyle name="Milliers 11 2 4" xfId="2703"/>
    <cellStyle name="Milliers 11 2 4 2" xfId="7023"/>
    <cellStyle name="Milliers 11 2 5" xfId="4863"/>
    <cellStyle name="Milliers 11 3" xfId="903"/>
    <cellStyle name="Milliers 11 3 2" xfId="3063"/>
    <cellStyle name="Milliers 11 3 2 2" xfId="7383"/>
    <cellStyle name="Milliers 11 3 3" xfId="5223"/>
    <cellStyle name="Milliers 11 4" xfId="1623"/>
    <cellStyle name="Milliers 11 4 2" xfId="3783"/>
    <cellStyle name="Milliers 11 4 2 2" xfId="8103"/>
    <cellStyle name="Milliers 11 4 3" xfId="5943"/>
    <cellStyle name="Milliers 11 5" xfId="2343"/>
    <cellStyle name="Milliers 11 5 2" xfId="6663"/>
    <cellStyle name="Milliers 11 6" xfId="4503"/>
    <cellStyle name="Milliers 12" xfId="363"/>
    <cellStyle name="Milliers 12 2" xfId="1083"/>
    <cellStyle name="Milliers 12 2 2" xfId="3243"/>
    <cellStyle name="Milliers 12 2 2 2" xfId="7563"/>
    <cellStyle name="Milliers 12 2 3" xfId="5403"/>
    <cellStyle name="Milliers 12 3" xfId="1803"/>
    <cellStyle name="Milliers 12 3 2" xfId="3963"/>
    <cellStyle name="Milliers 12 3 2 2" xfId="8283"/>
    <cellStyle name="Milliers 12 3 3" xfId="6123"/>
    <cellStyle name="Milliers 12 4" xfId="2523"/>
    <cellStyle name="Milliers 12 4 2" xfId="6843"/>
    <cellStyle name="Milliers 12 5" xfId="4683"/>
    <cellStyle name="Milliers 13" xfId="723"/>
    <cellStyle name="Milliers 13 2" xfId="2883"/>
    <cellStyle name="Milliers 13 2 2" xfId="7203"/>
    <cellStyle name="Milliers 13 3" xfId="5043"/>
    <cellStyle name="Milliers 14" xfId="1443"/>
    <cellStyle name="Milliers 14 2" xfId="3603"/>
    <cellStyle name="Milliers 14 2 2" xfId="7923"/>
    <cellStyle name="Milliers 14 3" xfId="5763"/>
    <cellStyle name="Milliers 15" xfId="2163"/>
    <cellStyle name="Milliers 15 2" xfId="6483"/>
    <cellStyle name="Milliers 16" xfId="4323"/>
    <cellStyle name="Milliers 2" xfId="3"/>
    <cellStyle name="Milliers 2 10" xfId="364"/>
    <cellStyle name="Milliers 2 10 2" xfId="1084"/>
    <cellStyle name="Milliers 2 10 2 2" xfId="3244"/>
    <cellStyle name="Milliers 2 10 2 2 2" xfId="7564"/>
    <cellStyle name="Milliers 2 10 2 3" xfId="5404"/>
    <cellStyle name="Milliers 2 10 3" xfId="1804"/>
    <cellStyle name="Milliers 2 10 3 2" xfId="3964"/>
    <cellStyle name="Milliers 2 10 3 2 2" xfId="8284"/>
    <cellStyle name="Milliers 2 10 3 3" xfId="6124"/>
    <cellStyle name="Milliers 2 10 4" xfId="2524"/>
    <cellStyle name="Milliers 2 10 4 2" xfId="6844"/>
    <cellStyle name="Milliers 2 10 5" xfId="4684"/>
    <cellStyle name="Milliers 2 11" xfId="724"/>
    <cellStyle name="Milliers 2 11 2" xfId="2884"/>
    <cellStyle name="Milliers 2 11 2 2" xfId="7204"/>
    <cellStyle name="Milliers 2 11 3" xfId="5044"/>
    <cellStyle name="Milliers 2 12" xfId="1444"/>
    <cellStyle name="Milliers 2 12 2" xfId="3604"/>
    <cellStyle name="Milliers 2 12 2 2" xfId="7924"/>
    <cellStyle name="Milliers 2 12 3" xfId="5764"/>
    <cellStyle name="Milliers 2 13" xfId="2164"/>
    <cellStyle name="Milliers 2 13 2" xfId="6484"/>
    <cellStyle name="Milliers 2 14" xfId="4324"/>
    <cellStyle name="Milliers 2 2" xfId="7"/>
    <cellStyle name="Milliers 2 2 10" xfId="1447"/>
    <cellStyle name="Milliers 2 2 10 2" xfId="3607"/>
    <cellStyle name="Milliers 2 2 10 2 2" xfId="7927"/>
    <cellStyle name="Milliers 2 2 10 3" xfId="5767"/>
    <cellStyle name="Milliers 2 2 11" xfId="2167"/>
    <cellStyle name="Milliers 2 2 11 2" xfId="6487"/>
    <cellStyle name="Milliers 2 2 12" xfId="4327"/>
    <cellStyle name="Milliers 2 2 2" xfId="13"/>
    <cellStyle name="Milliers 2 2 2 10" xfId="2173"/>
    <cellStyle name="Milliers 2 2 2 10 2" xfId="6493"/>
    <cellStyle name="Milliers 2 2 2 11" xfId="4333"/>
    <cellStyle name="Milliers 2 2 2 2" xfId="28"/>
    <cellStyle name="Milliers 2 2 2 2 2" xfId="73"/>
    <cellStyle name="Milliers 2 2 2 2 2 2" xfId="163"/>
    <cellStyle name="Milliers 2 2 2 2 2 2 2" xfId="343"/>
    <cellStyle name="Milliers 2 2 2 2 2 2 2 2" xfId="703"/>
    <cellStyle name="Milliers 2 2 2 2 2 2 2 2 2" xfId="1423"/>
    <cellStyle name="Milliers 2 2 2 2 2 2 2 2 2 2" xfId="3583"/>
    <cellStyle name="Milliers 2 2 2 2 2 2 2 2 2 2 2" xfId="7903"/>
    <cellStyle name="Milliers 2 2 2 2 2 2 2 2 2 3" xfId="5743"/>
    <cellStyle name="Milliers 2 2 2 2 2 2 2 2 3" xfId="2143"/>
    <cellStyle name="Milliers 2 2 2 2 2 2 2 2 3 2" xfId="4303"/>
    <cellStyle name="Milliers 2 2 2 2 2 2 2 2 3 2 2" xfId="8623"/>
    <cellStyle name="Milliers 2 2 2 2 2 2 2 2 3 3" xfId="6463"/>
    <cellStyle name="Milliers 2 2 2 2 2 2 2 2 4" xfId="2863"/>
    <cellStyle name="Milliers 2 2 2 2 2 2 2 2 4 2" xfId="7183"/>
    <cellStyle name="Milliers 2 2 2 2 2 2 2 2 5" xfId="5023"/>
    <cellStyle name="Milliers 2 2 2 2 2 2 2 3" xfId="1063"/>
    <cellStyle name="Milliers 2 2 2 2 2 2 2 3 2" xfId="3223"/>
    <cellStyle name="Milliers 2 2 2 2 2 2 2 3 2 2" xfId="7543"/>
    <cellStyle name="Milliers 2 2 2 2 2 2 2 3 3" xfId="5383"/>
    <cellStyle name="Milliers 2 2 2 2 2 2 2 4" xfId="1783"/>
    <cellStyle name="Milliers 2 2 2 2 2 2 2 4 2" xfId="3943"/>
    <cellStyle name="Milliers 2 2 2 2 2 2 2 4 2 2" xfId="8263"/>
    <cellStyle name="Milliers 2 2 2 2 2 2 2 4 3" xfId="6103"/>
    <cellStyle name="Milliers 2 2 2 2 2 2 2 5" xfId="2503"/>
    <cellStyle name="Milliers 2 2 2 2 2 2 2 5 2" xfId="6823"/>
    <cellStyle name="Milliers 2 2 2 2 2 2 2 6" xfId="4663"/>
    <cellStyle name="Milliers 2 2 2 2 2 2 3" xfId="523"/>
    <cellStyle name="Milliers 2 2 2 2 2 2 3 2" xfId="1243"/>
    <cellStyle name="Milliers 2 2 2 2 2 2 3 2 2" xfId="3403"/>
    <cellStyle name="Milliers 2 2 2 2 2 2 3 2 2 2" xfId="7723"/>
    <cellStyle name="Milliers 2 2 2 2 2 2 3 2 3" xfId="5563"/>
    <cellStyle name="Milliers 2 2 2 2 2 2 3 3" xfId="1963"/>
    <cellStyle name="Milliers 2 2 2 2 2 2 3 3 2" xfId="4123"/>
    <cellStyle name="Milliers 2 2 2 2 2 2 3 3 2 2" xfId="8443"/>
    <cellStyle name="Milliers 2 2 2 2 2 2 3 3 3" xfId="6283"/>
    <cellStyle name="Milliers 2 2 2 2 2 2 3 4" xfId="2683"/>
    <cellStyle name="Milliers 2 2 2 2 2 2 3 4 2" xfId="7003"/>
    <cellStyle name="Milliers 2 2 2 2 2 2 3 5" xfId="4843"/>
    <cellStyle name="Milliers 2 2 2 2 2 2 4" xfId="883"/>
    <cellStyle name="Milliers 2 2 2 2 2 2 4 2" xfId="3043"/>
    <cellStyle name="Milliers 2 2 2 2 2 2 4 2 2" xfId="7363"/>
    <cellStyle name="Milliers 2 2 2 2 2 2 4 3" xfId="5203"/>
    <cellStyle name="Milliers 2 2 2 2 2 2 5" xfId="1603"/>
    <cellStyle name="Milliers 2 2 2 2 2 2 5 2" xfId="3763"/>
    <cellStyle name="Milliers 2 2 2 2 2 2 5 2 2" xfId="8083"/>
    <cellStyle name="Milliers 2 2 2 2 2 2 5 3" xfId="5923"/>
    <cellStyle name="Milliers 2 2 2 2 2 2 6" xfId="2323"/>
    <cellStyle name="Milliers 2 2 2 2 2 2 6 2" xfId="6643"/>
    <cellStyle name="Milliers 2 2 2 2 2 2 7" xfId="4483"/>
    <cellStyle name="Milliers 2 2 2 2 2 3" xfId="253"/>
    <cellStyle name="Milliers 2 2 2 2 2 3 2" xfId="613"/>
    <cellStyle name="Milliers 2 2 2 2 2 3 2 2" xfId="1333"/>
    <cellStyle name="Milliers 2 2 2 2 2 3 2 2 2" xfId="3493"/>
    <cellStyle name="Milliers 2 2 2 2 2 3 2 2 2 2" xfId="7813"/>
    <cellStyle name="Milliers 2 2 2 2 2 3 2 2 3" xfId="5653"/>
    <cellStyle name="Milliers 2 2 2 2 2 3 2 3" xfId="2053"/>
    <cellStyle name="Milliers 2 2 2 2 2 3 2 3 2" xfId="4213"/>
    <cellStyle name="Milliers 2 2 2 2 2 3 2 3 2 2" xfId="8533"/>
    <cellStyle name="Milliers 2 2 2 2 2 3 2 3 3" xfId="6373"/>
    <cellStyle name="Milliers 2 2 2 2 2 3 2 4" xfId="2773"/>
    <cellStyle name="Milliers 2 2 2 2 2 3 2 4 2" xfId="7093"/>
    <cellStyle name="Milliers 2 2 2 2 2 3 2 5" xfId="4933"/>
    <cellStyle name="Milliers 2 2 2 2 2 3 3" xfId="973"/>
    <cellStyle name="Milliers 2 2 2 2 2 3 3 2" xfId="3133"/>
    <cellStyle name="Milliers 2 2 2 2 2 3 3 2 2" xfId="7453"/>
    <cellStyle name="Milliers 2 2 2 2 2 3 3 3" xfId="5293"/>
    <cellStyle name="Milliers 2 2 2 2 2 3 4" xfId="1693"/>
    <cellStyle name="Milliers 2 2 2 2 2 3 4 2" xfId="3853"/>
    <cellStyle name="Milliers 2 2 2 2 2 3 4 2 2" xfId="8173"/>
    <cellStyle name="Milliers 2 2 2 2 2 3 4 3" xfId="6013"/>
    <cellStyle name="Milliers 2 2 2 2 2 3 5" xfId="2413"/>
    <cellStyle name="Milliers 2 2 2 2 2 3 5 2" xfId="6733"/>
    <cellStyle name="Milliers 2 2 2 2 2 3 6" xfId="4573"/>
    <cellStyle name="Milliers 2 2 2 2 2 4" xfId="433"/>
    <cellStyle name="Milliers 2 2 2 2 2 4 2" xfId="1153"/>
    <cellStyle name="Milliers 2 2 2 2 2 4 2 2" xfId="3313"/>
    <cellStyle name="Milliers 2 2 2 2 2 4 2 2 2" xfId="7633"/>
    <cellStyle name="Milliers 2 2 2 2 2 4 2 3" xfId="5473"/>
    <cellStyle name="Milliers 2 2 2 2 2 4 3" xfId="1873"/>
    <cellStyle name="Milliers 2 2 2 2 2 4 3 2" xfId="4033"/>
    <cellStyle name="Milliers 2 2 2 2 2 4 3 2 2" xfId="8353"/>
    <cellStyle name="Milliers 2 2 2 2 2 4 3 3" xfId="6193"/>
    <cellStyle name="Milliers 2 2 2 2 2 4 4" xfId="2593"/>
    <cellStyle name="Milliers 2 2 2 2 2 4 4 2" xfId="6913"/>
    <cellStyle name="Milliers 2 2 2 2 2 4 5" xfId="4753"/>
    <cellStyle name="Milliers 2 2 2 2 2 5" xfId="793"/>
    <cellStyle name="Milliers 2 2 2 2 2 5 2" xfId="2953"/>
    <cellStyle name="Milliers 2 2 2 2 2 5 2 2" xfId="7273"/>
    <cellStyle name="Milliers 2 2 2 2 2 5 3" xfId="5113"/>
    <cellStyle name="Milliers 2 2 2 2 2 6" xfId="1513"/>
    <cellStyle name="Milliers 2 2 2 2 2 6 2" xfId="3673"/>
    <cellStyle name="Milliers 2 2 2 2 2 6 2 2" xfId="7993"/>
    <cellStyle name="Milliers 2 2 2 2 2 6 3" xfId="5833"/>
    <cellStyle name="Milliers 2 2 2 2 2 7" xfId="2233"/>
    <cellStyle name="Milliers 2 2 2 2 2 7 2" xfId="6553"/>
    <cellStyle name="Milliers 2 2 2 2 2 8" xfId="4393"/>
    <cellStyle name="Milliers 2 2 2 2 3" xfId="118"/>
    <cellStyle name="Milliers 2 2 2 2 3 2" xfId="298"/>
    <cellStyle name="Milliers 2 2 2 2 3 2 2" xfId="658"/>
    <cellStyle name="Milliers 2 2 2 2 3 2 2 2" xfId="1378"/>
    <cellStyle name="Milliers 2 2 2 2 3 2 2 2 2" xfId="3538"/>
    <cellStyle name="Milliers 2 2 2 2 3 2 2 2 2 2" xfId="7858"/>
    <cellStyle name="Milliers 2 2 2 2 3 2 2 2 3" xfId="5698"/>
    <cellStyle name="Milliers 2 2 2 2 3 2 2 3" xfId="2098"/>
    <cellStyle name="Milliers 2 2 2 2 3 2 2 3 2" xfId="4258"/>
    <cellStyle name="Milliers 2 2 2 2 3 2 2 3 2 2" xfId="8578"/>
    <cellStyle name="Milliers 2 2 2 2 3 2 2 3 3" xfId="6418"/>
    <cellStyle name="Milliers 2 2 2 2 3 2 2 4" xfId="2818"/>
    <cellStyle name="Milliers 2 2 2 2 3 2 2 4 2" xfId="7138"/>
    <cellStyle name="Milliers 2 2 2 2 3 2 2 5" xfId="4978"/>
    <cellStyle name="Milliers 2 2 2 2 3 2 3" xfId="1018"/>
    <cellStyle name="Milliers 2 2 2 2 3 2 3 2" xfId="3178"/>
    <cellStyle name="Milliers 2 2 2 2 3 2 3 2 2" xfId="7498"/>
    <cellStyle name="Milliers 2 2 2 2 3 2 3 3" xfId="5338"/>
    <cellStyle name="Milliers 2 2 2 2 3 2 4" xfId="1738"/>
    <cellStyle name="Milliers 2 2 2 2 3 2 4 2" xfId="3898"/>
    <cellStyle name="Milliers 2 2 2 2 3 2 4 2 2" xfId="8218"/>
    <cellStyle name="Milliers 2 2 2 2 3 2 4 3" xfId="6058"/>
    <cellStyle name="Milliers 2 2 2 2 3 2 5" xfId="2458"/>
    <cellStyle name="Milliers 2 2 2 2 3 2 5 2" xfId="6778"/>
    <cellStyle name="Milliers 2 2 2 2 3 2 6" xfId="4618"/>
    <cellStyle name="Milliers 2 2 2 2 3 3" xfId="478"/>
    <cellStyle name="Milliers 2 2 2 2 3 3 2" xfId="1198"/>
    <cellStyle name="Milliers 2 2 2 2 3 3 2 2" xfId="3358"/>
    <cellStyle name="Milliers 2 2 2 2 3 3 2 2 2" xfId="7678"/>
    <cellStyle name="Milliers 2 2 2 2 3 3 2 3" xfId="5518"/>
    <cellStyle name="Milliers 2 2 2 2 3 3 3" xfId="1918"/>
    <cellStyle name="Milliers 2 2 2 2 3 3 3 2" xfId="4078"/>
    <cellStyle name="Milliers 2 2 2 2 3 3 3 2 2" xfId="8398"/>
    <cellStyle name="Milliers 2 2 2 2 3 3 3 3" xfId="6238"/>
    <cellStyle name="Milliers 2 2 2 2 3 3 4" xfId="2638"/>
    <cellStyle name="Milliers 2 2 2 2 3 3 4 2" xfId="6958"/>
    <cellStyle name="Milliers 2 2 2 2 3 3 5" xfId="4798"/>
    <cellStyle name="Milliers 2 2 2 2 3 4" xfId="838"/>
    <cellStyle name="Milliers 2 2 2 2 3 4 2" xfId="2998"/>
    <cellStyle name="Milliers 2 2 2 2 3 4 2 2" xfId="7318"/>
    <cellStyle name="Milliers 2 2 2 2 3 4 3" xfId="5158"/>
    <cellStyle name="Milliers 2 2 2 2 3 5" xfId="1558"/>
    <cellStyle name="Milliers 2 2 2 2 3 5 2" xfId="3718"/>
    <cellStyle name="Milliers 2 2 2 2 3 5 2 2" xfId="8038"/>
    <cellStyle name="Milliers 2 2 2 2 3 5 3" xfId="5878"/>
    <cellStyle name="Milliers 2 2 2 2 3 6" xfId="2278"/>
    <cellStyle name="Milliers 2 2 2 2 3 6 2" xfId="6598"/>
    <cellStyle name="Milliers 2 2 2 2 3 7" xfId="4438"/>
    <cellStyle name="Milliers 2 2 2 2 4" xfId="208"/>
    <cellStyle name="Milliers 2 2 2 2 4 2" xfId="568"/>
    <cellStyle name="Milliers 2 2 2 2 4 2 2" xfId="1288"/>
    <cellStyle name="Milliers 2 2 2 2 4 2 2 2" xfId="3448"/>
    <cellStyle name="Milliers 2 2 2 2 4 2 2 2 2" xfId="7768"/>
    <cellStyle name="Milliers 2 2 2 2 4 2 2 3" xfId="5608"/>
    <cellStyle name="Milliers 2 2 2 2 4 2 3" xfId="2008"/>
    <cellStyle name="Milliers 2 2 2 2 4 2 3 2" xfId="4168"/>
    <cellStyle name="Milliers 2 2 2 2 4 2 3 2 2" xfId="8488"/>
    <cellStyle name="Milliers 2 2 2 2 4 2 3 3" xfId="6328"/>
    <cellStyle name="Milliers 2 2 2 2 4 2 4" xfId="2728"/>
    <cellStyle name="Milliers 2 2 2 2 4 2 4 2" xfId="7048"/>
    <cellStyle name="Milliers 2 2 2 2 4 2 5" xfId="4888"/>
    <cellStyle name="Milliers 2 2 2 2 4 3" xfId="928"/>
    <cellStyle name="Milliers 2 2 2 2 4 3 2" xfId="3088"/>
    <cellStyle name="Milliers 2 2 2 2 4 3 2 2" xfId="7408"/>
    <cellStyle name="Milliers 2 2 2 2 4 3 3" xfId="5248"/>
    <cellStyle name="Milliers 2 2 2 2 4 4" xfId="1648"/>
    <cellStyle name="Milliers 2 2 2 2 4 4 2" xfId="3808"/>
    <cellStyle name="Milliers 2 2 2 2 4 4 2 2" xfId="8128"/>
    <cellStyle name="Milliers 2 2 2 2 4 4 3" xfId="5968"/>
    <cellStyle name="Milliers 2 2 2 2 4 5" xfId="2368"/>
    <cellStyle name="Milliers 2 2 2 2 4 5 2" xfId="6688"/>
    <cellStyle name="Milliers 2 2 2 2 4 6" xfId="4528"/>
    <cellStyle name="Milliers 2 2 2 2 5" xfId="388"/>
    <cellStyle name="Milliers 2 2 2 2 5 2" xfId="1108"/>
    <cellStyle name="Milliers 2 2 2 2 5 2 2" xfId="3268"/>
    <cellStyle name="Milliers 2 2 2 2 5 2 2 2" xfId="7588"/>
    <cellStyle name="Milliers 2 2 2 2 5 2 3" xfId="5428"/>
    <cellStyle name="Milliers 2 2 2 2 5 3" xfId="1828"/>
    <cellStyle name="Milliers 2 2 2 2 5 3 2" xfId="3988"/>
    <cellStyle name="Milliers 2 2 2 2 5 3 2 2" xfId="8308"/>
    <cellStyle name="Milliers 2 2 2 2 5 3 3" xfId="6148"/>
    <cellStyle name="Milliers 2 2 2 2 5 4" xfId="2548"/>
    <cellStyle name="Milliers 2 2 2 2 5 4 2" xfId="6868"/>
    <cellStyle name="Milliers 2 2 2 2 5 5" xfId="4708"/>
    <cellStyle name="Milliers 2 2 2 2 6" xfId="748"/>
    <cellStyle name="Milliers 2 2 2 2 6 2" xfId="2908"/>
    <cellStyle name="Milliers 2 2 2 2 6 2 2" xfId="7228"/>
    <cellStyle name="Milliers 2 2 2 2 6 3" xfId="5068"/>
    <cellStyle name="Milliers 2 2 2 2 7" xfId="1468"/>
    <cellStyle name="Milliers 2 2 2 2 7 2" xfId="3628"/>
    <cellStyle name="Milliers 2 2 2 2 7 2 2" xfId="7948"/>
    <cellStyle name="Milliers 2 2 2 2 7 3" xfId="5788"/>
    <cellStyle name="Milliers 2 2 2 2 8" xfId="2188"/>
    <cellStyle name="Milliers 2 2 2 2 8 2" xfId="6508"/>
    <cellStyle name="Milliers 2 2 2 2 9" xfId="4348"/>
    <cellStyle name="Milliers 2 2 2 3" xfId="43"/>
    <cellStyle name="Milliers 2 2 2 3 2" xfId="88"/>
    <cellStyle name="Milliers 2 2 2 3 2 2" xfId="178"/>
    <cellStyle name="Milliers 2 2 2 3 2 2 2" xfId="358"/>
    <cellStyle name="Milliers 2 2 2 3 2 2 2 2" xfId="718"/>
    <cellStyle name="Milliers 2 2 2 3 2 2 2 2 2" xfId="1438"/>
    <cellStyle name="Milliers 2 2 2 3 2 2 2 2 2 2" xfId="3598"/>
    <cellStyle name="Milliers 2 2 2 3 2 2 2 2 2 2 2" xfId="7918"/>
    <cellStyle name="Milliers 2 2 2 3 2 2 2 2 2 3" xfId="5758"/>
    <cellStyle name="Milliers 2 2 2 3 2 2 2 2 3" xfId="2158"/>
    <cellStyle name="Milliers 2 2 2 3 2 2 2 2 3 2" xfId="4318"/>
    <cellStyle name="Milliers 2 2 2 3 2 2 2 2 3 2 2" xfId="8638"/>
    <cellStyle name="Milliers 2 2 2 3 2 2 2 2 3 3" xfId="6478"/>
    <cellStyle name="Milliers 2 2 2 3 2 2 2 2 4" xfId="2878"/>
    <cellStyle name="Milliers 2 2 2 3 2 2 2 2 4 2" xfId="7198"/>
    <cellStyle name="Milliers 2 2 2 3 2 2 2 2 5" xfId="5038"/>
    <cellStyle name="Milliers 2 2 2 3 2 2 2 3" xfId="1078"/>
    <cellStyle name="Milliers 2 2 2 3 2 2 2 3 2" xfId="3238"/>
    <cellStyle name="Milliers 2 2 2 3 2 2 2 3 2 2" xfId="7558"/>
    <cellStyle name="Milliers 2 2 2 3 2 2 2 3 3" xfId="5398"/>
    <cellStyle name="Milliers 2 2 2 3 2 2 2 4" xfId="1798"/>
    <cellStyle name="Milliers 2 2 2 3 2 2 2 4 2" xfId="3958"/>
    <cellStyle name="Milliers 2 2 2 3 2 2 2 4 2 2" xfId="8278"/>
    <cellStyle name="Milliers 2 2 2 3 2 2 2 4 3" xfId="6118"/>
    <cellStyle name="Milliers 2 2 2 3 2 2 2 5" xfId="2518"/>
    <cellStyle name="Milliers 2 2 2 3 2 2 2 5 2" xfId="6838"/>
    <cellStyle name="Milliers 2 2 2 3 2 2 2 6" xfId="4678"/>
    <cellStyle name="Milliers 2 2 2 3 2 2 3" xfId="538"/>
    <cellStyle name="Milliers 2 2 2 3 2 2 3 2" xfId="1258"/>
    <cellStyle name="Milliers 2 2 2 3 2 2 3 2 2" xfId="3418"/>
    <cellStyle name="Milliers 2 2 2 3 2 2 3 2 2 2" xfId="7738"/>
    <cellStyle name="Milliers 2 2 2 3 2 2 3 2 3" xfId="5578"/>
    <cellStyle name="Milliers 2 2 2 3 2 2 3 3" xfId="1978"/>
    <cellStyle name="Milliers 2 2 2 3 2 2 3 3 2" xfId="4138"/>
    <cellStyle name="Milliers 2 2 2 3 2 2 3 3 2 2" xfId="8458"/>
    <cellStyle name="Milliers 2 2 2 3 2 2 3 3 3" xfId="6298"/>
    <cellStyle name="Milliers 2 2 2 3 2 2 3 4" xfId="2698"/>
    <cellStyle name="Milliers 2 2 2 3 2 2 3 4 2" xfId="7018"/>
    <cellStyle name="Milliers 2 2 2 3 2 2 3 5" xfId="4858"/>
    <cellStyle name="Milliers 2 2 2 3 2 2 4" xfId="898"/>
    <cellStyle name="Milliers 2 2 2 3 2 2 4 2" xfId="3058"/>
    <cellStyle name="Milliers 2 2 2 3 2 2 4 2 2" xfId="7378"/>
    <cellStyle name="Milliers 2 2 2 3 2 2 4 3" xfId="5218"/>
    <cellStyle name="Milliers 2 2 2 3 2 2 5" xfId="1618"/>
    <cellStyle name="Milliers 2 2 2 3 2 2 5 2" xfId="3778"/>
    <cellStyle name="Milliers 2 2 2 3 2 2 5 2 2" xfId="8098"/>
    <cellStyle name="Milliers 2 2 2 3 2 2 5 3" xfId="5938"/>
    <cellStyle name="Milliers 2 2 2 3 2 2 6" xfId="2338"/>
    <cellStyle name="Milliers 2 2 2 3 2 2 6 2" xfId="6658"/>
    <cellStyle name="Milliers 2 2 2 3 2 2 7" xfId="4498"/>
    <cellStyle name="Milliers 2 2 2 3 2 3" xfId="268"/>
    <cellStyle name="Milliers 2 2 2 3 2 3 2" xfId="628"/>
    <cellStyle name="Milliers 2 2 2 3 2 3 2 2" xfId="1348"/>
    <cellStyle name="Milliers 2 2 2 3 2 3 2 2 2" xfId="3508"/>
    <cellStyle name="Milliers 2 2 2 3 2 3 2 2 2 2" xfId="7828"/>
    <cellStyle name="Milliers 2 2 2 3 2 3 2 2 3" xfId="5668"/>
    <cellStyle name="Milliers 2 2 2 3 2 3 2 3" xfId="2068"/>
    <cellStyle name="Milliers 2 2 2 3 2 3 2 3 2" xfId="4228"/>
    <cellStyle name="Milliers 2 2 2 3 2 3 2 3 2 2" xfId="8548"/>
    <cellStyle name="Milliers 2 2 2 3 2 3 2 3 3" xfId="6388"/>
    <cellStyle name="Milliers 2 2 2 3 2 3 2 4" xfId="2788"/>
    <cellStyle name="Milliers 2 2 2 3 2 3 2 4 2" xfId="7108"/>
    <cellStyle name="Milliers 2 2 2 3 2 3 2 5" xfId="4948"/>
    <cellStyle name="Milliers 2 2 2 3 2 3 3" xfId="988"/>
    <cellStyle name="Milliers 2 2 2 3 2 3 3 2" xfId="3148"/>
    <cellStyle name="Milliers 2 2 2 3 2 3 3 2 2" xfId="7468"/>
    <cellStyle name="Milliers 2 2 2 3 2 3 3 3" xfId="5308"/>
    <cellStyle name="Milliers 2 2 2 3 2 3 4" xfId="1708"/>
    <cellStyle name="Milliers 2 2 2 3 2 3 4 2" xfId="3868"/>
    <cellStyle name="Milliers 2 2 2 3 2 3 4 2 2" xfId="8188"/>
    <cellStyle name="Milliers 2 2 2 3 2 3 4 3" xfId="6028"/>
    <cellStyle name="Milliers 2 2 2 3 2 3 5" xfId="2428"/>
    <cellStyle name="Milliers 2 2 2 3 2 3 5 2" xfId="6748"/>
    <cellStyle name="Milliers 2 2 2 3 2 3 6" xfId="4588"/>
    <cellStyle name="Milliers 2 2 2 3 2 4" xfId="448"/>
    <cellStyle name="Milliers 2 2 2 3 2 4 2" xfId="1168"/>
    <cellStyle name="Milliers 2 2 2 3 2 4 2 2" xfId="3328"/>
    <cellStyle name="Milliers 2 2 2 3 2 4 2 2 2" xfId="7648"/>
    <cellStyle name="Milliers 2 2 2 3 2 4 2 3" xfId="5488"/>
    <cellStyle name="Milliers 2 2 2 3 2 4 3" xfId="1888"/>
    <cellStyle name="Milliers 2 2 2 3 2 4 3 2" xfId="4048"/>
    <cellStyle name="Milliers 2 2 2 3 2 4 3 2 2" xfId="8368"/>
    <cellStyle name="Milliers 2 2 2 3 2 4 3 3" xfId="6208"/>
    <cellStyle name="Milliers 2 2 2 3 2 4 4" xfId="2608"/>
    <cellStyle name="Milliers 2 2 2 3 2 4 4 2" xfId="6928"/>
    <cellStyle name="Milliers 2 2 2 3 2 4 5" xfId="4768"/>
    <cellStyle name="Milliers 2 2 2 3 2 5" xfId="808"/>
    <cellStyle name="Milliers 2 2 2 3 2 5 2" xfId="2968"/>
    <cellStyle name="Milliers 2 2 2 3 2 5 2 2" xfId="7288"/>
    <cellStyle name="Milliers 2 2 2 3 2 5 3" xfId="5128"/>
    <cellStyle name="Milliers 2 2 2 3 2 6" xfId="1528"/>
    <cellStyle name="Milliers 2 2 2 3 2 6 2" xfId="3688"/>
    <cellStyle name="Milliers 2 2 2 3 2 6 2 2" xfId="8008"/>
    <cellStyle name="Milliers 2 2 2 3 2 6 3" xfId="5848"/>
    <cellStyle name="Milliers 2 2 2 3 2 7" xfId="2248"/>
    <cellStyle name="Milliers 2 2 2 3 2 7 2" xfId="6568"/>
    <cellStyle name="Milliers 2 2 2 3 2 8" xfId="4408"/>
    <cellStyle name="Milliers 2 2 2 3 3" xfId="133"/>
    <cellStyle name="Milliers 2 2 2 3 3 2" xfId="313"/>
    <cellStyle name="Milliers 2 2 2 3 3 2 2" xfId="673"/>
    <cellStyle name="Milliers 2 2 2 3 3 2 2 2" xfId="1393"/>
    <cellStyle name="Milliers 2 2 2 3 3 2 2 2 2" xfId="3553"/>
    <cellStyle name="Milliers 2 2 2 3 3 2 2 2 2 2" xfId="7873"/>
    <cellStyle name="Milliers 2 2 2 3 3 2 2 2 3" xfId="5713"/>
    <cellStyle name="Milliers 2 2 2 3 3 2 2 3" xfId="2113"/>
    <cellStyle name="Milliers 2 2 2 3 3 2 2 3 2" xfId="4273"/>
    <cellStyle name="Milliers 2 2 2 3 3 2 2 3 2 2" xfId="8593"/>
    <cellStyle name="Milliers 2 2 2 3 3 2 2 3 3" xfId="6433"/>
    <cellStyle name="Milliers 2 2 2 3 3 2 2 4" xfId="2833"/>
    <cellStyle name="Milliers 2 2 2 3 3 2 2 4 2" xfId="7153"/>
    <cellStyle name="Milliers 2 2 2 3 3 2 2 5" xfId="4993"/>
    <cellStyle name="Milliers 2 2 2 3 3 2 3" xfId="1033"/>
    <cellStyle name="Milliers 2 2 2 3 3 2 3 2" xfId="3193"/>
    <cellStyle name="Milliers 2 2 2 3 3 2 3 2 2" xfId="7513"/>
    <cellStyle name="Milliers 2 2 2 3 3 2 3 3" xfId="5353"/>
    <cellStyle name="Milliers 2 2 2 3 3 2 4" xfId="1753"/>
    <cellStyle name="Milliers 2 2 2 3 3 2 4 2" xfId="3913"/>
    <cellStyle name="Milliers 2 2 2 3 3 2 4 2 2" xfId="8233"/>
    <cellStyle name="Milliers 2 2 2 3 3 2 4 3" xfId="6073"/>
    <cellStyle name="Milliers 2 2 2 3 3 2 5" xfId="2473"/>
    <cellStyle name="Milliers 2 2 2 3 3 2 5 2" xfId="6793"/>
    <cellStyle name="Milliers 2 2 2 3 3 2 6" xfId="4633"/>
    <cellStyle name="Milliers 2 2 2 3 3 3" xfId="493"/>
    <cellStyle name="Milliers 2 2 2 3 3 3 2" xfId="1213"/>
    <cellStyle name="Milliers 2 2 2 3 3 3 2 2" xfId="3373"/>
    <cellStyle name="Milliers 2 2 2 3 3 3 2 2 2" xfId="7693"/>
    <cellStyle name="Milliers 2 2 2 3 3 3 2 3" xfId="5533"/>
    <cellStyle name="Milliers 2 2 2 3 3 3 3" xfId="1933"/>
    <cellStyle name="Milliers 2 2 2 3 3 3 3 2" xfId="4093"/>
    <cellStyle name="Milliers 2 2 2 3 3 3 3 2 2" xfId="8413"/>
    <cellStyle name="Milliers 2 2 2 3 3 3 3 3" xfId="6253"/>
    <cellStyle name="Milliers 2 2 2 3 3 3 4" xfId="2653"/>
    <cellStyle name="Milliers 2 2 2 3 3 3 4 2" xfId="6973"/>
    <cellStyle name="Milliers 2 2 2 3 3 3 5" xfId="4813"/>
    <cellStyle name="Milliers 2 2 2 3 3 4" xfId="853"/>
    <cellStyle name="Milliers 2 2 2 3 3 4 2" xfId="3013"/>
    <cellStyle name="Milliers 2 2 2 3 3 4 2 2" xfId="7333"/>
    <cellStyle name="Milliers 2 2 2 3 3 4 3" xfId="5173"/>
    <cellStyle name="Milliers 2 2 2 3 3 5" xfId="1573"/>
    <cellStyle name="Milliers 2 2 2 3 3 5 2" xfId="3733"/>
    <cellStyle name="Milliers 2 2 2 3 3 5 2 2" xfId="8053"/>
    <cellStyle name="Milliers 2 2 2 3 3 5 3" xfId="5893"/>
    <cellStyle name="Milliers 2 2 2 3 3 6" xfId="2293"/>
    <cellStyle name="Milliers 2 2 2 3 3 6 2" xfId="6613"/>
    <cellStyle name="Milliers 2 2 2 3 3 7" xfId="4453"/>
    <cellStyle name="Milliers 2 2 2 3 4" xfId="223"/>
    <cellStyle name="Milliers 2 2 2 3 4 2" xfId="583"/>
    <cellStyle name="Milliers 2 2 2 3 4 2 2" xfId="1303"/>
    <cellStyle name="Milliers 2 2 2 3 4 2 2 2" xfId="3463"/>
    <cellStyle name="Milliers 2 2 2 3 4 2 2 2 2" xfId="7783"/>
    <cellStyle name="Milliers 2 2 2 3 4 2 2 3" xfId="5623"/>
    <cellStyle name="Milliers 2 2 2 3 4 2 3" xfId="2023"/>
    <cellStyle name="Milliers 2 2 2 3 4 2 3 2" xfId="4183"/>
    <cellStyle name="Milliers 2 2 2 3 4 2 3 2 2" xfId="8503"/>
    <cellStyle name="Milliers 2 2 2 3 4 2 3 3" xfId="6343"/>
    <cellStyle name="Milliers 2 2 2 3 4 2 4" xfId="2743"/>
    <cellStyle name="Milliers 2 2 2 3 4 2 4 2" xfId="7063"/>
    <cellStyle name="Milliers 2 2 2 3 4 2 5" xfId="4903"/>
    <cellStyle name="Milliers 2 2 2 3 4 3" xfId="943"/>
    <cellStyle name="Milliers 2 2 2 3 4 3 2" xfId="3103"/>
    <cellStyle name="Milliers 2 2 2 3 4 3 2 2" xfId="7423"/>
    <cellStyle name="Milliers 2 2 2 3 4 3 3" xfId="5263"/>
    <cellStyle name="Milliers 2 2 2 3 4 4" xfId="1663"/>
    <cellStyle name="Milliers 2 2 2 3 4 4 2" xfId="3823"/>
    <cellStyle name="Milliers 2 2 2 3 4 4 2 2" xfId="8143"/>
    <cellStyle name="Milliers 2 2 2 3 4 4 3" xfId="5983"/>
    <cellStyle name="Milliers 2 2 2 3 4 5" xfId="2383"/>
    <cellStyle name="Milliers 2 2 2 3 4 5 2" xfId="6703"/>
    <cellStyle name="Milliers 2 2 2 3 4 6" xfId="4543"/>
    <cellStyle name="Milliers 2 2 2 3 5" xfId="403"/>
    <cellStyle name="Milliers 2 2 2 3 5 2" xfId="1123"/>
    <cellStyle name="Milliers 2 2 2 3 5 2 2" xfId="3283"/>
    <cellStyle name="Milliers 2 2 2 3 5 2 2 2" xfId="7603"/>
    <cellStyle name="Milliers 2 2 2 3 5 2 3" xfId="5443"/>
    <cellStyle name="Milliers 2 2 2 3 5 3" xfId="1843"/>
    <cellStyle name="Milliers 2 2 2 3 5 3 2" xfId="4003"/>
    <cellStyle name="Milliers 2 2 2 3 5 3 2 2" xfId="8323"/>
    <cellStyle name="Milliers 2 2 2 3 5 3 3" xfId="6163"/>
    <cellStyle name="Milliers 2 2 2 3 5 4" xfId="2563"/>
    <cellStyle name="Milliers 2 2 2 3 5 4 2" xfId="6883"/>
    <cellStyle name="Milliers 2 2 2 3 5 5" xfId="4723"/>
    <cellStyle name="Milliers 2 2 2 3 6" xfId="763"/>
    <cellStyle name="Milliers 2 2 2 3 6 2" xfId="2923"/>
    <cellStyle name="Milliers 2 2 2 3 6 2 2" xfId="7243"/>
    <cellStyle name="Milliers 2 2 2 3 6 3" xfId="5083"/>
    <cellStyle name="Milliers 2 2 2 3 7" xfId="1483"/>
    <cellStyle name="Milliers 2 2 2 3 7 2" xfId="3643"/>
    <cellStyle name="Milliers 2 2 2 3 7 2 2" xfId="7963"/>
    <cellStyle name="Milliers 2 2 2 3 7 3" xfId="5803"/>
    <cellStyle name="Milliers 2 2 2 3 8" xfId="2203"/>
    <cellStyle name="Milliers 2 2 2 3 8 2" xfId="6523"/>
    <cellStyle name="Milliers 2 2 2 3 9" xfId="4363"/>
    <cellStyle name="Milliers 2 2 2 4" xfId="58"/>
    <cellStyle name="Milliers 2 2 2 4 2" xfId="148"/>
    <cellStyle name="Milliers 2 2 2 4 2 2" xfId="328"/>
    <cellStyle name="Milliers 2 2 2 4 2 2 2" xfId="688"/>
    <cellStyle name="Milliers 2 2 2 4 2 2 2 2" xfId="1408"/>
    <cellStyle name="Milliers 2 2 2 4 2 2 2 2 2" xfId="3568"/>
    <cellStyle name="Milliers 2 2 2 4 2 2 2 2 2 2" xfId="7888"/>
    <cellStyle name="Milliers 2 2 2 4 2 2 2 2 3" xfId="5728"/>
    <cellStyle name="Milliers 2 2 2 4 2 2 2 3" xfId="2128"/>
    <cellStyle name="Milliers 2 2 2 4 2 2 2 3 2" xfId="4288"/>
    <cellStyle name="Milliers 2 2 2 4 2 2 2 3 2 2" xfId="8608"/>
    <cellStyle name="Milliers 2 2 2 4 2 2 2 3 3" xfId="6448"/>
    <cellStyle name="Milliers 2 2 2 4 2 2 2 4" xfId="2848"/>
    <cellStyle name="Milliers 2 2 2 4 2 2 2 4 2" xfId="7168"/>
    <cellStyle name="Milliers 2 2 2 4 2 2 2 5" xfId="5008"/>
    <cellStyle name="Milliers 2 2 2 4 2 2 3" xfId="1048"/>
    <cellStyle name="Milliers 2 2 2 4 2 2 3 2" xfId="3208"/>
    <cellStyle name="Milliers 2 2 2 4 2 2 3 2 2" xfId="7528"/>
    <cellStyle name="Milliers 2 2 2 4 2 2 3 3" xfId="5368"/>
    <cellStyle name="Milliers 2 2 2 4 2 2 4" xfId="1768"/>
    <cellStyle name="Milliers 2 2 2 4 2 2 4 2" xfId="3928"/>
    <cellStyle name="Milliers 2 2 2 4 2 2 4 2 2" xfId="8248"/>
    <cellStyle name="Milliers 2 2 2 4 2 2 4 3" xfId="6088"/>
    <cellStyle name="Milliers 2 2 2 4 2 2 5" xfId="2488"/>
    <cellStyle name="Milliers 2 2 2 4 2 2 5 2" xfId="6808"/>
    <cellStyle name="Milliers 2 2 2 4 2 2 6" xfId="4648"/>
    <cellStyle name="Milliers 2 2 2 4 2 3" xfId="508"/>
    <cellStyle name="Milliers 2 2 2 4 2 3 2" xfId="1228"/>
    <cellStyle name="Milliers 2 2 2 4 2 3 2 2" xfId="3388"/>
    <cellStyle name="Milliers 2 2 2 4 2 3 2 2 2" xfId="7708"/>
    <cellStyle name="Milliers 2 2 2 4 2 3 2 3" xfId="5548"/>
    <cellStyle name="Milliers 2 2 2 4 2 3 3" xfId="1948"/>
    <cellStyle name="Milliers 2 2 2 4 2 3 3 2" xfId="4108"/>
    <cellStyle name="Milliers 2 2 2 4 2 3 3 2 2" xfId="8428"/>
    <cellStyle name="Milliers 2 2 2 4 2 3 3 3" xfId="6268"/>
    <cellStyle name="Milliers 2 2 2 4 2 3 4" xfId="2668"/>
    <cellStyle name="Milliers 2 2 2 4 2 3 4 2" xfId="6988"/>
    <cellStyle name="Milliers 2 2 2 4 2 3 5" xfId="4828"/>
    <cellStyle name="Milliers 2 2 2 4 2 4" xfId="868"/>
    <cellStyle name="Milliers 2 2 2 4 2 4 2" xfId="3028"/>
    <cellStyle name="Milliers 2 2 2 4 2 4 2 2" xfId="7348"/>
    <cellStyle name="Milliers 2 2 2 4 2 4 3" xfId="5188"/>
    <cellStyle name="Milliers 2 2 2 4 2 5" xfId="1588"/>
    <cellStyle name="Milliers 2 2 2 4 2 5 2" xfId="3748"/>
    <cellStyle name="Milliers 2 2 2 4 2 5 2 2" xfId="8068"/>
    <cellStyle name="Milliers 2 2 2 4 2 5 3" xfId="5908"/>
    <cellStyle name="Milliers 2 2 2 4 2 6" xfId="2308"/>
    <cellStyle name="Milliers 2 2 2 4 2 6 2" xfId="6628"/>
    <cellStyle name="Milliers 2 2 2 4 2 7" xfId="4468"/>
    <cellStyle name="Milliers 2 2 2 4 3" xfId="238"/>
    <cellStyle name="Milliers 2 2 2 4 3 2" xfId="598"/>
    <cellStyle name="Milliers 2 2 2 4 3 2 2" xfId="1318"/>
    <cellStyle name="Milliers 2 2 2 4 3 2 2 2" xfId="3478"/>
    <cellStyle name="Milliers 2 2 2 4 3 2 2 2 2" xfId="7798"/>
    <cellStyle name="Milliers 2 2 2 4 3 2 2 3" xfId="5638"/>
    <cellStyle name="Milliers 2 2 2 4 3 2 3" xfId="2038"/>
    <cellStyle name="Milliers 2 2 2 4 3 2 3 2" xfId="4198"/>
    <cellStyle name="Milliers 2 2 2 4 3 2 3 2 2" xfId="8518"/>
    <cellStyle name="Milliers 2 2 2 4 3 2 3 3" xfId="6358"/>
    <cellStyle name="Milliers 2 2 2 4 3 2 4" xfId="2758"/>
    <cellStyle name="Milliers 2 2 2 4 3 2 4 2" xfId="7078"/>
    <cellStyle name="Milliers 2 2 2 4 3 2 5" xfId="4918"/>
    <cellStyle name="Milliers 2 2 2 4 3 3" xfId="958"/>
    <cellStyle name="Milliers 2 2 2 4 3 3 2" xfId="3118"/>
    <cellStyle name="Milliers 2 2 2 4 3 3 2 2" xfId="7438"/>
    <cellStyle name="Milliers 2 2 2 4 3 3 3" xfId="5278"/>
    <cellStyle name="Milliers 2 2 2 4 3 4" xfId="1678"/>
    <cellStyle name="Milliers 2 2 2 4 3 4 2" xfId="3838"/>
    <cellStyle name="Milliers 2 2 2 4 3 4 2 2" xfId="8158"/>
    <cellStyle name="Milliers 2 2 2 4 3 4 3" xfId="5998"/>
    <cellStyle name="Milliers 2 2 2 4 3 5" xfId="2398"/>
    <cellStyle name="Milliers 2 2 2 4 3 5 2" xfId="6718"/>
    <cellStyle name="Milliers 2 2 2 4 3 6" xfId="4558"/>
    <cellStyle name="Milliers 2 2 2 4 4" xfId="418"/>
    <cellStyle name="Milliers 2 2 2 4 4 2" xfId="1138"/>
    <cellStyle name="Milliers 2 2 2 4 4 2 2" xfId="3298"/>
    <cellStyle name="Milliers 2 2 2 4 4 2 2 2" xfId="7618"/>
    <cellStyle name="Milliers 2 2 2 4 4 2 3" xfId="5458"/>
    <cellStyle name="Milliers 2 2 2 4 4 3" xfId="1858"/>
    <cellStyle name="Milliers 2 2 2 4 4 3 2" xfId="4018"/>
    <cellStyle name="Milliers 2 2 2 4 4 3 2 2" xfId="8338"/>
    <cellStyle name="Milliers 2 2 2 4 4 3 3" xfId="6178"/>
    <cellStyle name="Milliers 2 2 2 4 4 4" xfId="2578"/>
    <cellStyle name="Milliers 2 2 2 4 4 4 2" xfId="6898"/>
    <cellStyle name="Milliers 2 2 2 4 4 5" xfId="4738"/>
    <cellStyle name="Milliers 2 2 2 4 5" xfId="778"/>
    <cellStyle name="Milliers 2 2 2 4 5 2" xfId="2938"/>
    <cellStyle name="Milliers 2 2 2 4 5 2 2" xfId="7258"/>
    <cellStyle name="Milliers 2 2 2 4 5 3" xfId="5098"/>
    <cellStyle name="Milliers 2 2 2 4 6" xfId="1498"/>
    <cellStyle name="Milliers 2 2 2 4 6 2" xfId="3658"/>
    <cellStyle name="Milliers 2 2 2 4 6 2 2" xfId="7978"/>
    <cellStyle name="Milliers 2 2 2 4 6 3" xfId="5818"/>
    <cellStyle name="Milliers 2 2 2 4 7" xfId="2218"/>
    <cellStyle name="Milliers 2 2 2 4 7 2" xfId="6538"/>
    <cellStyle name="Milliers 2 2 2 4 8" xfId="4378"/>
    <cellStyle name="Milliers 2 2 2 5" xfId="103"/>
    <cellStyle name="Milliers 2 2 2 5 2" xfId="283"/>
    <cellStyle name="Milliers 2 2 2 5 2 2" xfId="643"/>
    <cellStyle name="Milliers 2 2 2 5 2 2 2" xfId="1363"/>
    <cellStyle name="Milliers 2 2 2 5 2 2 2 2" xfId="3523"/>
    <cellStyle name="Milliers 2 2 2 5 2 2 2 2 2" xfId="7843"/>
    <cellStyle name="Milliers 2 2 2 5 2 2 2 3" xfId="5683"/>
    <cellStyle name="Milliers 2 2 2 5 2 2 3" xfId="2083"/>
    <cellStyle name="Milliers 2 2 2 5 2 2 3 2" xfId="4243"/>
    <cellStyle name="Milliers 2 2 2 5 2 2 3 2 2" xfId="8563"/>
    <cellStyle name="Milliers 2 2 2 5 2 2 3 3" xfId="6403"/>
    <cellStyle name="Milliers 2 2 2 5 2 2 4" xfId="2803"/>
    <cellStyle name="Milliers 2 2 2 5 2 2 4 2" xfId="7123"/>
    <cellStyle name="Milliers 2 2 2 5 2 2 5" xfId="4963"/>
    <cellStyle name="Milliers 2 2 2 5 2 3" xfId="1003"/>
    <cellStyle name="Milliers 2 2 2 5 2 3 2" xfId="3163"/>
    <cellStyle name="Milliers 2 2 2 5 2 3 2 2" xfId="7483"/>
    <cellStyle name="Milliers 2 2 2 5 2 3 3" xfId="5323"/>
    <cellStyle name="Milliers 2 2 2 5 2 4" xfId="1723"/>
    <cellStyle name="Milliers 2 2 2 5 2 4 2" xfId="3883"/>
    <cellStyle name="Milliers 2 2 2 5 2 4 2 2" xfId="8203"/>
    <cellStyle name="Milliers 2 2 2 5 2 4 3" xfId="6043"/>
    <cellStyle name="Milliers 2 2 2 5 2 5" xfId="2443"/>
    <cellStyle name="Milliers 2 2 2 5 2 5 2" xfId="6763"/>
    <cellStyle name="Milliers 2 2 2 5 2 6" xfId="4603"/>
    <cellStyle name="Milliers 2 2 2 5 3" xfId="463"/>
    <cellStyle name="Milliers 2 2 2 5 3 2" xfId="1183"/>
    <cellStyle name="Milliers 2 2 2 5 3 2 2" xfId="3343"/>
    <cellStyle name="Milliers 2 2 2 5 3 2 2 2" xfId="7663"/>
    <cellStyle name="Milliers 2 2 2 5 3 2 3" xfId="5503"/>
    <cellStyle name="Milliers 2 2 2 5 3 3" xfId="1903"/>
    <cellStyle name="Milliers 2 2 2 5 3 3 2" xfId="4063"/>
    <cellStyle name="Milliers 2 2 2 5 3 3 2 2" xfId="8383"/>
    <cellStyle name="Milliers 2 2 2 5 3 3 3" xfId="6223"/>
    <cellStyle name="Milliers 2 2 2 5 3 4" xfId="2623"/>
    <cellStyle name="Milliers 2 2 2 5 3 4 2" xfId="6943"/>
    <cellStyle name="Milliers 2 2 2 5 3 5" xfId="4783"/>
    <cellStyle name="Milliers 2 2 2 5 4" xfId="823"/>
    <cellStyle name="Milliers 2 2 2 5 4 2" xfId="2983"/>
    <cellStyle name="Milliers 2 2 2 5 4 2 2" xfId="7303"/>
    <cellStyle name="Milliers 2 2 2 5 4 3" xfId="5143"/>
    <cellStyle name="Milliers 2 2 2 5 5" xfId="1543"/>
    <cellStyle name="Milliers 2 2 2 5 5 2" xfId="3703"/>
    <cellStyle name="Milliers 2 2 2 5 5 2 2" xfId="8023"/>
    <cellStyle name="Milliers 2 2 2 5 5 3" xfId="5863"/>
    <cellStyle name="Milliers 2 2 2 5 6" xfId="2263"/>
    <cellStyle name="Milliers 2 2 2 5 6 2" xfId="6583"/>
    <cellStyle name="Milliers 2 2 2 5 7" xfId="4423"/>
    <cellStyle name="Milliers 2 2 2 6" xfId="193"/>
    <cellStyle name="Milliers 2 2 2 6 2" xfId="553"/>
    <cellStyle name="Milliers 2 2 2 6 2 2" xfId="1273"/>
    <cellStyle name="Milliers 2 2 2 6 2 2 2" xfId="3433"/>
    <cellStyle name="Milliers 2 2 2 6 2 2 2 2" xfId="7753"/>
    <cellStyle name="Milliers 2 2 2 6 2 2 3" xfId="5593"/>
    <cellStyle name="Milliers 2 2 2 6 2 3" xfId="1993"/>
    <cellStyle name="Milliers 2 2 2 6 2 3 2" xfId="4153"/>
    <cellStyle name="Milliers 2 2 2 6 2 3 2 2" xfId="8473"/>
    <cellStyle name="Milliers 2 2 2 6 2 3 3" xfId="6313"/>
    <cellStyle name="Milliers 2 2 2 6 2 4" xfId="2713"/>
    <cellStyle name="Milliers 2 2 2 6 2 4 2" xfId="7033"/>
    <cellStyle name="Milliers 2 2 2 6 2 5" xfId="4873"/>
    <cellStyle name="Milliers 2 2 2 6 3" xfId="913"/>
    <cellStyle name="Milliers 2 2 2 6 3 2" xfId="3073"/>
    <cellStyle name="Milliers 2 2 2 6 3 2 2" xfId="7393"/>
    <cellStyle name="Milliers 2 2 2 6 3 3" xfId="5233"/>
    <cellStyle name="Milliers 2 2 2 6 4" xfId="1633"/>
    <cellStyle name="Milliers 2 2 2 6 4 2" xfId="3793"/>
    <cellStyle name="Milliers 2 2 2 6 4 2 2" xfId="8113"/>
    <cellStyle name="Milliers 2 2 2 6 4 3" xfId="5953"/>
    <cellStyle name="Milliers 2 2 2 6 5" xfId="2353"/>
    <cellStyle name="Milliers 2 2 2 6 5 2" xfId="6673"/>
    <cellStyle name="Milliers 2 2 2 6 6" xfId="4513"/>
    <cellStyle name="Milliers 2 2 2 7" xfId="373"/>
    <cellStyle name="Milliers 2 2 2 7 2" xfId="1093"/>
    <cellStyle name="Milliers 2 2 2 7 2 2" xfId="3253"/>
    <cellStyle name="Milliers 2 2 2 7 2 2 2" xfId="7573"/>
    <cellStyle name="Milliers 2 2 2 7 2 3" xfId="5413"/>
    <cellStyle name="Milliers 2 2 2 7 3" xfId="1813"/>
    <cellStyle name="Milliers 2 2 2 7 3 2" xfId="3973"/>
    <cellStyle name="Milliers 2 2 2 7 3 2 2" xfId="8293"/>
    <cellStyle name="Milliers 2 2 2 7 3 3" xfId="6133"/>
    <cellStyle name="Milliers 2 2 2 7 4" xfId="2533"/>
    <cellStyle name="Milliers 2 2 2 7 4 2" xfId="6853"/>
    <cellStyle name="Milliers 2 2 2 7 5" xfId="4693"/>
    <cellStyle name="Milliers 2 2 2 8" xfId="733"/>
    <cellStyle name="Milliers 2 2 2 8 2" xfId="2893"/>
    <cellStyle name="Milliers 2 2 2 8 2 2" xfId="7213"/>
    <cellStyle name="Milliers 2 2 2 8 3" xfId="5053"/>
    <cellStyle name="Milliers 2 2 2 9" xfId="1453"/>
    <cellStyle name="Milliers 2 2 2 9 2" xfId="3613"/>
    <cellStyle name="Milliers 2 2 2 9 2 2" xfId="7933"/>
    <cellStyle name="Milliers 2 2 2 9 3" xfId="5773"/>
    <cellStyle name="Milliers 2 2 3" xfId="22"/>
    <cellStyle name="Milliers 2 2 3 2" xfId="67"/>
    <cellStyle name="Milliers 2 2 3 2 2" xfId="157"/>
    <cellStyle name="Milliers 2 2 3 2 2 2" xfId="337"/>
    <cellStyle name="Milliers 2 2 3 2 2 2 2" xfId="697"/>
    <cellStyle name="Milliers 2 2 3 2 2 2 2 2" xfId="1417"/>
    <cellStyle name="Milliers 2 2 3 2 2 2 2 2 2" xfId="3577"/>
    <cellStyle name="Milliers 2 2 3 2 2 2 2 2 2 2" xfId="7897"/>
    <cellStyle name="Milliers 2 2 3 2 2 2 2 2 3" xfId="5737"/>
    <cellStyle name="Milliers 2 2 3 2 2 2 2 3" xfId="2137"/>
    <cellStyle name="Milliers 2 2 3 2 2 2 2 3 2" xfId="4297"/>
    <cellStyle name="Milliers 2 2 3 2 2 2 2 3 2 2" xfId="8617"/>
    <cellStyle name="Milliers 2 2 3 2 2 2 2 3 3" xfId="6457"/>
    <cellStyle name="Milliers 2 2 3 2 2 2 2 4" xfId="2857"/>
    <cellStyle name="Milliers 2 2 3 2 2 2 2 4 2" xfId="7177"/>
    <cellStyle name="Milliers 2 2 3 2 2 2 2 5" xfId="5017"/>
    <cellStyle name="Milliers 2 2 3 2 2 2 3" xfId="1057"/>
    <cellStyle name="Milliers 2 2 3 2 2 2 3 2" xfId="3217"/>
    <cellStyle name="Milliers 2 2 3 2 2 2 3 2 2" xfId="7537"/>
    <cellStyle name="Milliers 2 2 3 2 2 2 3 3" xfId="5377"/>
    <cellStyle name="Milliers 2 2 3 2 2 2 4" xfId="1777"/>
    <cellStyle name="Milliers 2 2 3 2 2 2 4 2" xfId="3937"/>
    <cellStyle name="Milliers 2 2 3 2 2 2 4 2 2" xfId="8257"/>
    <cellStyle name="Milliers 2 2 3 2 2 2 4 3" xfId="6097"/>
    <cellStyle name="Milliers 2 2 3 2 2 2 5" xfId="2497"/>
    <cellStyle name="Milliers 2 2 3 2 2 2 5 2" xfId="6817"/>
    <cellStyle name="Milliers 2 2 3 2 2 2 6" xfId="4657"/>
    <cellStyle name="Milliers 2 2 3 2 2 3" xfId="517"/>
    <cellStyle name="Milliers 2 2 3 2 2 3 2" xfId="1237"/>
    <cellStyle name="Milliers 2 2 3 2 2 3 2 2" xfId="3397"/>
    <cellStyle name="Milliers 2 2 3 2 2 3 2 2 2" xfId="7717"/>
    <cellStyle name="Milliers 2 2 3 2 2 3 2 3" xfId="5557"/>
    <cellStyle name="Milliers 2 2 3 2 2 3 3" xfId="1957"/>
    <cellStyle name="Milliers 2 2 3 2 2 3 3 2" xfId="4117"/>
    <cellStyle name="Milliers 2 2 3 2 2 3 3 2 2" xfId="8437"/>
    <cellStyle name="Milliers 2 2 3 2 2 3 3 3" xfId="6277"/>
    <cellStyle name="Milliers 2 2 3 2 2 3 4" xfId="2677"/>
    <cellStyle name="Milliers 2 2 3 2 2 3 4 2" xfId="6997"/>
    <cellStyle name="Milliers 2 2 3 2 2 3 5" xfId="4837"/>
    <cellStyle name="Milliers 2 2 3 2 2 4" xfId="877"/>
    <cellStyle name="Milliers 2 2 3 2 2 4 2" xfId="3037"/>
    <cellStyle name="Milliers 2 2 3 2 2 4 2 2" xfId="7357"/>
    <cellStyle name="Milliers 2 2 3 2 2 4 3" xfId="5197"/>
    <cellStyle name="Milliers 2 2 3 2 2 5" xfId="1597"/>
    <cellStyle name="Milliers 2 2 3 2 2 5 2" xfId="3757"/>
    <cellStyle name="Milliers 2 2 3 2 2 5 2 2" xfId="8077"/>
    <cellStyle name="Milliers 2 2 3 2 2 5 3" xfId="5917"/>
    <cellStyle name="Milliers 2 2 3 2 2 6" xfId="2317"/>
    <cellStyle name="Milliers 2 2 3 2 2 6 2" xfId="6637"/>
    <cellStyle name="Milliers 2 2 3 2 2 7" xfId="4477"/>
    <cellStyle name="Milliers 2 2 3 2 3" xfId="247"/>
    <cellStyle name="Milliers 2 2 3 2 3 2" xfId="607"/>
    <cellStyle name="Milliers 2 2 3 2 3 2 2" xfId="1327"/>
    <cellStyle name="Milliers 2 2 3 2 3 2 2 2" xfId="3487"/>
    <cellStyle name="Milliers 2 2 3 2 3 2 2 2 2" xfId="7807"/>
    <cellStyle name="Milliers 2 2 3 2 3 2 2 3" xfId="5647"/>
    <cellStyle name="Milliers 2 2 3 2 3 2 3" xfId="2047"/>
    <cellStyle name="Milliers 2 2 3 2 3 2 3 2" xfId="4207"/>
    <cellStyle name="Milliers 2 2 3 2 3 2 3 2 2" xfId="8527"/>
    <cellStyle name="Milliers 2 2 3 2 3 2 3 3" xfId="6367"/>
    <cellStyle name="Milliers 2 2 3 2 3 2 4" xfId="2767"/>
    <cellStyle name="Milliers 2 2 3 2 3 2 4 2" xfId="7087"/>
    <cellStyle name="Milliers 2 2 3 2 3 2 5" xfId="4927"/>
    <cellStyle name="Milliers 2 2 3 2 3 3" xfId="967"/>
    <cellStyle name="Milliers 2 2 3 2 3 3 2" xfId="3127"/>
    <cellStyle name="Milliers 2 2 3 2 3 3 2 2" xfId="7447"/>
    <cellStyle name="Milliers 2 2 3 2 3 3 3" xfId="5287"/>
    <cellStyle name="Milliers 2 2 3 2 3 4" xfId="1687"/>
    <cellStyle name="Milliers 2 2 3 2 3 4 2" xfId="3847"/>
    <cellStyle name="Milliers 2 2 3 2 3 4 2 2" xfId="8167"/>
    <cellStyle name="Milliers 2 2 3 2 3 4 3" xfId="6007"/>
    <cellStyle name="Milliers 2 2 3 2 3 5" xfId="2407"/>
    <cellStyle name="Milliers 2 2 3 2 3 5 2" xfId="6727"/>
    <cellStyle name="Milliers 2 2 3 2 3 6" xfId="4567"/>
    <cellStyle name="Milliers 2 2 3 2 4" xfId="427"/>
    <cellStyle name="Milliers 2 2 3 2 4 2" xfId="1147"/>
    <cellStyle name="Milliers 2 2 3 2 4 2 2" xfId="3307"/>
    <cellStyle name="Milliers 2 2 3 2 4 2 2 2" xfId="7627"/>
    <cellStyle name="Milliers 2 2 3 2 4 2 3" xfId="5467"/>
    <cellStyle name="Milliers 2 2 3 2 4 3" xfId="1867"/>
    <cellStyle name="Milliers 2 2 3 2 4 3 2" xfId="4027"/>
    <cellStyle name="Milliers 2 2 3 2 4 3 2 2" xfId="8347"/>
    <cellStyle name="Milliers 2 2 3 2 4 3 3" xfId="6187"/>
    <cellStyle name="Milliers 2 2 3 2 4 4" xfId="2587"/>
    <cellStyle name="Milliers 2 2 3 2 4 4 2" xfId="6907"/>
    <cellStyle name="Milliers 2 2 3 2 4 5" xfId="4747"/>
    <cellStyle name="Milliers 2 2 3 2 5" xfId="787"/>
    <cellStyle name="Milliers 2 2 3 2 5 2" xfId="2947"/>
    <cellStyle name="Milliers 2 2 3 2 5 2 2" xfId="7267"/>
    <cellStyle name="Milliers 2 2 3 2 5 3" xfId="5107"/>
    <cellStyle name="Milliers 2 2 3 2 6" xfId="1507"/>
    <cellStyle name="Milliers 2 2 3 2 6 2" xfId="3667"/>
    <cellStyle name="Milliers 2 2 3 2 6 2 2" xfId="7987"/>
    <cellStyle name="Milliers 2 2 3 2 6 3" xfId="5827"/>
    <cellStyle name="Milliers 2 2 3 2 7" xfId="2227"/>
    <cellStyle name="Milliers 2 2 3 2 7 2" xfId="6547"/>
    <cellStyle name="Milliers 2 2 3 2 8" xfId="4387"/>
    <cellStyle name="Milliers 2 2 3 3" xfId="112"/>
    <cellStyle name="Milliers 2 2 3 3 2" xfId="292"/>
    <cellStyle name="Milliers 2 2 3 3 2 2" xfId="652"/>
    <cellStyle name="Milliers 2 2 3 3 2 2 2" xfId="1372"/>
    <cellStyle name="Milliers 2 2 3 3 2 2 2 2" xfId="3532"/>
    <cellStyle name="Milliers 2 2 3 3 2 2 2 2 2" xfId="7852"/>
    <cellStyle name="Milliers 2 2 3 3 2 2 2 3" xfId="5692"/>
    <cellStyle name="Milliers 2 2 3 3 2 2 3" xfId="2092"/>
    <cellStyle name="Milliers 2 2 3 3 2 2 3 2" xfId="4252"/>
    <cellStyle name="Milliers 2 2 3 3 2 2 3 2 2" xfId="8572"/>
    <cellStyle name="Milliers 2 2 3 3 2 2 3 3" xfId="6412"/>
    <cellStyle name="Milliers 2 2 3 3 2 2 4" xfId="2812"/>
    <cellStyle name="Milliers 2 2 3 3 2 2 4 2" xfId="7132"/>
    <cellStyle name="Milliers 2 2 3 3 2 2 5" xfId="4972"/>
    <cellStyle name="Milliers 2 2 3 3 2 3" xfId="1012"/>
    <cellStyle name="Milliers 2 2 3 3 2 3 2" xfId="3172"/>
    <cellStyle name="Milliers 2 2 3 3 2 3 2 2" xfId="7492"/>
    <cellStyle name="Milliers 2 2 3 3 2 3 3" xfId="5332"/>
    <cellStyle name="Milliers 2 2 3 3 2 4" xfId="1732"/>
    <cellStyle name="Milliers 2 2 3 3 2 4 2" xfId="3892"/>
    <cellStyle name="Milliers 2 2 3 3 2 4 2 2" xfId="8212"/>
    <cellStyle name="Milliers 2 2 3 3 2 4 3" xfId="6052"/>
    <cellStyle name="Milliers 2 2 3 3 2 5" xfId="2452"/>
    <cellStyle name="Milliers 2 2 3 3 2 5 2" xfId="6772"/>
    <cellStyle name="Milliers 2 2 3 3 2 6" xfId="4612"/>
    <cellStyle name="Milliers 2 2 3 3 3" xfId="472"/>
    <cellStyle name="Milliers 2 2 3 3 3 2" xfId="1192"/>
    <cellStyle name="Milliers 2 2 3 3 3 2 2" xfId="3352"/>
    <cellStyle name="Milliers 2 2 3 3 3 2 2 2" xfId="7672"/>
    <cellStyle name="Milliers 2 2 3 3 3 2 3" xfId="5512"/>
    <cellStyle name="Milliers 2 2 3 3 3 3" xfId="1912"/>
    <cellStyle name="Milliers 2 2 3 3 3 3 2" xfId="4072"/>
    <cellStyle name="Milliers 2 2 3 3 3 3 2 2" xfId="8392"/>
    <cellStyle name="Milliers 2 2 3 3 3 3 3" xfId="6232"/>
    <cellStyle name="Milliers 2 2 3 3 3 4" xfId="2632"/>
    <cellStyle name="Milliers 2 2 3 3 3 4 2" xfId="6952"/>
    <cellStyle name="Milliers 2 2 3 3 3 5" xfId="4792"/>
    <cellStyle name="Milliers 2 2 3 3 4" xfId="832"/>
    <cellStyle name="Milliers 2 2 3 3 4 2" xfId="2992"/>
    <cellStyle name="Milliers 2 2 3 3 4 2 2" xfId="7312"/>
    <cellStyle name="Milliers 2 2 3 3 4 3" xfId="5152"/>
    <cellStyle name="Milliers 2 2 3 3 5" xfId="1552"/>
    <cellStyle name="Milliers 2 2 3 3 5 2" xfId="3712"/>
    <cellStyle name="Milliers 2 2 3 3 5 2 2" xfId="8032"/>
    <cellStyle name="Milliers 2 2 3 3 5 3" xfId="5872"/>
    <cellStyle name="Milliers 2 2 3 3 6" xfId="2272"/>
    <cellStyle name="Milliers 2 2 3 3 6 2" xfId="6592"/>
    <cellStyle name="Milliers 2 2 3 3 7" xfId="4432"/>
    <cellStyle name="Milliers 2 2 3 4" xfId="202"/>
    <cellStyle name="Milliers 2 2 3 4 2" xfId="562"/>
    <cellStyle name="Milliers 2 2 3 4 2 2" xfId="1282"/>
    <cellStyle name="Milliers 2 2 3 4 2 2 2" xfId="3442"/>
    <cellStyle name="Milliers 2 2 3 4 2 2 2 2" xfId="7762"/>
    <cellStyle name="Milliers 2 2 3 4 2 2 3" xfId="5602"/>
    <cellStyle name="Milliers 2 2 3 4 2 3" xfId="2002"/>
    <cellStyle name="Milliers 2 2 3 4 2 3 2" xfId="4162"/>
    <cellStyle name="Milliers 2 2 3 4 2 3 2 2" xfId="8482"/>
    <cellStyle name="Milliers 2 2 3 4 2 3 3" xfId="6322"/>
    <cellStyle name="Milliers 2 2 3 4 2 4" xfId="2722"/>
    <cellStyle name="Milliers 2 2 3 4 2 4 2" xfId="7042"/>
    <cellStyle name="Milliers 2 2 3 4 2 5" xfId="4882"/>
    <cellStyle name="Milliers 2 2 3 4 3" xfId="922"/>
    <cellStyle name="Milliers 2 2 3 4 3 2" xfId="3082"/>
    <cellStyle name="Milliers 2 2 3 4 3 2 2" xfId="7402"/>
    <cellStyle name="Milliers 2 2 3 4 3 3" xfId="5242"/>
    <cellStyle name="Milliers 2 2 3 4 4" xfId="1642"/>
    <cellStyle name="Milliers 2 2 3 4 4 2" xfId="3802"/>
    <cellStyle name="Milliers 2 2 3 4 4 2 2" xfId="8122"/>
    <cellStyle name="Milliers 2 2 3 4 4 3" xfId="5962"/>
    <cellStyle name="Milliers 2 2 3 4 5" xfId="2362"/>
    <cellStyle name="Milliers 2 2 3 4 5 2" xfId="6682"/>
    <cellStyle name="Milliers 2 2 3 4 6" xfId="4522"/>
    <cellStyle name="Milliers 2 2 3 5" xfId="382"/>
    <cellStyle name="Milliers 2 2 3 5 2" xfId="1102"/>
    <cellStyle name="Milliers 2 2 3 5 2 2" xfId="3262"/>
    <cellStyle name="Milliers 2 2 3 5 2 2 2" xfId="7582"/>
    <cellStyle name="Milliers 2 2 3 5 2 3" xfId="5422"/>
    <cellStyle name="Milliers 2 2 3 5 3" xfId="1822"/>
    <cellStyle name="Milliers 2 2 3 5 3 2" xfId="3982"/>
    <cellStyle name="Milliers 2 2 3 5 3 2 2" xfId="8302"/>
    <cellStyle name="Milliers 2 2 3 5 3 3" xfId="6142"/>
    <cellStyle name="Milliers 2 2 3 5 4" xfId="2542"/>
    <cellStyle name="Milliers 2 2 3 5 4 2" xfId="6862"/>
    <cellStyle name="Milliers 2 2 3 5 5" xfId="4702"/>
    <cellStyle name="Milliers 2 2 3 6" xfId="742"/>
    <cellStyle name="Milliers 2 2 3 6 2" xfId="2902"/>
    <cellStyle name="Milliers 2 2 3 6 2 2" xfId="7222"/>
    <cellStyle name="Milliers 2 2 3 6 3" xfId="5062"/>
    <cellStyle name="Milliers 2 2 3 7" xfId="1462"/>
    <cellStyle name="Milliers 2 2 3 7 2" xfId="3622"/>
    <cellStyle name="Milliers 2 2 3 7 2 2" xfId="7942"/>
    <cellStyle name="Milliers 2 2 3 7 3" xfId="5782"/>
    <cellStyle name="Milliers 2 2 3 8" xfId="2182"/>
    <cellStyle name="Milliers 2 2 3 8 2" xfId="6502"/>
    <cellStyle name="Milliers 2 2 3 9" xfId="4342"/>
    <cellStyle name="Milliers 2 2 4" xfId="37"/>
    <cellStyle name="Milliers 2 2 4 2" xfId="82"/>
    <cellStyle name="Milliers 2 2 4 2 2" xfId="172"/>
    <cellStyle name="Milliers 2 2 4 2 2 2" xfId="352"/>
    <cellStyle name="Milliers 2 2 4 2 2 2 2" xfId="712"/>
    <cellStyle name="Milliers 2 2 4 2 2 2 2 2" xfId="1432"/>
    <cellStyle name="Milliers 2 2 4 2 2 2 2 2 2" xfId="3592"/>
    <cellStyle name="Milliers 2 2 4 2 2 2 2 2 2 2" xfId="7912"/>
    <cellStyle name="Milliers 2 2 4 2 2 2 2 2 3" xfId="5752"/>
    <cellStyle name="Milliers 2 2 4 2 2 2 2 3" xfId="2152"/>
    <cellStyle name="Milliers 2 2 4 2 2 2 2 3 2" xfId="4312"/>
    <cellStyle name="Milliers 2 2 4 2 2 2 2 3 2 2" xfId="8632"/>
    <cellStyle name="Milliers 2 2 4 2 2 2 2 3 3" xfId="6472"/>
    <cellStyle name="Milliers 2 2 4 2 2 2 2 4" xfId="2872"/>
    <cellStyle name="Milliers 2 2 4 2 2 2 2 4 2" xfId="7192"/>
    <cellStyle name="Milliers 2 2 4 2 2 2 2 5" xfId="5032"/>
    <cellStyle name="Milliers 2 2 4 2 2 2 3" xfId="1072"/>
    <cellStyle name="Milliers 2 2 4 2 2 2 3 2" xfId="3232"/>
    <cellStyle name="Milliers 2 2 4 2 2 2 3 2 2" xfId="7552"/>
    <cellStyle name="Milliers 2 2 4 2 2 2 3 3" xfId="5392"/>
    <cellStyle name="Milliers 2 2 4 2 2 2 4" xfId="1792"/>
    <cellStyle name="Milliers 2 2 4 2 2 2 4 2" xfId="3952"/>
    <cellStyle name="Milliers 2 2 4 2 2 2 4 2 2" xfId="8272"/>
    <cellStyle name="Milliers 2 2 4 2 2 2 4 3" xfId="6112"/>
    <cellStyle name="Milliers 2 2 4 2 2 2 5" xfId="2512"/>
    <cellStyle name="Milliers 2 2 4 2 2 2 5 2" xfId="6832"/>
    <cellStyle name="Milliers 2 2 4 2 2 2 6" xfId="4672"/>
    <cellStyle name="Milliers 2 2 4 2 2 3" xfId="532"/>
    <cellStyle name="Milliers 2 2 4 2 2 3 2" xfId="1252"/>
    <cellStyle name="Milliers 2 2 4 2 2 3 2 2" xfId="3412"/>
    <cellStyle name="Milliers 2 2 4 2 2 3 2 2 2" xfId="7732"/>
    <cellStyle name="Milliers 2 2 4 2 2 3 2 3" xfId="5572"/>
    <cellStyle name="Milliers 2 2 4 2 2 3 3" xfId="1972"/>
    <cellStyle name="Milliers 2 2 4 2 2 3 3 2" xfId="4132"/>
    <cellStyle name="Milliers 2 2 4 2 2 3 3 2 2" xfId="8452"/>
    <cellStyle name="Milliers 2 2 4 2 2 3 3 3" xfId="6292"/>
    <cellStyle name="Milliers 2 2 4 2 2 3 4" xfId="2692"/>
    <cellStyle name="Milliers 2 2 4 2 2 3 4 2" xfId="7012"/>
    <cellStyle name="Milliers 2 2 4 2 2 3 5" xfId="4852"/>
    <cellStyle name="Milliers 2 2 4 2 2 4" xfId="892"/>
    <cellStyle name="Milliers 2 2 4 2 2 4 2" xfId="3052"/>
    <cellStyle name="Milliers 2 2 4 2 2 4 2 2" xfId="7372"/>
    <cellStyle name="Milliers 2 2 4 2 2 4 3" xfId="5212"/>
    <cellStyle name="Milliers 2 2 4 2 2 5" xfId="1612"/>
    <cellStyle name="Milliers 2 2 4 2 2 5 2" xfId="3772"/>
    <cellStyle name="Milliers 2 2 4 2 2 5 2 2" xfId="8092"/>
    <cellStyle name="Milliers 2 2 4 2 2 5 3" xfId="5932"/>
    <cellStyle name="Milliers 2 2 4 2 2 6" xfId="2332"/>
    <cellStyle name="Milliers 2 2 4 2 2 6 2" xfId="6652"/>
    <cellStyle name="Milliers 2 2 4 2 2 7" xfId="4492"/>
    <cellStyle name="Milliers 2 2 4 2 3" xfId="262"/>
    <cellStyle name="Milliers 2 2 4 2 3 2" xfId="622"/>
    <cellStyle name="Milliers 2 2 4 2 3 2 2" xfId="1342"/>
    <cellStyle name="Milliers 2 2 4 2 3 2 2 2" xfId="3502"/>
    <cellStyle name="Milliers 2 2 4 2 3 2 2 2 2" xfId="7822"/>
    <cellStyle name="Milliers 2 2 4 2 3 2 2 3" xfId="5662"/>
    <cellStyle name="Milliers 2 2 4 2 3 2 3" xfId="2062"/>
    <cellStyle name="Milliers 2 2 4 2 3 2 3 2" xfId="4222"/>
    <cellStyle name="Milliers 2 2 4 2 3 2 3 2 2" xfId="8542"/>
    <cellStyle name="Milliers 2 2 4 2 3 2 3 3" xfId="6382"/>
    <cellStyle name="Milliers 2 2 4 2 3 2 4" xfId="2782"/>
    <cellStyle name="Milliers 2 2 4 2 3 2 4 2" xfId="7102"/>
    <cellStyle name="Milliers 2 2 4 2 3 2 5" xfId="4942"/>
    <cellStyle name="Milliers 2 2 4 2 3 3" xfId="982"/>
    <cellStyle name="Milliers 2 2 4 2 3 3 2" xfId="3142"/>
    <cellStyle name="Milliers 2 2 4 2 3 3 2 2" xfId="7462"/>
    <cellStyle name="Milliers 2 2 4 2 3 3 3" xfId="5302"/>
    <cellStyle name="Milliers 2 2 4 2 3 4" xfId="1702"/>
    <cellStyle name="Milliers 2 2 4 2 3 4 2" xfId="3862"/>
    <cellStyle name="Milliers 2 2 4 2 3 4 2 2" xfId="8182"/>
    <cellStyle name="Milliers 2 2 4 2 3 4 3" xfId="6022"/>
    <cellStyle name="Milliers 2 2 4 2 3 5" xfId="2422"/>
    <cellStyle name="Milliers 2 2 4 2 3 5 2" xfId="6742"/>
    <cellStyle name="Milliers 2 2 4 2 3 6" xfId="4582"/>
    <cellStyle name="Milliers 2 2 4 2 4" xfId="442"/>
    <cellStyle name="Milliers 2 2 4 2 4 2" xfId="1162"/>
    <cellStyle name="Milliers 2 2 4 2 4 2 2" xfId="3322"/>
    <cellStyle name="Milliers 2 2 4 2 4 2 2 2" xfId="7642"/>
    <cellStyle name="Milliers 2 2 4 2 4 2 3" xfId="5482"/>
    <cellStyle name="Milliers 2 2 4 2 4 3" xfId="1882"/>
    <cellStyle name="Milliers 2 2 4 2 4 3 2" xfId="4042"/>
    <cellStyle name="Milliers 2 2 4 2 4 3 2 2" xfId="8362"/>
    <cellStyle name="Milliers 2 2 4 2 4 3 3" xfId="6202"/>
    <cellStyle name="Milliers 2 2 4 2 4 4" xfId="2602"/>
    <cellStyle name="Milliers 2 2 4 2 4 4 2" xfId="6922"/>
    <cellStyle name="Milliers 2 2 4 2 4 5" xfId="4762"/>
    <cellStyle name="Milliers 2 2 4 2 5" xfId="802"/>
    <cellStyle name="Milliers 2 2 4 2 5 2" xfId="2962"/>
    <cellStyle name="Milliers 2 2 4 2 5 2 2" xfId="7282"/>
    <cellStyle name="Milliers 2 2 4 2 5 3" xfId="5122"/>
    <cellStyle name="Milliers 2 2 4 2 6" xfId="1522"/>
    <cellStyle name="Milliers 2 2 4 2 6 2" xfId="3682"/>
    <cellStyle name="Milliers 2 2 4 2 6 2 2" xfId="8002"/>
    <cellStyle name="Milliers 2 2 4 2 6 3" xfId="5842"/>
    <cellStyle name="Milliers 2 2 4 2 7" xfId="2242"/>
    <cellStyle name="Milliers 2 2 4 2 7 2" xfId="6562"/>
    <cellStyle name="Milliers 2 2 4 2 8" xfId="4402"/>
    <cellStyle name="Milliers 2 2 4 3" xfId="127"/>
    <cellStyle name="Milliers 2 2 4 3 2" xfId="307"/>
    <cellStyle name="Milliers 2 2 4 3 2 2" xfId="667"/>
    <cellStyle name="Milliers 2 2 4 3 2 2 2" xfId="1387"/>
    <cellStyle name="Milliers 2 2 4 3 2 2 2 2" xfId="3547"/>
    <cellStyle name="Milliers 2 2 4 3 2 2 2 2 2" xfId="7867"/>
    <cellStyle name="Milliers 2 2 4 3 2 2 2 3" xfId="5707"/>
    <cellStyle name="Milliers 2 2 4 3 2 2 3" xfId="2107"/>
    <cellStyle name="Milliers 2 2 4 3 2 2 3 2" xfId="4267"/>
    <cellStyle name="Milliers 2 2 4 3 2 2 3 2 2" xfId="8587"/>
    <cellStyle name="Milliers 2 2 4 3 2 2 3 3" xfId="6427"/>
    <cellStyle name="Milliers 2 2 4 3 2 2 4" xfId="2827"/>
    <cellStyle name="Milliers 2 2 4 3 2 2 4 2" xfId="7147"/>
    <cellStyle name="Milliers 2 2 4 3 2 2 5" xfId="4987"/>
    <cellStyle name="Milliers 2 2 4 3 2 3" xfId="1027"/>
    <cellStyle name="Milliers 2 2 4 3 2 3 2" xfId="3187"/>
    <cellStyle name="Milliers 2 2 4 3 2 3 2 2" xfId="7507"/>
    <cellStyle name="Milliers 2 2 4 3 2 3 3" xfId="5347"/>
    <cellStyle name="Milliers 2 2 4 3 2 4" xfId="1747"/>
    <cellStyle name="Milliers 2 2 4 3 2 4 2" xfId="3907"/>
    <cellStyle name="Milliers 2 2 4 3 2 4 2 2" xfId="8227"/>
    <cellStyle name="Milliers 2 2 4 3 2 4 3" xfId="6067"/>
    <cellStyle name="Milliers 2 2 4 3 2 5" xfId="2467"/>
    <cellStyle name="Milliers 2 2 4 3 2 5 2" xfId="6787"/>
    <cellStyle name="Milliers 2 2 4 3 2 6" xfId="4627"/>
    <cellStyle name="Milliers 2 2 4 3 3" xfId="487"/>
    <cellStyle name="Milliers 2 2 4 3 3 2" xfId="1207"/>
    <cellStyle name="Milliers 2 2 4 3 3 2 2" xfId="3367"/>
    <cellStyle name="Milliers 2 2 4 3 3 2 2 2" xfId="7687"/>
    <cellStyle name="Milliers 2 2 4 3 3 2 3" xfId="5527"/>
    <cellStyle name="Milliers 2 2 4 3 3 3" xfId="1927"/>
    <cellStyle name="Milliers 2 2 4 3 3 3 2" xfId="4087"/>
    <cellStyle name="Milliers 2 2 4 3 3 3 2 2" xfId="8407"/>
    <cellStyle name="Milliers 2 2 4 3 3 3 3" xfId="6247"/>
    <cellStyle name="Milliers 2 2 4 3 3 4" xfId="2647"/>
    <cellStyle name="Milliers 2 2 4 3 3 4 2" xfId="6967"/>
    <cellStyle name="Milliers 2 2 4 3 3 5" xfId="4807"/>
    <cellStyle name="Milliers 2 2 4 3 4" xfId="847"/>
    <cellStyle name="Milliers 2 2 4 3 4 2" xfId="3007"/>
    <cellStyle name="Milliers 2 2 4 3 4 2 2" xfId="7327"/>
    <cellStyle name="Milliers 2 2 4 3 4 3" xfId="5167"/>
    <cellStyle name="Milliers 2 2 4 3 5" xfId="1567"/>
    <cellStyle name="Milliers 2 2 4 3 5 2" xfId="3727"/>
    <cellStyle name="Milliers 2 2 4 3 5 2 2" xfId="8047"/>
    <cellStyle name="Milliers 2 2 4 3 5 3" xfId="5887"/>
    <cellStyle name="Milliers 2 2 4 3 6" xfId="2287"/>
    <cellStyle name="Milliers 2 2 4 3 6 2" xfId="6607"/>
    <cellStyle name="Milliers 2 2 4 3 7" xfId="4447"/>
    <cellStyle name="Milliers 2 2 4 4" xfId="217"/>
    <cellStyle name="Milliers 2 2 4 4 2" xfId="577"/>
    <cellStyle name="Milliers 2 2 4 4 2 2" xfId="1297"/>
    <cellStyle name="Milliers 2 2 4 4 2 2 2" xfId="3457"/>
    <cellStyle name="Milliers 2 2 4 4 2 2 2 2" xfId="7777"/>
    <cellStyle name="Milliers 2 2 4 4 2 2 3" xfId="5617"/>
    <cellStyle name="Milliers 2 2 4 4 2 3" xfId="2017"/>
    <cellStyle name="Milliers 2 2 4 4 2 3 2" xfId="4177"/>
    <cellStyle name="Milliers 2 2 4 4 2 3 2 2" xfId="8497"/>
    <cellStyle name="Milliers 2 2 4 4 2 3 3" xfId="6337"/>
    <cellStyle name="Milliers 2 2 4 4 2 4" xfId="2737"/>
    <cellStyle name="Milliers 2 2 4 4 2 4 2" xfId="7057"/>
    <cellStyle name="Milliers 2 2 4 4 2 5" xfId="4897"/>
    <cellStyle name="Milliers 2 2 4 4 3" xfId="937"/>
    <cellStyle name="Milliers 2 2 4 4 3 2" xfId="3097"/>
    <cellStyle name="Milliers 2 2 4 4 3 2 2" xfId="7417"/>
    <cellStyle name="Milliers 2 2 4 4 3 3" xfId="5257"/>
    <cellStyle name="Milliers 2 2 4 4 4" xfId="1657"/>
    <cellStyle name="Milliers 2 2 4 4 4 2" xfId="3817"/>
    <cellStyle name="Milliers 2 2 4 4 4 2 2" xfId="8137"/>
    <cellStyle name="Milliers 2 2 4 4 4 3" xfId="5977"/>
    <cellStyle name="Milliers 2 2 4 4 5" xfId="2377"/>
    <cellStyle name="Milliers 2 2 4 4 5 2" xfId="6697"/>
    <cellStyle name="Milliers 2 2 4 4 6" xfId="4537"/>
    <cellStyle name="Milliers 2 2 4 5" xfId="397"/>
    <cellStyle name="Milliers 2 2 4 5 2" xfId="1117"/>
    <cellStyle name="Milliers 2 2 4 5 2 2" xfId="3277"/>
    <cellStyle name="Milliers 2 2 4 5 2 2 2" xfId="7597"/>
    <cellStyle name="Milliers 2 2 4 5 2 3" xfId="5437"/>
    <cellStyle name="Milliers 2 2 4 5 3" xfId="1837"/>
    <cellStyle name="Milliers 2 2 4 5 3 2" xfId="3997"/>
    <cellStyle name="Milliers 2 2 4 5 3 2 2" xfId="8317"/>
    <cellStyle name="Milliers 2 2 4 5 3 3" xfId="6157"/>
    <cellStyle name="Milliers 2 2 4 5 4" xfId="2557"/>
    <cellStyle name="Milliers 2 2 4 5 4 2" xfId="6877"/>
    <cellStyle name="Milliers 2 2 4 5 5" xfId="4717"/>
    <cellStyle name="Milliers 2 2 4 6" xfId="757"/>
    <cellStyle name="Milliers 2 2 4 6 2" xfId="2917"/>
    <cellStyle name="Milliers 2 2 4 6 2 2" xfId="7237"/>
    <cellStyle name="Milliers 2 2 4 6 3" xfId="5077"/>
    <cellStyle name="Milliers 2 2 4 7" xfId="1477"/>
    <cellStyle name="Milliers 2 2 4 7 2" xfId="3637"/>
    <cellStyle name="Milliers 2 2 4 7 2 2" xfId="7957"/>
    <cellStyle name="Milliers 2 2 4 7 3" xfId="5797"/>
    <cellStyle name="Milliers 2 2 4 8" xfId="2197"/>
    <cellStyle name="Milliers 2 2 4 8 2" xfId="6517"/>
    <cellStyle name="Milliers 2 2 4 9" xfId="4357"/>
    <cellStyle name="Milliers 2 2 5" xfId="52"/>
    <cellStyle name="Milliers 2 2 5 2" xfId="142"/>
    <cellStyle name="Milliers 2 2 5 2 2" xfId="322"/>
    <cellStyle name="Milliers 2 2 5 2 2 2" xfId="682"/>
    <cellStyle name="Milliers 2 2 5 2 2 2 2" xfId="1402"/>
    <cellStyle name="Milliers 2 2 5 2 2 2 2 2" xfId="3562"/>
    <cellStyle name="Milliers 2 2 5 2 2 2 2 2 2" xfId="7882"/>
    <cellStyle name="Milliers 2 2 5 2 2 2 2 3" xfId="5722"/>
    <cellStyle name="Milliers 2 2 5 2 2 2 3" xfId="2122"/>
    <cellStyle name="Milliers 2 2 5 2 2 2 3 2" xfId="4282"/>
    <cellStyle name="Milliers 2 2 5 2 2 2 3 2 2" xfId="8602"/>
    <cellStyle name="Milliers 2 2 5 2 2 2 3 3" xfId="6442"/>
    <cellStyle name="Milliers 2 2 5 2 2 2 4" xfId="2842"/>
    <cellStyle name="Milliers 2 2 5 2 2 2 4 2" xfId="7162"/>
    <cellStyle name="Milliers 2 2 5 2 2 2 5" xfId="5002"/>
    <cellStyle name="Milliers 2 2 5 2 2 3" xfId="1042"/>
    <cellStyle name="Milliers 2 2 5 2 2 3 2" xfId="3202"/>
    <cellStyle name="Milliers 2 2 5 2 2 3 2 2" xfId="7522"/>
    <cellStyle name="Milliers 2 2 5 2 2 3 3" xfId="5362"/>
    <cellStyle name="Milliers 2 2 5 2 2 4" xfId="1762"/>
    <cellStyle name="Milliers 2 2 5 2 2 4 2" xfId="3922"/>
    <cellStyle name="Milliers 2 2 5 2 2 4 2 2" xfId="8242"/>
    <cellStyle name="Milliers 2 2 5 2 2 4 3" xfId="6082"/>
    <cellStyle name="Milliers 2 2 5 2 2 5" xfId="2482"/>
    <cellStyle name="Milliers 2 2 5 2 2 5 2" xfId="6802"/>
    <cellStyle name="Milliers 2 2 5 2 2 6" xfId="4642"/>
    <cellStyle name="Milliers 2 2 5 2 3" xfId="502"/>
    <cellStyle name="Milliers 2 2 5 2 3 2" xfId="1222"/>
    <cellStyle name="Milliers 2 2 5 2 3 2 2" xfId="3382"/>
    <cellStyle name="Milliers 2 2 5 2 3 2 2 2" xfId="7702"/>
    <cellStyle name="Milliers 2 2 5 2 3 2 3" xfId="5542"/>
    <cellStyle name="Milliers 2 2 5 2 3 3" xfId="1942"/>
    <cellStyle name="Milliers 2 2 5 2 3 3 2" xfId="4102"/>
    <cellStyle name="Milliers 2 2 5 2 3 3 2 2" xfId="8422"/>
    <cellStyle name="Milliers 2 2 5 2 3 3 3" xfId="6262"/>
    <cellStyle name="Milliers 2 2 5 2 3 4" xfId="2662"/>
    <cellStyle name="Milliers 2 2 5 2 3 4 2" xfId="6982"/>
    <cellStyle name="Milliers 2 2 5 2 3 5" xfId="4822"/>
    <cellStyle name="Milliers 2 2 5 2 4" xfId="862"/>
    <cellStyle name="Milliers 2 2 5 2 4 2" xfId="3022"/>
    <cellStyle name="Milliers 2 2 5 2 4 2 2" xfId="7342"/>
    <cellStyle name="Milliers 2 2 5 2 4 3" xfId="5182"/>
    <cellStyle name="Milliers 2 2 5 2 5" xfId="1582"/>
    <cellStyle name="Milliers 2 2 5 2 5 2" xfId="3742"/>
    <cellStyle name="Milliers 2 2 5 2 5 2 2" xfId="8062"/>
    <cellStyle name="Milliers 2 2 5 2 5 3" xfId="5902"/>
    <cellStyle name="Milliers 2 2 5 2 6" xfId="2302"/>
    <cellStyle name="Milliers 2 2 5 2 6 2" xfId="6622"/>
    <cellStyle name="Milliers 2 2 5 2 7" xfId="4462"/>
    <cellStyle name="Milliers 2 2 5 3" xfId="232"/>
    <cellStyle name="Milliers 2 2 5 3 2" xfId="592"/>
    <cellStyle name="Milliers 2 2 5 3 2 2" xfId="1312"/>
    <cellStyle name="Milliers 2 2 5 3 2 2 2" xfId="3472"/>
    <cellStyle name="Milliers 2 2 5 3 2 2 2 2" xfId="7792"/>
    <cellStyle name="Milliers 2 2 5 3 2 2 3" xfId="5632"/>
    <cellStyle name="Milliers 2 2 5 3 2 3" xfId="2032"/>
    <cellStyle name="Milliers 2 2 5 3 2 3 2" xfId="4192"/>
    <cellStyle name="Milliers 2 2 5 3 2 3 2 2" xfId="8512"/>
    <cellStyle name="Milliers 2 2 5 3 2 3 3" xfId="6352"/>
    <cellStyle name="Milliers 2 2 5 3 2 4" xfId="2752"/>
    <cellStyle name="Milliers 2 2 5 3 2 4 2" xfId="7072"/>
    <cellStyle name="Milliers 2 2 5 3 2 5" xfId="4912"/>
    <cellStyle name="Milliers 2 2 5 3 3" xfId="952"/>
    <cellStyle name="Milliers 2 2 5 3 3 2" xfId="3112"/>
    <cellStyle name="Milliers 2 2 5 3 3 2 2" xfId="7432"/>
    <cellStyle name="Milliers 2 2 5 3 3 3" xfId="5272"/>
    <cellStyle name="Milliers 2 2 5 3 4" xfId="1672"/>
    <cellStyle name="Milliers 2 2 5 3 4 2" xfId="3832"/>
    <cellStyle name="Milliers 2 2 5 3 4 2 2" xfId="8152"/>
    <cellStyle name="Milliers 2 2 5 3 4 3" xfId="5992"/>
    <cellStyle name="Milliers 2 2 5 3 5" xfId="2392"/>
    <cellStyle name="Milliers 2 2 5 3 5 2" xfId="6712"/>
    <cellStyle name="Milliers 2 2 5 3 6" xfId="4552"/>
    <cellStyle name="Milliers 2 2 5 4" xfId="412"/>
    <cellStyle name="Milliers 2 2 5 4 2" xfId="1132"/>
    <cellStyle name="Milliers 2 2 5 4 2 2" xfId="3292"/>
    <cellStyle name="Milliers 2 2 5 4 2 2 2" xfId="7612"/>
    <cellStyle name="Milliers 2 2 5 4 2 3" xfId="5452"/>
    <cellStyle name="Milliers 2 2 5 4 3" xfId="1852"/>
    <cellStyle name="Milliers 2 2 5 4 3 2" xfId="4012"/>
    <cellStyle name="Milliers 2 2 5 4 3 2 2" xfId="8332"/>
    <cellStyle name="Milliers 2 2 5 4 3 3" xfId="6172"/>
    <cellStyle name="Milliers 2 2 5 4 4" xfId="2572"/>
    <cellStyle name="Milliers 2 2 5 4 4 2" xfId="6892"/>
    <cellStyle name="Milliers 2 2 5 4 5" xfId="4732"/>
    <cellStyle name="Milliers 2 2 5 5" xfId="772"/>
    <cellStyle name="Milliers 2 2 5 5 2" xfId="2932"/>
    <cellStyle name="Milliers 2 2 5 5 2 2" xfId="7252"/>
    <cellStyle name="Milliers 2 2 5 5 3" xfId="5092"/>
    <cellStyle name="Milliers 2 2 5 6" xfId="1492"/>
    <cellStyle name="Milliers 2 2 5 6 2" xfId="3652"/>
    <cellStyle name="Milliers 2 2 5 6 2 2" xfId="7972"/>
    <cellStyle name="Milliers 2 2 5 6 3" xfId="5812"/>
    <cellStyle name="Milliers 2 2 5 7" xfId="2212"/>
    <cellStyle name="Milliers 2 2 5 7 2" xfId="6532"/>
    <cellStyle name="Milliers 2 2 5 8" xfId="4372"/>
    <cellStyle name="Milliers 2 2 6" xfId="97"/>
    <cellStyle name="Milliers 2 2 6 2" xfId="277"/>
    <cellStyle name="Milliers 2 2 6 2 2" xfId="637"/>
    <cellStyle name="Milliers 2 2 6 2 2 2" xfId="1357"/>
    <cellStyle name="Milliers 2 2 6 2 2 2 2" xfId="3517"/>
    <cellStyle name="Milliers 2 2 6 2 2 2 2 2" xfId="7837"/>
    <cellStyle name="Milliers 2 2 6 2 2 2 3" xfId="5677"/>
    <cellStyle name="Milliers 2 2 6 2 2 3" xfId="2077"/>
    <cellStyle name="Milliers 2 2 6 2 2 3 2" xfId="4237"/>
    <cellStyle name="Milliers 2 2 6 2 2 3 2 2" xfId="8557"/>
    <cellStyle name="Milliers 2 2 6 2 2 3 3" xfId="6397"/>
    <cellStyle name="Milliers 2 2 6 2 2 4" xfId="2797"/>
    <cellStyle name="Milliers 2 2 6 2 2 4 2" xfId="7117"/>
    <cellStyle name="Milliers 2 2 6 2 2 5" xfId="4957"/>
    <cellStyle name="Milliers 2 2 6 2 3" xfId="997"/>
    <cellStyle name="Milliers 2 2 6 2 3 2" xfId="3157"/>
    <cellStyle name="Milliers 2 2 6 2 3 2 2" xfId="7477"/>
    <cellStyle name="Milliers 2 2 6 2 3 3" xfId="5317"/>
    <cellStyle name="Milliers 2 2 6 2 4" xfId="1717"/>
    <cellStyle name="Milliers 2 2 6 2 4 2" xfId="3877"/>
    <cellStyle name="Milliers 2 2 6 2 4 2 2" xfId="8197"/>
    <cellStyle name="Milliers 2 2 6 2 4 3" xfId="6037"/>
    <cellStyle name="Milliers 2 2 6 2 5" xfId="2437"/>
    <cellStyle name="Milliers 2 2 6 2 5 2" xfId="6757"/>
    <cellStyle name="Milliers 2 2 6 2 6" xfId="4597"/>
    <cellStyle name="Milliers 2 2 6 3" xfId="457"/>
    <cellStyle name="Milliers 2 2 6 3 2" xfId="1177"/>
    <cellStyle name="Milliers 2 2 6 3 2 2" xfId="3337"/>
    <cellStyle name="Milliers 2 2 6 3 2 2 2" xfId="7657"/>
    <cellStyle name="Milliers 2 2 6 3 2 3" xfId="5497"/>
    <cellStyle name="Milliers 2 2 6 3 3" xfId="1897"/>
    <cellStyle name="Milliers 2 2 6 3 3 2" xfId="4057"/>
    <cellStyle name="Milliers 2 2 6 3 3 2 2" xfId="8377"/>
    <cellStyle name="Milliers 2 2 6 3 3 3" xfId="6217"/>
    <cellStyle name="Milliers 2 2 6 3 4" xfId="2617"/>
    <cellStyle name="Milliers 2 2 6 3 4 2" xfId="6937"/>
    <cellStyle name="Milliers 2 2 6 3 5" xfId="4777"/>
    <cellStyle name="Milliers 2 2 6 4" xfId="817"/>
    <cellStyle name="Milliers 2 2 6 4 2" xfId="2977"/>
    <cellStyle name="Milliers 2 2 6 4 2 2" xfId="7297"/>
    <cellStyle name="Milliers 2 2 6 4 3" xfId="5137"/>
    <cellStyle name="Milliers 2 2 6 5" xfId="1537"/>
    <cellStyle name="Milliers 2 2 6 5 2" xfId="3697"/>
    <cellStyle name="Milliers 2 2 6 5 2 2" xfId="8017"/>
    <cellStyle name="Milliers 2 2 6 5 3" xfId="5857"/>
    <cellStyle name="Milliers 2 2 6 6" xfId="2257"/>
    <cellStyle name="Milliers 2 2 6 6 2" xfId="6577"/>
    <cellStyle name="Milliers 2 2 6 7" xfId="4417"/>
    <cellStyle name="Milliers 2 2 7" xfId="187"/>
    <cellStyle name="Milliers 2 2 7 2" xfId="547"/>
    <cellStyle name="Milliers 2 2 7 2 2" xfId="1267"/>
    <cellStyle name="Milliers 2 2 7 2 2 2" xfId="3427"/>
    <cellStyle name="Milliers 2 2 7 2 2 2 2" xfId="7747"/>
    <cellStyle name="Milliers 2 2 7 2 2 3" xfId="5587"/>
    <cellStyle name="Milliers 2 2 7 2 3" xfId="1987"/>
    <cellStyle name="Milliers 2 2 7 2 3 2" xfId="4147"/>
    <cellStyle name="Milliers 2 2 7 2 3 2 2" xfId="8467"/>
    <cellStyle name="Milliers 2 2 7 2 3 3" xfId="6307"/>
    <cellStyle name="Milliers 2 2 7 2 4" xfId="2707"/>
    <cellStyle name="Milliers 2 2 7 2 4 2" xfId="7027"/>
    <cellStyle name="Milliers 2 2 7 2 5" xfId="4867"/>
    <cellStyle name="Milliers 2 2 7 3" xfId="907"/>
    <cellStyle name="Milliers 2 2 7 3 2" xfId="3067"/>
    <cellStyle name="Milliers 2 2 7 3 2 2" xfId="7387"/>
    <cellStyle name="Milliers 2 2 7 3 3" xfId="5227"/>
    <cellStyle name="Milliers 2 2 7 4" xfId="1627"/>
    <cellStyle name="Milliers 2 2 7 4 2" xfId="3787"/>
    <cellStyle name="Milliers 2 2 7 4 2 2" xfId="8107"/>
    <cellStyle name="Milliers 2 2 7 4 3" xfId="5947"/>
    <cellStyle name="Milliers 2 2 7 5" xfId="2347"/>
    <cellStyle name="Milliers 2 2 7 5 2" xfId="6667"/>
    <cellStyle name="Milliers 2 2 7 6" xfId="4507"/>
    <cellStyle name="Milliers 2 2 8" xfId="367"/>
    <cellStyle name="Milliers 2 2 8 2" xfId="1087"/>
    <cellStyle name="Milliers 2 2 8 2 2" xfId="3247"/>
    <cellStyle name="Milliers 2 2 8 2 2 2" xfId="7567"/>
    <cellStyle name="Milliers 2 2 8 2 3" xfId="5407"/>
    <cellStyle name="Milliers 2 2 8 3" xfId="1807"/>
    <cellStyle name="Milliers 2 2 8 3 2" xfId="3967"/>
    <cellStyle name="Milliers 2 2 8 3 2 2" xfId="8287"/>
    <cellStyle name="Milliers 2 2 8 3 3" xfId="6127"/>
    <cellStyle name="Milliers 2 2 8 4" xfId="2527"/>
    <cellStyle name="Milliers 2 2 8 4 2" xfId="6847"/>
    <cellStyle name="Milliers 2 2 8 5" xfId="4687"/>
    <cellStyle name="Milliers 2 2 9" xfId="727"/>
    <cellStyle name="Milliers 2 2 9 2" xfId="2887"/>
    <cellStyle name="Milliers 2 2 9 2 2" xfId="7207"/>
    <cellStyle name="Milliers 2 2 9 3" xfId="5047"/>
    <cellStyle name="Milliers 2 3" xfId="10"/>
    <cellStyle name="Milliers 2 3 10" xfId="2170"/>
    <cellStyle name="Milliers 2 3 10 2" xfId="6490"/>
    <cellStyle name="Milliers 2 3 11" xfId="4330"/>
    <cellStyle name="Milliers 2 3 2" xfId="25"/>
    <cellStyle name="Milliers 2 3 2 2" xfId="70"/>
    <cellStyle name="Milliers 2 3 2 2 2" xfId="160"/>
    <cellStyle name="Milliers 2 3 2 2 2 2" xfId="340"/>
    <cellStyle name="Milliers 2 3 2 2 2 2 2" xfId="700"/>
    <cellStyle name="Milliers 2 3 2 2 2 2 2 2" xfId="1420"/>
    <cellStyle name="Milliers 2 3 2 2 2 2 2 2 2" xfId="3580"/>
    <cellStyle name="Milliers 2 3 2 2 2 2 2 2 2 2" xfId="7900"/>
    <cellStyle name="Milliers 2 3 2 2 2 2 2 2 3" xfId="5740"/>
    <cellStyle name="Milliers 2 3 2 2 2 2 2 3" xfId="2140"/>
    <cellStyle name="Milliers 2 3 2 2 2 2 2 3 2" xfId="4300"/>
    <cellStyle name="Milliers 2 3 2 2 2 2 2 3 2 2" xfId="8620"/>
    <cellStyle name="Milliers 2 3 2 2 2 2 2 3 3" xfId="6460"/>
    <cellStyle name="Milliers 2 3 2 2 2 2 2 4" xfId="2860"/>
    <cellStyle name="Milliers 2 3 2 2 2 2 2 4 2" xfId="7180"/>
    <cellStyle name="Milliers 2 3 2 2 2 2 2 5" xfId="5020"/>
    <cellStyle name="Milliers 2 3 2 2 2 2 3" xfId="1060"/>
    <cellStyle name="Milliers 2 3 2 2 2 2 3 2" xfId="3220"/>
    <cellStyle name="Milliers 2 3 2 2 2 2 3 2 2" xfId="7540"/>
    <cellStyle name="Milliers 2 3 2 2 2 2 3 3" xfId="5380"/>
    <cellStyle name="Milliers 2 3 2 2 2 2 4" xfId="1780"/>
    <cellStyle name="Milliers 2 3 2 2 2 2 4 2" xfId="3940"/>
    <cellStyle name="Milliers 2 3 2 2 2 2 4 2 2" xfId="8260"/>
    <cellStyle name="Milliers 2 3 2 2 2 2 4 3" xfId="6100"/>
    <cellStyle name="Milliers 2 3 2 2 2 2 5" xfId="2500"/>
    <cellStyle name="Milliers 2 3 2 2 2 2 5 2" xfId="6820"/>
    <cellStyle name="Milliers 2 3 2 2 2 2 6" xfId="4660"/>
    <cellStyle name="Milliers 2 3 2 2 2 3" xfId="520"/>
    <cellStyle name="Milliers 2 3 2 2 2 3 2" xfId="1240"/>
    <cellStyle name="Milliers 2 3 2 2 2 3 2 2" xfId="3400"/>
    <cellStyle name="Milliers 2 3 2 2 2 3 2 2 2" xfId="7720"/>
    <cellStyle name="Milliers 2 3 2 2 2 3 2 3" xfId="5560"/>
    <cellStyle name="Milliers 2 3 2 2 2 3 3" xfId="1960"/>
    <cellStyle name="Milliers 2 3 2 2 2 3 3 2" xfId="4120"/>
    <cellStyle name="Milliers 2 3 2 2 2 3 3 2 2" xfId="8440"/>
    <cellStyle name="Milliers 2 3 2 2 2 3 3 3" xfId="6280"/>
    <cellStyle name="Milliers 2 3 2 2 2 3 4" xfId="2680"/>
    <cellStyle name="Milliers 2 3 2 2 2 3 4 2" xfId="7000"/>
    <cellStyle name="Milliers 2 3 2 2 2 3 5" xfId="4840"/>
    <cellStyle name="Milliers 2 3 2 2 2 4" xfId="880"/>
    <cellStyle name="Milliers 2 3 2 2 2 4 2" xfId="3040"/>
    <cellStyle name="Milliers 2 3 2 2 2 4 2 2" xfId="7360"/>
    <cellStyle name="Milliers 2 3 2 2 2 4 3" xfId="5200"/>
    <cellStyle name="Milliers 2 3 2 2 2 5" xfId="1600"/>
    <cellStyle name="Milliers 2 3 2 2 2 5 2" xfId="3760"/>
    <cellStyle name="Milliers 2 3 2 2 2 5 2 2" xfId="8080"/>
    <cellStyle name="Milliers 2 3 2 2 2 5 3" xfId="5920"/>
    <cellStyle name="Milliers 2 3 2 2 2 6" xfId="2320"/>
    <cellStyle name="Milliers 2 3 2 2 2 6 2" xfId="6640"/>
    <cellStyle name="Milliers 2 3 2 2 2 7" xfId="4480"/>
    <cellStyle name="Milliers 2 3 2 2 3" xfId="250"/>
    <cellStyle name="Milliers 2 3 2 2 3 2" xfId="610"/>
    <cellStyle name="Milliers 2 3 2 2 3 2 2" xfId="1330"/>
    <cellStyle name="Milliers 2 3 2 2 3 2 2 2" xfId="3490"/>
    <cellStyle name="Milliers 2 3 2 2 3 2 2 2 2" xfId="7810"/>
    <cellStyle name="Milliers 2 3 2 2 3 2 2 3" xfId="5650"/>
    <cellStyle name="Milliers 2 3 2 2 3 2 3" xfId="2050"/>
    <cellStyle name="Milliers 2 3 2 2 3 2 3 2" xfId="4210"/>
    <cellStyle name="Milliers 2 3 2 2 3 2 3 2 2" xfId="8530"/>
    <cellStyle name="Milliers 2 3 2 2 3 2 3 3" xfId="6370"/>
    <cellStyle name="Milliers 2 3 2 2 3 2 4" xfId="2770"/>
    <cellStyle name="Milliers 2 3 2 2 3 2 4 2" xfId="7090"/>
    <cellStyle name="Milliers 2 3 2 2 3 2 5" xfId="4930"/>
    <cellStyle name="Milliers 2 3 2 2 3 3" xfId="970"/>
    <cellStyle name="Milliers 2 3 2 2 3 3 2" xfId="3130"/>
    <cellStyle name="Milliers 2 3 2 2 3 3 2 2" xfId="7450"/>
    <cellStyle name="Milliers 2 3 2 2 3 3 3" xfId="5290"/>
    <cellStyle name="Milliers 2 3 2 2 3 4" xfId="1690"/>
    <cellStyle name="Milliers 2 3 2 2 3 4 2" xfId="3850"/>
    <cellStyle name="Milliers 2 3 2 2 3 4 2 2" xfId="8170"/>
    <cellStyle name="Milliers 2 3 2 2 3 4 3" xfId="6010"/>
    <cellStyle name="Milliers 2 3 2 2 3 5" xfId="2410"/>
    <cellStyle name="Milliers 2 3 2 2 3 5 2" xfId="6730"/>
    <cellStyle name="Milliers 2 3 2 2 3 6" xfId="4570"/>
    <cellStyle name="Milliers 2 3 2 2 4" xfId="430"/>
    <cellStyle name="Milliers 2 3 2 2 4 2" xfId="1150"/>
    <cellStyle name="Milliers 2 3 2 2 4 2 2" xfId="3310"/>
    <cellStyle name="Milliers 2 3 2 2 4 2 2 2" xfId="7630"/>
    <cellStyle name="Milliers 2 3 2 2 4 2 3" xfId="5470"/>
    <cellStyle name="Milliers 2 3 2 2 4 3" xfId="1870"/>
    <cellStyle name="Milliers 2 3 2 2 4 3 2" xfId="4030"/>
    <cellStyle name="Milliers 2 3 2 2 4 3 2 2" xfId="8350"/>
    <cellStyle name="Milliers 2 3 2 2 4 3 3" xfId="6190"/>
    <cellStyle name="Milliers 2 3 2 2 4 4" xfId="2590"/>
    <cellStyle name="Milliers 2 3 2 2 4 4 2" xfId="6910"/>
    <cellStyle name="Milliers 2 3 2 2 4 5" xfId="4750"/>
    <cellStyle name="Milliers 2 3 2 2 5" xfId="790"/>
    <cellStyle name="Milliers 2 3 2 2 5 2" xfId="2950"/>
    <cellStyle name="Milliers 2 3 2 2 5 2 2" xfId="7270"/>
    <cellStyle name="Milliers 2 3 2 2 5 3" xfId="5110"/>
    <cellStyle name="Milliers 2 3 2 2 6" xfId="1510"/>
    <cellStyle name="Milliers 2 3 2 2 6 2" xfId="3670"/>
    <cellStyle name="Milliers 2 3 2 2 6 2 2" xfId="7990"/>
    <cellStyle name="Milliers 2 3 2 2 6 3" xfId="5830"/>
    <cellStyle name="Milliers 2 3 2 2 7" xfId="2230"/>
    <cellStyle name="Milliers 2 3 2 2 7 2" xfId="6550"/>
    <cellStyle name="Milliers 2 3 2 2 8" xfId="4390"/>
    <cellStyle name="Milliers 2 3 2 3" xfId="115"/>
    <cellStyle name="Milliers 2 3 2 3 2" xfId="295"/>
    <cellStyle name="Milliers 2 3 2 3 2 2" xfId="655"/>
    <cellStyle name="Milliers 2 3 2 3 2 2 2" xfId="1375"/>
    <cellStyle name="Milliers 2 3 2 3 2 2 2 2" xfId="3535"/>
    <cellStyle name="Milliers 2 3 2 3 2 2 2 2 2" xfId="7855"/>
    <cellStyle name="Milliers 2 3 2 3 2 2 2 3" xfId="5695"/>
    <cellStyle name="Milliers 2 3 2 3 2 2 3" xfId="2095"/>
    <cellStyle name="Milliers 2 3 2 3 2 2 3 2" xfId="4255"/>
    <cellStyle name="Milliers 2 3 2 3 2 2 3 2 2" xfId="8575"/>
    <cellStyle name="Milliers 2 3 2 3 2 2 3 3" xfId="6415"/>
    <cellStyle name="Milliers 2 3 2 3 2 2 4" xfId="2815"/>
    <cellStyle name="Milliers 2 3 2 3 2 2 4 2" xfId="7135"/>
    <cellStyle name="Milliers 2 3 2 3 2 2 5" xfId="4975"/>
    <cellStyle name="Milliers 2 3 2 3 2 3" xfId="1015"/>
    <cellStyle name="Milliers 2 3 2 3 2 3 2" xfId="3175"/>
    <cellStyle name="Milliers 2 3 2 3 2 3 2 2" xfId="7495"/>
    <cellStyle name="Milliers 2 3 2 3 2 3 3" xfId="5335"/>
    <cellStyle name="Milliers 2 3 2 3 2 4" xfId="1735"/>
    <cellStyle name="Milliers 2 3 2 3 2 4 2" xfId="3895"/>
    <cellStyle name="Milliers 2 3 2 3 2 4 2 2" xfId="8215"/>
    <cellStyle name="Milliers 2 3 2 3 2 4 3" xfId="6055"/>
    <cellStyle name="Milliers 2 3 2 3 2 5" xfId="2455"/>
    <cellStyle name="Milliers 2 3 2 3 2 5 2" xfId="6775"/>
    <cellStyle name="Milliers 2 3 2 3 2 6" xfId="4615"/>
    <cellStyle name="Milliers 2 3 2 3 3" xfId="475"/>
    <cellStyle name="Milliers 2 3 2 3 3 2" xfId="1195"/>
    <cellStyle name="Milliers 2 3 2 3 3 2 2" xfId="3355"/>
    <cellStyle name="Milliers 2 3 2 3 3 2 2 2" xfId="7675"/>
    <cellStyle name="Milliers 2 3 2 3 3 2 3" xfId="5515"/>
    <cellStyle name="Milliers 2 3 2 3 3 3" xfId="1915"/>
    <cellStyle name="Milliers 2 3 2 3 3 3 2" xfId="4075"/>
    <cellStyle name="Milliers 2 3 2 3 3 3 2 2" xfId="8395"/>
    <cellStyle name="Milliers 2 3 2 3 3 3 3" xfId="6235"/>
    <cellStyle name="Milliers 2 3 2 3 3 4" xfId="2635"/>
    <cellStyle name="Milliers 2 3 2 3 3 4 2" xfId="6955"/>
    <cellStyle name="Milliers 2 3 2 3 3 5" xfId="4795"/>
    <cellStyle name="Milliers 2 3 2 3 4" xfId="835"/>
    <cellStyle name="Milliers 2 3 2 3 4 2" xfId="2995"/>
    <cellStyle name="Milliers 2 3 2 3 4 2 2" xfId="7315"/>
    <cellStyle name="Milliers 2 3 2 3 4 3" xfId="5155"/>
    <cellStyle name="Milliers 2 3 2 3 5" xfId="1555"/>
    <cellStyle name="Milliers 2 3 2 3 5 2" xfId="3715"/>
    <cellStyle name="Milliers 2 3 2 3 5 2 2" xfId="8035"/>
    <cellStyle name="Milliers 2 3 2 3 5 3" xfId="5875"/>
    <cellStyle name="Milliers 2 3 2 3 6" xfId="2275"/>
    <cellStyle name="Milliers 2 3 2 3 6 2" xfId="6595"/>
    <cellStyle name="Milliers 2 3 2 3 7" xfId="4435"/>
    <cellStyle name="Milliers 2 3 2 4" xfId="205"/>
    <cellStyle name="Milliers 2 3 2 4 2" xfId="565"/>
    <cellStyle name="Milliers 2 3 2 4 2 2" xfId="1285"/>
    <cellStyle name="Milliers 2 3 2 4 2 2 2" xfId="3445"/>
    <cellStyle name="Milliers 2 3 2 4 2 2 2 2" xfId="7765"/>
    <cellStyle name="Milliers 2 3 2 4 2 2 3" xfId="5605"/>
    <cellStyle name="Milliers 2 3 2 4 2 3" xfId="2005"/>
    <cellStyle name="Milliers 2 3 2 4 2 3 2" xfId="4165"/>
    <cellStyle name="Milliers 2 3 2 4 2 3 2 2" xfId="8485"/>
    <cellStyle name="Milliers 2 3 2 4 2 3 3" xfId="6325"/>
    <cellStyle name="Milliers 2 3 2 4 2 4" xfId="2725"/>
    <cellStyle name="Milliers 2 3 2 4 2 4 2" xfId="7045"/>
    <cellStyle name="Milliers 2 3 2 4 2 5" xfId="4885"/>
    <cellStyle name="Milliers 2 3 2 4 3" xfId="925"/>
    <cellStyle name="Milliers 2 3 2 4 3 2" xfId="3085"/>
    <cellStyle name="Milliers 2 3 2 4 3 2 2" xfId="7405"/>
    <cellStyle name="Milliers 2 3 2 4 3 3" xfId="5245"/>
    <cellStyle name="Milliers 2 3 2 4 4" xfId="1645"/>
    <cellStyle name="Milliers 2 3 2 4 4 2" xfId="3805"/>
    <cellStyle name="Milliers 2 3 2 4 4 2 2" xfId="8125"/>
    <cellStyle name="Milliers 2 3 2 4 4 3" xfId="5965"/>
    <cellStyle name="Milliers 2 3 2 4 5" xfId="2365"/>
    <cellStyle name="Milliers 2 3 2 4 5 2" xfId="6685"/>
    <cellStyle name="Milliers 2 3 2 4 6" xfId="4525"/>
    <cellStyle name="Milliers 2 3 2 5" xfId="385"/>
    <cellStyle name="Milliers 2 3 2 5 2" xfId="1105"/>
    <cellStyle name="Milliers 2 3 2 5 2 2" xfId="3265"/>
    <cellStyle name="Milliers 2 3 2 5 2 2 2" xfId="7585"/>
    <cellStyle name="Milliers 2 3 2 5 2 3" xfId="5425"/>
    <cellStyle name="Milliers 2 3 2 5 3" xfId="1825"/>
    <cellStyle name="Milliers 2 3 2 5 3 2" xfId="3985"/>
    <cellStyle name="Milliers 2 3 2 5 3 2 2" xfId="8305"/>
    <cellStyle name="Milliers 2 3 2 5 3 3" xfId="6145"/>
    <cellStyle name="Milliers 2 3 2 5 4" xfId="2545"/>
    <cellStyle name="Milliers 2 3 2 5 4 2" xfId="6865"/>
    <cellStyle name="Milliers 2 3 2 5 5" xfId="4705"/>
    <cellStyle name="Milliers 2 3 2 6" xfId="745"/>
    <cellStyle name="Milliers 2 3 2 6 2" xfId="2905"/>
    <cellStyle name="Milliers 2 3 2 6 2 2" xfId="7225"/>
    <cellStyle name="Milliers 2 3 2 6 3" xfId="5065"/>
    <cellStyle name="Milliers 2 3 2 7" xfId="1465"/>
    <cellStyle name="Milliers 2 3 2 7 2" xfId="3625"/>
    <cellStyle name="Milliers 2 3 2 7 2 2" xfId="7945"/>
    <cellStyle name="Milliers 2 3 2 7 3" xfId="5785"/>
    <cellStyle name="Milliers 2 3 2 8" xfId="2185"/>
    <cellStyle name="Milliers 2 3 2 8 2" xfId="6505"/>
    <cellStyle name="Milliers 2 3 2 9" xfId="4345"/>
    <cellStyle name="Milliers 2 3 3" xfId="40"/>
    <cellStyle name="Milliers 2 3 3 2" xfId="85"/>
    <cellStyle name="Milliers 2 3 3 2 2" xfId="175"/>
    <cellStyle name="Milliers 2 3 3 2 2 2" xfId="355"/>
    <cellStyle name="Milliers 2 3 3 2 2 2 2" xfId="715"/>
    <cellStyle name="Milliers 2 3 3 2 2 2 2 2" xfId="1435"/>
    <cellStyle name="Milliers 2 3 3 2 2 2 2 2 2" xfId="3595"/>
    <cellStyle name="Milliers 2 3 3 2 2 2 2 2 2 2" xfId="7915"/>
    <cellStyle name="Milliers 2 3 3 2 2 2 2 2 3" xfId="5755"/>
    <cellStyle name="Milliers 2 3 3 2 2 2 2 3" xfId="2155"/>
    <cellStyle name="Milliers 2 3 3 2 2 2 2 3 2" xfId="4315"/>
    <cellStyle name="Milliers 2 3 3 2 2 2 2 3 2 2" xfId="8635"/>
    <cellStyle name="Milliers 2 3 3 2 2 2 2 3 3" xfId="6475"/>
    <cellStyle name="Milliers 2 3 3 2 2 2 2 4" xfId="2875"/>
    <cellStyle name="Milliers 2 3 3 2 2 2 2 4 2" xfId="7195"/>
    <cellStyle name="Milliers 2 3 3 2 2 2 2 5" xfId="5035"/>
    <cellStyle name="Milliers 2 3 3 2 2 2 3" xfId="1075"/>
    <cellStyle name="Milliers 2 3 3 2 2 2 3 2" xfId="3235"/>
    <cellStyle name="Milliers 2 3 3 2 2 2 3 2 2" xfId="7555"/>
    <cellStyle name="Milliers 2 3 3 2 2 2 3 3" xfId="5395"/>
    <cellStyle name="Milliers 2 3 3 2 2 2 4" xfId="1795"/>
    <cellStyle name="Milliers 2 3 3 2 2 2 4 2" xfId="3955"/>
    <cellStyle name="Milliers 2 3 3 2 2 2 4 2 2" xfId="8275"/>
    <cellStyle name="Milliers 2 3 3 2 2 2 4 3" xfId="6115"/>
    <cellStyle name="Milliers 2 3 3 2 2 2 5" xfId="2515"/>
    <cellStyle name="Milliers 2 3 3 2 2 2 5 2" xfId="6835"/>
    <cellStyle name="Milliers 2 3 3 2 2 2 6" xfId="4675"/>
    <cellStyle name="Milliers 2 3 3 2 2 3" xfId="535"/>
    <cellStyle name="Milliers 2 3 3 2 2 3 2" xfId="1255"/>
    <cellStyle name="Milliers 2 3 3 2 2 3 2 2" xfId="3415"/>
    <cellStyle name="Milliers 2 3 3 2 2 3 2 2 2" xfId="7735"/>
    <cellStyle name="Milliers 2 3 3 2 2 3 2 3" xfId="5575"/>
    <cellStyle name="Milliers 2 3 3 2 2 3 3" xfId="1975"/>
    <cellStyle name="Milliers 2 3 3 2 2 3 3 2" xfId="4135"/>
    <cellStyle name="Milliers 2 3 3 2 2 3 3 2 2" xfId="8455"/>
    <cellStyle name="Milliers 2 3 3 2 2 3 3 3" xfId="6295"/>
    <cellStyle name="Milliers 2 3 3 2 2 3 4" xfId="2695"/>
    <cellStyle name="Milliers 2 3 3 2 2 3 4 2" xfId="7015"/>
    <cellStyle name="Milliers 2 3 3 2 2 3 5" xfId="4855"/>
    <cellStyle name="Milliers 2 3 3 2 2 4" xfId="895"/>
    <cellStyle name="Milliers 2 3 3 2 2 4 2" xfId="3055"/>
    <cellStyle name="Milliers 2 3 3 2 2 4 2 2" xfId="7375"/>
    <cellStyle name="Milliers 2 3 3 2 2 4 3" xfId="5215"/>
    <cellStyle name="Milliers 2 3 3 2 2 5" xfId="1615"/>
    <cellStyle name="Milliers 2 3 3 2 2 5 2" xfId="3775"/>
    <cellStyle name="Milliers 2 3 3 2 2 5 2 2" xfId="8095"/>
    <cellStyle name="Milliers 2 3 3 2 2 5 3" xfId="5935"/>
    <cellStyle name="Milliers 2 3 3 2 2 6" xfId="2335"/>
    <cellStyle name="Milliers 2 3 3 2 2 6 2" xfId="6655"/>
    <cellStyle name="Milliers 2 3 3 2 2 7" xfId="4495"/>
    <cellStyle name="Milliers 2 3 3 2 3" xfId="265"/>
    <cellStyle name="Milliers 2 3 3 2 3 2" xfId="625"/>
    <cellStyle name="Milliers 2 3 3 2 3 2 2" xfId="1345"/>
    <cellStyle name="Milliers 2 3 3 2 3 2 2 2" xfId="3505"/>
    <cellStyle name="Milliers 2 3 3 2 3 2 2 2 2" xfId="7825"/>
    <cellStyle name="Milliers 2 3 3 2 3 2 2 3" xfId="5665"/>
    <cellStyle name="Milliers 2 3 3 2 3 2 3" xfId="2065"/>
    <cellStyle name="Milliers 2 3 3 2 3 2 3 2" xfId="4225"/>
    <cellStyle name="Milliers 2 3 3 2 3 2 3 2 2" xfId="8545"/>
    <cellStyle name="Milliers 2 3 3 2 3 2 3 3" xfId="6385"/>
    <cellStyle name="Milliers 2 3 3 2 3 2 4" xfId="2785"/>
    <cellStyle name="Milliers 2 3 3 2 3 2 4 2" xfId="7105"/>
    <cellStyle name="Milliers 2 3 3 2 3 2 5" xfId="4945"/>
    <cellStyle name="Milliers 2 3 3 2 3 3" xfId="985"/>
    <cellStyle name="Milliers 2 3 3 2 3 3 2" xfId="3145"/>
    <cellStyle name="Milliers 2 3 3 2 3 3 2 2" xfId="7465"/>
    <cellStyle name="Milliers 2 3 3 2 3 3 3" xfId="5305"/>
    <cellStyle name="Milliers 2 3 3 2 3 4" xfId="1705"/>
    <cellStyle name="Milliers 2 3 3 2 3 4 2" xfId="3865"/>
    <cellStyle name="Milliers 2 3 3 2 3 4 2 2" xfId="8185"/>
    <cellStyle name="Milliers 2 3 3 2 3 4 3" xfId="6025"/>
    <cellStyle name="Milliers 2 3 3 2 3 5" xfId="2425"/>
    <cellStyle name="Milliers 2 3 3 2 3 5 2" xfId="6745"/>
    <cellStyle name="Milliers 2 3 3 2 3 6" xfId="4585"/>
    <cellStyle name="Milliers 2 3 3 2 4" xfId="445"/>
    <cellStyle name="Milliers 2 3 3 2 4 2" xfId="1165"/>
    <cellStyle name="Milliers 2 3 3 2 4 2 2" xfId="3325"/>
    <cellStyle name="Milliers 2 3 3 2 4 2 2 2" xfId="7645"/>
    <cellStyle name="Milliers 2 3 3 2 4 2 3" xfId="5485"/>
    <cellStyle name="Milliers 2 3 3 2 4 3" xfId="1885"/>
    <cellStyle name="Milliers 2 3 3 2 4 3 2" xfId="4045"/>
    <cellStyle name="Milliers 2 3 3 2 4 3 2 2" xfId="8365"/>
    <cellStyle name="Milliers 2 3 3 2 4 3 3" xfId="6205"/>
    <cellStyle name="Milliers 2 3 3 2 4 4" xfId="2605"/>
    <cellStyle name="Milliers 2 3 3 2 4 4 2" xfId="6925"/>
    <cellStyle name="Milliers 2 3 3 2 4 5" xfId="4765"/>
    <cellStyle name="Milliers 2 3 3 2 5" xfId="805"/>
    <cellStyle name="Milliers 2 3 3 2 5 2" xfId="2965"/>
    <cellStyle name="Milliers 2 3 3 2 5 2 2" xfId="7285"/>
    <cellStyle name="Milliers 2 3 3 2 5 3" xfId="5125"/>
    <cellStyle name="Milliers 2 3 3 2 6" xfId="1525"/>
    <cellStyle name="Milliers 2 3 3 2 6 2" xfId="3685"/>
    <cellStyle name="Milliers 2 3 3 2 6 2 2" xfId="8005"/>
    <cellStyle name="Milliers 2 3 3 2 6 3" xfId="5845"/>
    <cellStyle name="Milliers 2 3 3 2 7" xfId="2245"/>
    <cellStyle name="Milliers 2 3 3 2 7 2" xfId="6565"/>
    <cellStyle name="Milliers 2 3 3 2 8" xfId="4405"/>
    <cellStyle name="Milliers 2 3 3 3" xfId="130"/>
    <cellStyle name="Milliers 2 3 3 3 2" xfId="310"/>
    <cellStyle name="Milliers 2 3 3 3 2 2" xfId="670"/>
    <cellStyle name="Milliers 2 3 3 3 2 2 2" xfId="1390"/>
    <cellStyle name="Milliers 2 3 3 3 2 2 2 2" xfId="3550"/>
    <cellStyle name="Milliers 2 3 3 3 2 2 2 2 2" xfId="7870"/>
    <cellStyle name="Milliers 2 3 3 3 2 2 2 3" xfId="5710"/>
    <cellStyle name="Milliers 2 3 3 3 2 2 3" xfId="2110"/>
    <cellStyle name="Milliers 2 3 3 3 2 2 3 2" xfId="4270"/>
    <cellStyle name="Milliers 2 3 3 3 2 2 3 2 2" xfId="8590"/>
    <cellStyle name="Milliers 2 3 3 3 2 2 3 3" xfId="6430"/>
    <cellStyle name="Milliers 2 3 3 3 2 2 4" xfId="2830"/>
    <cellStyle name="Milliers 2 3 3 3 2 2 4 2" xfId="7150"/>
    <cellStyle name="Milliers 2 3 3 3 2 2 5" xfId="4990"/>
    <cellStyle name="Milliers 2 3 3 3 2 3" xfId="1030"/>
    <cellStyle name="Milliers 2 3 3 3 2 3 2" xfId="3190"/>
    <cellStyle name="Milliers 2 3 3 3 2 3 2 2" xfId="7510"/>
    <cellStyle name="Milliers 2 3 3 3 2 3 3" xfId="5350"/>
    <cellStyle name="Milliers 2 3 3 3 2 4" xfId="1750"/>
    <cellStyle name="Milliers 2 3 3 3 2 4 2" xfId="3910"/>
    <cellStyle name="Milliers 2 3 3 3 2 4 2 2" xfId="8230"/>
    <cellStyle name="Milliers 2 3 3 3 2 4 3" xfId="6070"/>
    <cellStyle name="Milliers 2 3 3 3 2 5" xfId="2470"/>
    <cellStyle name="Milliers 2 3 3 3 2 5 2" xfId="6790"/>
    <cellStyle name="Milliers 2 3 3 3 2 6" xfId="4630"/>
    <cellStyle name="Milliers 2 3 3 3 3" xfId="490"/>
    <cellStyle name="Milliers 2 3 3 3 3 2" xfId="1210"/>
    <cellStyle name="Milliers 2 3 3 3 3 2 2" xfId="3370"/>
    <cellStyle name="Milliers 2 3 3 3 3 2 2 2" xfId="7690"/>
    <cellStyle name="Milliers 2 3 3 3 3 2 3" xfId="5530"/>
    <cellStyle name="Milliers 2 3 3 3 3 3" xfId="1930"/>
    <cellStyle name="Milliers 2 3 3 3 3 3 2" xfId="4090"/>
    <cellStyle name="Milliers 2 3 3 3 3 3 2 2" xfId="8410"/>
    <cellStyle name="Milliers 2 3 3 3 3 3 3" xfId="6250"/>
    <cellStyle name="Milliers 2 3 3 3 3 4" xfId="2650"/>
    <cellStyle name="Milliers 2 3 3 3 3 4 2" xfId="6970"/>
    <cellStyle name="Milliers 2 3 3 3 3 5" xfId="4810"/>
    <cellStyle name="Milliers 2 3 3 3 4" xfId="850"/>
    <cellStyle name="Milliers 2 3 3 3 4 2" xfId="3010"/>
    <cellStyle name="Milliers 2 3 3 3 4 2 2" xfId="7330"/>
    <cellStyle name="Milliers 2 3 3 3 4 3" xfId="5170"/>
    <cellStyle name="Milliers 2 3 3 3 5" xfId="1570"/>
    <cellStyle name="Milliers 2 3 3 3 5 2" xfId="3730"/>
    <cellStyle name="Milliers 2 3 3 3 5 2 2" xfId="8050"/>
    <cellStyle name="Milliers 2 3 3 3 5 3" xfId="5890"/>
    <cellStyle name="Milliers 2 3 3 3 6" xfId="2290"/>
    <cellStyle name="Milliers 2 3 3 3 6 2" xfId="6610"/>
    <cellStyle name="Milliers 2 3 3 3 7" xfId="4450"/>
    <cellStyle name="Milliers 2 3 3 4" xfId="220"/>
    <cellStyle name="Milliers 2 3 3 4 2" xfId="580"/>
    <cellStyle name="Milliers 2 3 3 4 2 2" xfId="1300"/>
    <cellStyle name="Milliers 2 3 3 4 2 2 2" xfId="3460"/>
    <cellStyle name="Milliers 2 3 3 4 2 2 2 2" xfId="7780"/>
    <cellStyle name="Milliers 2 3 3 4 2 2 3" xfId="5620"/>
    <cellStyle name="Milliers 2 3 3 4 2 3" xfId="2020"/>
    <cellStyle name="Milliers 2 3 3 4 2 3 2" xfId="4180"/>
    <cellStyle name="Milliers 2 3 3 4 2 3 2 2" xfId="8500"/>
    <cellStyle name="Milliers 2 3 3 4 2 3 3" xfId="6340"/>
    <cellStyle name="Milliers 2 3 3 4 2 4" xfId="2740"/>
    <cellStyle name="Milliers 2 3 3 4 2 4 2" xfId="7060"/>
    <cellStyle name="Milliers 2 3 3 4 2 5" xfId="4900"/>
    <cellStyle name="Milliers 2 3 3 4 3" xfId="940"/>
    <cellStyle name="Milliers 2 3 3 4 3 2" xfId="3100"/>
    <cellStyle name="Milliers 2 3 3 4 3 2 2" xfId="7420"/>
    <cellStyle name="Milliers 2 3 3 4 3 3" xfId="5260"/>
    <cellStyle name="Milliers 2 3 3 4 4" xfId="1660"/>
    <cellStyle name="Milliers 2 3 3 4 4 2" xfId="3820"/>
    <cellStyle name="Milliers 2 3 3 4 4 2 2" xfId="8140"/>
    <cellStyle name="Milliers 2 3 3 4 4 3" xfId="5980"/>
    <cellStyle name="Milliers 2 3 3 4 5" xfId="2380"/>
    <cellStyle name="Milliers 2 3 3 4 5 2" xfId="6700"/>
    <cellStyle name="Milliers 2 3 3 4 6" xfId="4540"/>
    <cellStyle name="Milliers 2 3 3 5" xfId="400"/>
    <cellStyle name="Milliers 2 3 3 5 2" xfId="1120"/>
    <cellStyle name="Milliers 2 3 3 5 2 2" xfId="3280"/>
    <cellStyle name="Milliers 2 3 3 5 2 2 2" xfId="7600"/>
    <cellStyle name="Milliers 2 3 3 5 2 3" xfId="5440"/>
    <cellStyle name="Milliers 2 3 3 5 3" xfId="1840"/>
    <cellStyle name="Milliers 2 3 3 5 3 2" xfId="4000"/>
    <cellStyle name="Milliers 2 3 3 5 3 2 2" xfId="8320"/>
    <cellStyle name="Milliers 2 3 3 5 3 3" xfId="6160"/>
    <cellStyle name="Milliers 2 3 3 5 4" xfId="2560"/>
    <cellStyle name="Milliers 2 3 3 5 4 2" xfId="6880"/>
    <cellStyle name="Milliers 2 3 3 5 5" xfId="4720"/>
    <cellStyle name="Milliers 2 3 3 6" xfId="760"/>
    <cellStyle name="Milliers 2 3 3 6 2" xfId="2920"/>
    <cellStyle name="Milliers 2 3 3 6 2 2" xfId="7240"/>
    <cellStyle name="Milliers 2 3 3 6 3" xfId="5080"/>
    <cellStyle name="Milliers 2 3 3 7" xfId="1480"/>
    <cellStyle name="Milliers 2 3 3 7 2" xfId="3640"/>
    <cellStyle name="Milliers 2 3 3 7 2 2" xfId="7960"/>
    <cellStyle name="Milliers 2 3 3 7 3" xfId="5800"/>
    <cellStyle name="Milliers 2 3 3 8" xfId="2200"/>
    <cellStyle name="Milliers 2 3 3 8 2" xfId="6520"/>
    <cellStyle name="Milliers 2 3 3 9" xfId="4360"/>
    <cellStyle name="Milliers 2 3 4" xfId="55"/>
    <cellStyle name="Milliers 2 3 4 2" xfId="145"/>
    <cellStyle name="Milliers 2 3 4 2 2" xfId="325"/>
    <cellStyle name="Milliers 2 3 4 2 2 2" xfId="685"/>
    <cellStyle name="Milliers 2 3 4 2 2 2 2" xfId="1405"/>
    <cellStyle name="Milliers 2 3 4 2 2 2 2 2" xfId="3565"/>
    <cellStyle name="Milliers 2 3 4 2 2 2 2 2 2" xfId="7885"/>
    <cellStyle name="Milliers 2 3 4 2 2 2 2 3" xfId="5725"/>
    <cellStyle name="Milliers 2 3 4 2 2 2 3" xfId="2125"/>
    <cellStyle name="Milliers 2 3 4 2 2 2 3 2" xfId="4285"/>
    <cellStyle name="Milliers 2 3 4 2 2 2 3 2 2" xfId="8605"/>
    <cellStyle name="Milliers 2 3 4 2 2 2 3 3" xfId="6445"/>
    <cellStyle name="Milliers 2 3 4 2 2 2 4" xfId="2845"/>
    <cellStyle name="Milliers 2 3 4 2 2 2 4 2" xfId="7165"/>
    <cellStyle name="Milliers 2 3 4 2 2 2 5" xfId="5005"/>
    <cellStyle name="Milliers 2 3 4 2 2 3" xfId="1045"/>
    <cellStyle name="Milliers 2 3 4 2 2 3 2" xfId="3205"/>
    <cellStyle name="Milliers 2 3 4 2 2 3 2 2" xfId="7525"/>
    <cellStyle name="Milliers 2 3 4 2 2 3 3" xfId="5365"/>
    <cellStyle name="Milliers 2 3 4 2 2 4" xfId="1765"/>
    <cellStyle name="Milliers 2 3 4 2 2 4 2" xfId="3925"/>
    <cellStyle name="Milliers 2 3 4 2 2 4 2 2" xfId="8245"/>
    <cellStyle name="Milliers 2 3 4 2 2 4 3" xfId="6085"/>
    <cellStyle name="Milliers 2 3 4 2 2 5" xfId="2485"/>
    <cellStyle name="Milliers 2 3 4 2 2 5 2" xfId="6805"/>
    <cellStyle name="Milliers 2 3 4 2 2 6" xfId="4645"/>
    <cellStyle name="Milliers 2 3 4 2 3" xfId="505"/>
    <cellStyle name="Milliers 2 3 4 2 3 2" xfId="1225"/>
    <cellStyle name="Milliers 2 3 4 2 3 2 2" xfId="3385"/>
    <cellStyle name="Milliers 2 3 4 2 3 2 2 2" xfId="7705"/>
    <cellStyle name="Milliers 2 3 4 2 3 2 3" xfId="5545"/>
    <cellStyle name="Milliers 2 3 4 2 3 3" xfId="1945"/>
    <cellStyle name="Milliers 2 3 4 2 3 3 2" xfId="4105"/>
    <cellStyle name="Milliers 2 3 4 2 3 3 2 2" xfId="8425"/>
    <cellStyle name="Milliers 2 3 4 2 3 3 3" xfId="6265"/>
    <cellStyle name="Milliers 2 3 4 2 3 4" xfId="2665"/>
    <cellStyle name="Milliers 2 3 4 2 3 4 2" xfId="6985"/>
    <cellStyle name="Milliers 2 3 4 2 3 5" xfId="4825"/>
    <cellStyle name="Milliers 2 3 4 2 4" xfId="865"/>
    <cellStyle name="Milliers 2 3 4 2 4 2" xfId="3025"/>
    <cellStyle name="Milliers 2 3 4 2 4 2 2" xfId="7345"/>
    <cellStyle name="Milliers 2 3 4 2 4 3" xfId="5185"/>
    <cellStyle name="Milliers 2 3 4 2 5" xfId="1585"/>
    <cellStyle name="Milliers 2 3 4 2 5 2" xfId="3745"/>
    <cellStyle name="Milliers 2 3 4 2 5 2 2" xfId="8065"/>
    <cellStyle name="Milliers 2 3 4 2 5 3" xfId="5905"/>
    <cellStyle name="Milliers 2 3 4 2 6" xfId="2305"/>
    <cellStyle name="Milliers 2 3 4 2 6 2" xfId="6625"/>
    <cellStyle name="Milliers 2 3 4 2 7" xfId="4465"/>
    <cellStyle name="Milliers 2 3 4 3" xfId="235"/>
    <cellStyle name="Milliers 2 3 4 3 2" xfId="595"/>
    <cellStyle name="Milliers 2 3 4 3 2 2" xfId="1315"/>
    <cellStyle name="Milliers 2 3 4 3 2 2 2" xfId="3475"/>
    <cellStyle name="Milliers 2 3 4 3 2 2 2 2" xfId="7795"/>
    <cellStyle name="Milliers 2 3 4 3 2 2 3" xfId="5635"/>
    <cellStyle name="Milliers 2 3 4 3 2 3" xfId="2035"/>
    <cellStyle name="Milliers 2 3 4 3 2 3 2" xfId="4195"/>
    <cellStyle name="Milliers 2 3 4 3 2 3 2 2" xfId="8515"/>
    <cellStyle name="Milliers 2 3 4 3 2 3 3" xfId="6355"/>
    <cellStyle name="Milliers 2 3 4 3 2 4" xfId="2755"/>
    <cellStyle name="Milliers 2 3 4 3 2 4 2" xfId="7075"/>
    <cellStyle name="Milliers 2 3 4 3 2 5" xfId="4915"/>
    <cellStyle name="Milliers 2 3 4 3 3" xfId="955"/>
    <cellStyle name="Milliers 2 3 4 3 3 2" xfId="3115"/>
    <cellStyle name="Milliers 2 3 4 3 3 2 2" xfId="7435"/>
    <cellStyle name="Milliers 2 3 4 3 3 3" xfId="5275"/>
    <cellStyle name="Milliers 2 3 4 3 4" xfId="1675"/>
    <cellStyle name="Milliers 2 3 4 3 4 2" xfId="3835"/>
    <cellStyle name="Milliers 2 3 4 3 4 2 2" xfId="8155"/>
    <cellStyle name="Milliers 2 3 4 3 4 3" xfId="5995"/>
    <cellStyle name="Milliers 2 3 4 3 5" xfId="2395"/>
    <cellStyle name="Milliers 2 3 4 3 5 2" xfId="6715"/>
    <cellStyle name="Milliers 2 3 4 3 6" xfId="4555"/>
    <cellStyle name="Milliers 2 3 4 4" xfId="415"/>
    <cellStyle name="Milliers 2 3 4 4 2" xfId="1135"/>
    <cellStyle name="Milliers 2 3 4 4 2 2" xfId="3295"/>
    <cellStyle name="Milliers 2 3 4 4 2 2 2" xfId="7615"/>
    <cellStyle name="Milliers 2 3 4 4 2 3" xfId="5455"/>
    <cellStyle name="Milliers 2 3 4 4 3" xfId="1855"/>
    <cellStyle name="Milliers 2 3 4 4 3 2" xfId="4015"/>
    <cellStyle name="Milliers 2 3 4 4 3 2 2" xfId="8335"/>
    <cellStyle name="Milliers 2 3 4 4 3 3" xfId="6175"/>
    <cellStyle name="Milliers 2 3 4 4 4" xfId="2575"/>
    <cellStyle name="Milliers 2 3 4 4 4 2" xfId="6895"/>
    <cellStyle name="Milliers 2 3 4 4 5" xfId="4735"/>
    <cellStyle name="Milliers 2 3 4 5" xfId="775"/>
    <cellStyle name="Milliers 2 3 4 5 2" xfId="2935"/>
    <cellStyle name="Milliers 2 3 4 5 2 2" xfId="7255"/>
    <cellStyle name="Milliers 2 3 4 5 3" xfId="5095"/>
    <cellStyle name="Milliers 2 3 4 6" xfId="1495"/>
    <cellStyle name="Milliers 2 3 4 6 2" xfId="3655"/>
    <cellStyle name="Milliers 2 3 4 6 2 2" xfId="7975"/>
    <cellStyle name="Milliers 2 3 4 6 3" xfId="5815"/>
    <cellStyle name="Milliers 2 3 4 7" xfId="2215"/>
    <cellStyle name="Milliers 2 3 4 7 2" xfId="6535"/>
    <cellStyle name="Milliers 2 3 4 8" xfId="4375"/>
    <cellStyle name="Milliers 2 3 5" xfId="100"/>
    <cellStyle name="Milliers 2 3 5 2" xfId="280"/>
    <cellStyle name="Milliers 2 3 5 2 2" xfId="640"/>
    <cellStyle name="Milliers 2 3 5 2 2 2" xfId="1360"/>
    <cellStyle name="Milliers 2 3 5 2 2 2 2" xfId="3520"/>
    <cellStyle name="Milliers 2 3 5 2 2 2 2 2" xfId="7840"/>
    <cellStyle name="Milliers 2 3 5 2 2 2 3" xfId="5680"/>
    <cellStyle name="Milliers 2 3 5 2 2 3" xfId="2080"/>
    <cellStyle name="Milliers 2 3 5 2 2 3 2" xfId="4240"/>
    <cellStyle name="Milliers 2 3 5 2 2 3 2 2" xfId="8560"/>
    <cellStyle name="Milliers 2 3 5 2 2 3 3" xfId="6400"/>
    <cellStyle name="Milliers 2 3 5 2 2 4" xfId="2800"/>
    <cellStyle name="Milliers 2 3 5 2 2 4 2" xfId="7120"/>
    <cellStyle name="Milliers 2 3 5 2 2 5" xfId="4960"/>
    <cellStyle name="Milliers 2 3 5 2 3" xfId="1000"/>
    <cellStyle name="Milliers 2 3 5 2 3 2" xfId="3160"/>
    <cellStyle name="Milliers 2 3 5 2 3 2 2" xfId="7480"/>
    <cellStyle name="Milliers 2 3 5 2 3 3" xfId="5320"/>
    <cellStyle name="Milliers 2 3 5 2 4" xfId="1720"/>
    <cellStyle name="Milliers 2 3 5 2 4 2" xfId="3880"/>
    <cellStyle name="Milliers 2 3 5 2 4 2 2" xfId="8200"/>
    <cellStyle name="Milliers 2 3 5 2 4 3" xfId="6040"/>
    <cellStyle name="Milliers 2 3 5 2 5" xfId="2440"/>
    <cellStyle name="Milliers 2 3 5 2 5 2" xfId="6760"/>
    <cellStyle name="Milliers 2 3 5 2 6" xfId="4600"/>
    <cellStyle name="Milliers 2 3 5 3" xfId="460"/>
    <cellStyle name="Milliers 2 3 5 3 2" xfId="1180"/>
    <cellStyle name="Milliers 2 3 5 3 2 2" xfId="3340"/>
    <cellStyle name="Milliers 2 3 5 3 2 2 2" xfId="7660"/>
    <cellStyle name="Milliers 2 3 5 3 2 3" xfId="5500"/>
    <cellStyle name="Milliers 2 3 5 3 3" xfId="1900"/>
    <cellStyle name="Milliers 2 3 5 3 3 2" xfId="4060"/>
    <cellStyle name="Milliers 2 3 5 3 3 2 2" xfId="8380"/>
    <cellStyle name="Milliers 2 3 5 3 3 3" xfId="6220"/>
    <cellStyle name="Milliers 2 3 5 3 4" xfId="2620"/>
    <cellStyle name="Milliers 2 3 5 3 4 2" xfId="6940"/>
    <cellStyle name="Milliers 2 3 5 3 5" xfId="4780"/>
    <cellStyle name="Milliers 2 3 5 4" xfId="820"/>
    <cellStyle name="Milliers 2 3 5 4 2" xfId="2980"/>
    <cellStyle name="Milliers 2 3 5 4 2 2" xfId="7300"/>
    <cellStyle name="Milliers 2 3 5 4 3" xfId="5140"/>
    <cellStyle name="Milliers 2 3 5 5" xfId="1540"/>
    <cellStyle name="Milliers 2 3 5 5 2" xfId="3700"/>
    <cellStyle name="Milliers 2 3 5 5 2 2" xfId="8020"/>
    <cellStyle name="Milliers 2 3 5 5 3" xfId="5860"/>
    <cellStyle name="Milliers 2 3 5 6" xfId="2260"/>
    <cellStyle name="Milliers 2 3 5 6 2" xfId="6580"/>
    <cellStyle name="Milliers 2 3 5 7" xfId="4420"/>
    <cellStyle name="Milliers 2 3 6" xfId="190"/>
    <cellStyle name="Milliers 2 3 6 2" xfId="550"/>
    <cellStyle name="Milliers 2 3 6 2 2" xfId="1270"/>
    <cellStyle name="Milliers 2 3 6 2 2 2" xfId="3430"/>
    <cellStyle name="Milliers 2 3 6 2 2 2 2" xfId="7750"/>
    <cellStyle name="Milliers 2 3 6 2 2 3" xfId="5590"/>
    <cellStyle name="Milliers 2 3 6 2 3" xfId="1990"/>
    <cellStyle name="Milliers 2 3 6 2 3 2" xfId="4150"/>
    <cellStyle name="Milliers 2 3 6 2 3 2 2" xfId="8470"/>
    <cellStyle name="Milliers 2 3 6 2 3 3" xfId="6310"/>
    <cellStyle name="Milliers 2 3 6 2 4" xfId="2710"/>
    <cellStyle name="Milliers 2 3 6 2 4 2" xfId="7030"/>
    <cellStyle name="Milliers 2 3 6 2 5" xfId="4870"/>
    <cellStyle name="Milliers 2 3 6 3" xfId="910"/>
    <cellStyle name="Milliers 2 3 6 3 2" xfId="3070"/>
    <cellStyle name="Milliers 2 3 6 3 2 2" xfId="7390"/>
    <cellStyle name="Milliers 2 3 6 3 3" xfId="5230"/>
    <cellStyle name="Milliers 2 3 6 4" xfId="1630"/>
    <cellStyle name="Milliers 2 3 6 4 2" xfId="3790"/>
    <cellStyle name="Milliers 2 3 6 4 2 2" xfId="8110"/>
    <cellStyle name="Milliers 2 3 6 4 3" xfId="5950"/>
    <cellStyle name="Milliers 2 3 6 5" xfId="2350"/>
    <cellStyle name="Milliers 2 3 6 5 2" xfId="6670"/>
    <cellStyle name="Milliers 2 3 6 6" xfId="4510"/>
    <cellStyle name="Milliers 2 3 7" xfId="370"/>
    <cellStyle name="Milliers 2 3 7 2" xfId="1090"/>
    <cellStyle name="Milliers 2 3 7 2 2" xfId="3250"/>
    <cellStyle name="Milliers 2 3 7 2 2 2" xfId="7570"/>
    <cellStyle name="Milliers 2 3 7 2 3" xfId="5410"/>
    <cellStyle name="Milliers 2 3 7 3" xfId="1810"/>
    <cellStyle name="Milliers 2 3 7 3 2" xfId="3970"/>
    <cellStyle name="Milliers 2 3 7 3 2 2" xfId="8290"/>
    <cellStyle name="Milliers 2 3 7 3 3" xfId="6130"/>
    <cellStyle name="Milliers 2 3 7 4" xfId="2530"/>
    <cellStyle name="Milliers 2 3 7 4 2" xfId="6850"/>
    <cellStyle name="Milliers 2 3 7 5" xfId="4690"/>
    <cellStyle name="Milliers 2 3 8" xfId="730"/>
    <cellStyle name="Milliers 2 3 8 2" xfId="2890"/>
    <cellStyle name="Milliers 2 3 8 2 2" xfId="7210"/>
    <cellStyle name="Milliers 2 3 8 3" xfId="5050"/>
    <cellStyle name="Milliers 2 3 9" xfId="1450"/>
    <cellStyle name="Milliers 2 3 9 2" xfId="3610"/>
    <cellStyle name="Milliers 2 3 9 2 2" xfId="7930"/>
    <cellStyle name="Milliers 2 3 9 3" xfId="5770"/>
    <cellStyle name="Milliers 2 4" xfId="16"/>
    <cellStyle name="Milliers 2 4 10" xfId="2176"/>
    <cellStyle name="Milliers 2 4 10 2" xfId="6496"/>
    <cellStyle name="Milliers 2 4 11" xfId="4336"/>
    <cellStyle name="Milliers 2 4 2" xfId="31"/>
    <cellStyle name="Milliers 2 4 2 2" xfId="76"/>
    <cellStyle name="Milliers 2 4 2 2 2" xfId="166"/>
    <cellStyle name="Milliers 2 4 2 2 2 2" xfId="346"/>
    <cellStyle name="Milliers 2 4 2 2 2 2 2" xfId="706"/>
    <cellStyle name="Milliers 2 4 2 2 2 2 2 2" xfId="1426"/>
    <cellStyle name="Milliers 2 4 2 2 2 2 2 2 2" xfId="3586"/>
    <cellStyle name="Milliers 2 4 2 2 2 2 2 2 2 2" xfId="7906"/>
    <cellStyle name="Milliers 2 4 2 2 2 2 2 2 3" xfId="5746"/>
    <cellStyle name="Milliers 2 4 2 2 2 2 2 3" xfId="2146"/>
    <cellStyle name="Milliers 2 4 2 2 2 2 2 3 2" xfId="4306"/>
    <cellStyle name="Milliers 2 4 2 2 2 2 2 3 2 2" xfId="8626"/>
    <cellStyle name="Milliers 2 4 2 2 2 2 2 3 3" xfId="6466"/>
    <cellStyle name="Milliers 2 4 2 2 2 2 2 4" xfId="2866"/>
    <cellStyle name="Milliers 2 4 2 2 2 2 2 4 2" xfId="7186"/>
    <cellStyle name="Milliers 2 4 2 2 2 2 2 5" xfId="5026"/>
    <cellStyle name="Milliers 2 4 2 2 2 2 3" xfId="1066"/>
    <cellStyle name="Milliers 2 4 2 2 2 2 3 2" xfId="3226"/>
    <cellStyle name="Milliers 2 4 2 2 2 2 3 2 2" xfId="7546"/>
    <cellStyle name="Milliers 2 4 2 2 2 2 3 3" xfId="5386"/>
    <cellStyle name="Milliers 2 4 2 2 2 2 4" xfId="1786"/>
    <cellStyle name="Milliers 2 4 2 2 2 2 4 2" xfId="3946"/>
    <cellStyle name="Milliers 2 4 2 2 2 2 4 2 2" xfId="8266"/>
    <cellStyle name="Milliers 2 4 2 2 2 2 4 3" xfId="6106"/>
    <cellStyle name="Milliers 2 4 2 2 2 2 5" xfId="2506"/>
    <cellStyle name="Milliers 2 4 2 2 2 2 5 2" xfId="6826"/>
    <cellStyle name="Milliers 2 4 2 2 2 2 6" xfId="4666"/>
    <cellStyle name="Milliers 2 4 2 2 2 3" xfId="526"/>
    <cellStyle name="Milliers 2 4 2 2 2 3 2" xfId="1246"/>
    <cellStyle name="Milliers 2 4 2 2 2 3 2 2" xfId="3406"/>
    <cellStyle name="Milliers 2 4 2 2 2 3 2 2 2" xfId="7726"/>
    <cellStyle name="Milliers 2 4 2 2 2 3 2 3" xfId="5566"/>
    <cellStyle name="Milliers 2 4 2 2 2 3 3" xfId="1966"/>
    <cellStyle name="Milliers 2 4 2 2 2 3 3 2" xfId="4126"/>
    <cellStyle name="Milliers 2 4 2 2 2 3 3 2 2" xfId="8446"/>
    <cellStyle name="Milliers 2 4 2 2 2 3 3 3" xfId="6286"/>
    <cellStyle name="Milliers 2 4 2 2 2 3 4" xfId="2686"/>
    <cellStyle name="Milliers 2 4 2 2 2 3 4 2" xfId="7006"/>
    <cellStyle name="Milliers 2 4 2 2 2 3 5" xfId="4846"/>
    <cellStyle name="Milliers 2 4 2 2 2 4" xfId="886"/>
    <cellStyle name="Milliers 2 4 2 2 2 4 2" xfId="3046"/>
    <cellStyle name="Milliers 2 4 2 2 2 4 2 2" xfId="7366"/>
    <cellStyle name="Milliers 2 4 2 2 2 4 3" xfId="5206"/>
    <cellStyle name="Milliers 2 4 2 2 2 5" xfId="1606"/>
    <cellStyle name="Milliers 2 4 2 2 2 5 2" xfId="3766"/>
    <cellStyle name="Milliers 2 4 2 2 2 5 2 2" xfId="8086"/>
    <cellStyle name="Milliers 2 4 2 2 2 5 3" xfId="5926"/>
    <cellStyle name="Milliers 2 4 2 2 2 6" xfId="2326"/>
    <cellStyle name="Milliers 2 4 2 2 2 6 2" xfId="6646"/>
    <cellStyle name="Milliers 2 4 2 2 2 7" xfId="4486"/>
    <cellStyle name="Milliers 2 4 2 2 3" xfId="256"/>
    <cellStyle name="Milliers 2 4 2 2 3 2" xfId="616"/>
    <cellStyle name="Milliers 2 4 2 2 3 2 2" xfId="1336"/>
    <cellStyle name="Milliers 2 4 2 2 3 2 2 2" xfId="3496"/>
    <cellStyle name="Milliers 2 4 2 2 3 2 2 2 2" xfId="7816"/>
    <cellStyle name="Milliers 2 4 2 2 3 2 2 3" xfId="5656"/>
    <cellStyle name="Milliers 2 4 2 2 3 2 3" xfId="2056"/>
    <cellStyle name="Milliers 2 4 2 2 3 2 3 2" xfId="4216"/>
    <cellStyle name="Milliers 2 4 2 2 3 2 3 2 2" xfId="8536"/>
    <cellStyle name="Milliers 2 4 2 2 3 2 3 3" xfId="6376"/>
    <cellStyle name="Milliers 2 4 2 2 3 2 4" xfId="2776"/>
    <cellStyle name="Milliers 2 4 2 2 3 2 4 2" xfId="7096"/>
    <cellStyle name="Milliers 2 4 2 2 3 2 5" xfId="4936"/>
    <cellStyle name="Milliers 2 4 2 2 3 3" xfId="976"/>
    <cellStyle name="Milliers 2 4 2 2 3 3 2" xfId="3136"/>
    <cellStyle name="Milliers 2 4 2 2 3 3 2 2" xfId="7456"/>
    <cellStyle name="Milliers 2 4 2 2 3 3 3" xfId="5296"/>
    <cellStyle name="Milliers 2 4 2 2 3 4" xfId="1696"/>
    <cellStyle name="Milliers 2 4 2 2 3 4 2" xfId="3856"/>
    <cellStyle name="Milliers 2 4 2 2 3 4 2 2" xfId="8176"/>
    <cellStyle name="Milliers 2 4 2 2 3 4 3" xfId="6016"/>
    <cellStyle name="Milliers 2 4 2 2 3 5" xfId="2416"/>
    <cellStyle name="Milliers 2 4 2 2 3 5 2" xfId="6736"/>
    <cellStyle name="Milliers 2 4 2 2 3 6" xfId="4576"/>
    <cellStyle name="Milliers 2 4 2 2 4" xfId="436"/>
    <cellStyle name="Milliers 2 4 2 2 4 2" xfId="1156"/>
    <cellStyle name="Milliers 2 4 2 2 4 2 2" xfId="3316"/>
    <cellStyle name="Milliers 2 4 2 2 4 2 2 2" xfId="7636"/>
    <cellStyle name="Milliers 2 4 2 2 4 2 3" xfId="5476"/>
    <cellStyle name="Milliers 2 4 2 2 4 3" xfId="1876"/>
    <cellStyle name="Milliers 2 4 2 2 4 3 2" xfId="4036"/>
    <cellStyle name="Milliers 2 4 2 2 4 3 2 2" xfId="8356"/>
    <cellStyle name="Milliers 2 4 2 2 4 3 3" xfId="6196"/>
    <cellStyle name="Milliers 2 4 2 2 4 4" xfId="2596"/>
    <cellStyle name="Milliers 2 4 2 2 4 4 2" xfId="6916"/>
    <cellStyle name="Milliers 2 4 2 2 4 5" xfId="4756"/>
    <cellStyle name="Milliers 2 4 2 2 5" xfId="796"/>
    <cellStyle name="Milliers 2 4 2 2 5 2" xfId="2956"/>
    <cellStyle name="Milliers 2 4 2 2 5 2 2" xfId="7276"/>
    <cellStyle name="Milliers 2 4 2 2 5 3" xfId="5116"/>
    <cellStyle name="Milliers 2 4 2 2 6" xfId="1516"/>
    <cellStyle name="Milliers 2 4 2 2 6 2" xfId="3676"/>
    <cellStyle name="Milliers 2 4 2 2 6 2 2" xfId="7996"/>
    <cellStyle name="Milliers 2 4 2 2 6 3" xfId="5836"/>
    <cellStyle name="Milliers 2 4 2 2 7" xfId="2236"/>
    <cellStyle name="Milliers 2 4 2 2 7 2" xfId="6556"/>
    <cellStyle name="Milliers 2 4 2 2 8" xfId="4396"/>
    <cellStyle name="Milliers 2 4 2 3" xfId="121"/>
    <cellStyle name="Milliers 2 4 2 3 2" xfId="301"/>
    <cellStyle name="Milliers 2 4 2 3 2 2" xfId="661"/>
    <cellStyle name="Milliers 2 4 2 3 2 2 2" xfId="1381"/>
    <cellStyle name="Milliers 2 4 2 3 2 2 2 2" xfId="3541"/>
    <cellStyle name="Milliers 2 4 2 3 2 2 2 2 2" xfId="7861"/>
    <cellStyle name="Milliers 2 4 2 3 2 2 2 3" xfId="5701"/>
    <cellStyle name="Milliers 2 4 2 3 2 2 3" xfId="2101"/>
    <cellStyle name="Milliers 2 4 2 3 2 2 3 2" xfId="4261"/>
    <cellStyle name="Milliers 2 4 2 3 2 2 3 2 2" xfId="8581"/>
    <cellStyle name="Milliers 2 4 2 3 2 2 3 3" xfId="6421"/>
    <cellStyle name="Milliers 2 4 2 3 2 2 4" xfId="2821"/>
    <cellStyle name="Milliers 2 4 2 3 2 2 4 2" xfId="7141"/>
    <cellStyle name="Milliers 2 4 2 3 2 2 5" xfId="4981"/>
    <cellStyle name="Milliers 2 4 2 3 2 3" xfId="1021"/>
    <cellStyle name="Milliers 2 4 2 3 2 3 2" xfId="3181"/>
    <cellStyle name="Milliers 2 4 2 3 2 3 2 2" xfId="7501"/>
    <cellStyle name="Milliers 2 4 2 3 2 3 3" xfId="5341"/>
    <cellStyle name="Milliers 2 4 2 3 2 4" xfId="1741"/>
    <cellStyle name="Milliers 2 4 2 3 2 4 2" xfId="3901"/>
    <cellStyle name="Milliers 2 4 2 3 2 4 2 2" xfId="8221"/>
    <cellStyle name="Milliers 2 4 2 3 2 4 3" xfId="6061"/>
    <cellStyle name="Milliers 2 4 2 3 2 5" xfId="2461"/>
    <cellStyle name="Milliers 2 4 2 3 2 5 2" xfId="6781"/>
    <cellStyle name="Milliers 2 4 2 3 2 6" xfId="4621"/>
    <cellStyle name="Milliers 2 4 2 3 3" xfId="481"/>
    <cellStyle name="Milliers 2 4 2 3 3 2" xfId="1201"/>
    <cellStyle name="Milliers 2 4 2 3 3 2 2" xfId="3361"/>
    <cellStyle name="Milliers 2 4 2 3 3 2 2 2" xfId="7681"/>
    <cellStyle name="Milliers 2 4 2 3 3 2 3" xfId="5521"/>
    <cellStyle name="Milliers 2 4 2 3 3 3" xfId="1921"/>
    <cellStyle name="Milliers 2 4 2 3 3 3 2" xfId="4081"/>
    <cellStyle name="Milliers 2 4 2 3 3 3 2 2" xfId="8401"/>
    <cellStyle name="Milliers 2 4 2 3 3 3 3" xfId="6241"/>
    <cellStyle name="Milliers 2 4 2 3 3 4" xfId="2641"/>
    <cellStyle name="Milliers 2 4 2 3 3 4 2" xfId="6961"/>
    <cellStyle name="Milliers 2 4 2 3 3 5" xfId="4801"/>
    <cellStyle name="Milliers 2 4 2 3 4" xfId="841"/>
    <cellStyle name="Milliers 2 4 2 3 4 2" xfId="3001"/>
    <cellStyle name="Milliers 2 4 2 3 4 2 2" xfId="7321"/>
    <cellStyle name="Milliers 2 4 2 3 4 3" xfId="5161"/>
    <cellStyle name="Milliers 2 4 2 3 5" xfId="1561"/>
    <cellStyle name="Milliers 2 4 2 3 5 2" xfId="3721"/>
    <cellStyle name="Milliers 2 4 2 3 5 2 2" xfId="8041"/>
    <cellStyle name="Milliers 2 4 2 3 5 3" xfId="5881"/>
    <cellStyle name="Milliers 2 4 2 3 6" xfId="2281"/>
    <cellStyle name="Milliers 2 4 2 3 6 2" xfId="6601"/>
    <cellStyle name="Milliers 2 4 2 3 7" xfId="4441"/>
    <cellStyle name="Milliers 2 4 2 4" xfId="211"/>
    <cellStyle name="Milliers 2 4 2 4 2" xfId="571"/>
    <cellStyle name="Milliers 2 4 2 4 2 2" xfId="1291"/>
    <cellStyle name="Milliers 2 4 2 4 2 2 2" xfId="3451"/>
    <cellStyle name="Milliers 2 4 2 4 2 2 2 2" xfId="7771"/>
    <cellStyle name="Milliers 2 4 2 4 2 2 3" xfId="5611"/>
    <cellStyle name="Milliers 2 4 2 4 2 3" xfId="2011"/>
    <cellStyle name="Milliers 2 4 2 4 2 3 2" xfId="4171"/>
    <cellStyle name="Milliers 2 4 2 4 2 3 2 2" xfId="8491"/>
    <cellStyle name="Milliers 2 4 2 4 2 3 3" xfId="6331"/>
    <cellStyle name="Milliers 2 4 2 4 2 4" xfId="2731"/>
    <cellStyle name="Milliers 2 4 2 4 2 4 2" xfId="7051"/>
    <cellStyle name="Milliers 2 4 2 4 2 5" xfId="4891"/>
    <cellStyle name="Milliers 2 4 2 4 3" xfId="931"/>
    <cellStyle name="Milliers 2 4 2 4 3 2" xfId="3091"/>
    <cellStyle name="Milliers 2 4 2 4 3 2 2" xfId="7411"/>
    <cellStyle name="Milliers 2 4 2 4 3 3" xfId="5251"/>
    <cellStyle name="Milliers 2 4 2 4 4" xfId="1651"/>
    <cellStyle name="Milliers 2 4 2 4 4 2" xfId="3811"/>
    <cellStyle name="Milliers 2 4 2 4 4 2 2" xfId="8131"/>
    <cellStyle name="Milliers 2 4 2 4 4 3" xfId="5971"/>
    <cellStyle name="Milliers 2 4 2 4 5" xfId="2371"/>
    <cellStyle name="Milliers 2 4 2 4 5 2" xfId="6691"/>
    <cellStyle name="Milliers 2 4 2 4 6" xfId="4531"/>
    <cellStyle name="Milliers 2 4 2 5" xfId="391"/>
    <cellStyle name="Milliers 2 4 2 5 2" xfId="1111"/>
    <cellStyle name="Milliers 2 4 2 5 2 2" xfId="3271"/>
    <cellStyle name="Milliers 2 4 2 5 2 2 2" xfId="7591"/>
    <cellStyle name="Milliers 2 4 2 5 2 3" xfId="5431"/>
    <cellStyle name="Milliers 2 4 2 5 3" xfId="1831"/>
    <cellStyle name="Milliers 2 4 2 5 3 2" xfId="3991"/>
    <cellStyle name="Milliers 2 4 2 5 3 2 2" xfId="8311"/>
    <cellStyle name="Milliers 2 4 2 5 3 3" xfId="6151"/>
    <cellStyle name="Milliers 2 4 2 5 4" xfId="2551"/>
    <cellStyle name="Milliers 2 4 2 5 4 2" xfId="6871"/>
    <cellStyle name="Milliers 2 4 2 5 5" xfId="4711"/>
    <cellStyle name="Milliers 2 4 2 6" xfId="751"/>
    <cellStyle name="Milliers 2 4 2 6 2" xfId="2911"/>
    <cellStyle name="Milliers 2 4 2 6 2 2" xfId="7231"/>
    <cellStyle name="Milliers 2 4 2 6 3" xfId="5071"/>
    <cellStyle name="Milliers 2 4 2 7" xfId="1471"/>
    <cellStyle name="Milliers 2 4 2 7 2" xfId="3631"/>
    <cellStyle name="Milliers 2 4 2 7 2 2" xfId="7951"/>
    <cellStyle name="Milliers 2 4 2 7 3" xfId="5791"/>
    <cellStyle name="Milliers 2 4 2 8" xfId="2191"/>
    <cellStyle name="Milliers 2 4 2 8 2" xfId="6511"/>
    <cellStyle name="Milliers 2 4 2 9" xfId="4351"/>
    <cellStyle name="Milliers 2 4 3" xfId="46"/>
    <cellStyle name="Milliers 2 4 3 2" xfId="91"/>
    <cellStyle name="Milliers 2 4 3 2 2" xfId="181"/>
    <cellStyle name="Milliers 2 4 3 2 2 2" xfId="361"/>
    <cellStyle name="Milliers 2 4 3 2 2 2 2" xfId="721"/>
    <cellStyle name="Milliers 2 4 3 2 2 2 2 2" xfId="1441"/>
    <cellStyle name="Milliers 2 4 3 2 2 2 2 2 2" xfId="3601"/>
    <cellStyle name="Milliers 2 4 3 2 2 2 2 2 2 2" xfId="7921"/>
    <cellStyle name="Milliers 2 4 3 2 2 2 2 2 3" xfId="5761"/>
    <cellStyle name="Milliers 2 4 3 2 2 2 2 3" xfId="2161"/>
    <cellStyle name="Milliers 2 4 3 2 2 2 2 3 2" xfId="4321"/>
    <cellStyle name="Milliers 2 4 3 2 2 2 2 3 2 2" xfId="8641"/>
    <cellStyle name="Milliers 2 4 3 2 2 2 2 3 3" xfId="6481"/>
    <cellStyle name="Milliers 2 4 3 2 2 2 2 4" xfId="2881"/>
    <cellStyle name="Milliers 2 4 3 2 2 2 2 4 2" xfId="7201"/>
    <cellStyle name="Milliers 2 4 3 2 2 2 2 5" xfId="5041"/>
    <cellStyle name="Milliers 2 4 3 2 2 2 3" xfId="1081"/>
    <cellStyle name="Milliers 2 4 3 2 2 2 3 2" xfId="3241"/>
    <cellStyle name="Milliers 2 4 3 2 2 2 3 2 2" xfId="7561"/>
    <cellStyle name="Milliers 2 4 3 2 2 2 3 3" xfId="5401"/>
    <cellStyle name="Milliers 2 4 3 2 2 2 4" xfId="1801"/>
    <cellStyle name="Milliers 2 4 3 2 2 2 4 2" xfId="3961"/>
    <cellStyle name="Milliers 2 4 3 2 2 2 4 2 2" xfId="8281"/>
    <cellStyle name="Milliers 2 4 3 2 2 2 4 3" xfId="6121"/>
    <cellStyle name="Milliers 2 4 3 2 2 2 5" xfId="2521"/>
    <cellStyle name="Milliers 2 4 3 2 2 2 5 2" xfId="6841"/>
    <cellStyle name="Milliers 2 4 3 2 2 2 6" xfId="4681"/>
    <cellStyle name="Milliers 2 4 3 2 2 3" xfId="541"/>
    <cellStyle name="Milliers 2 4 3 2 2 3 2" xfId="1261"/>
    <cellStyle name="Milliers 2 4 3 2 2 3 2 2" xfId="3421"/>
    <cellStyle name="Milliers 2 4 3 2 2 3 2 2 2" xfId="7741"/>
    <cellStyle name="Milliers 2 4 3 2 2 3 2 3" xfId="5581"/>
    <cellStyle name="Milliers 2 4 3 2 2 3 3" xfId="1981"/>
    <cellStyle name="Milliers 2 4 3 2 2 3 3 2" xfId="4141"/>
    <cellStyle name="Milliers 2 4 3 2 2 3 3 2 2" xfId="8461"/>
    <cellStyle name="Milliers 2 4 3 2 2 3 3 3" xfId="6301"/>
    <cellStyle name="Milliers 2 4 3 2 2 3 4" xfId="2701"/>
    <cellStyle name="Milliers 2 4 3 2 2 3 4 2" xfId="7021"/>
    <cellStyle name="Milliers 2 4 3 2 2 3 5" xfId="4861"/>
    <cellStyle name="Milliers 2 4 3 2 2 4" xfId="901"/>
    <cellStyle name="Milliers 2 4 3 2 2 4 2" xfId="3061"/>
    <cellStyle name="Milliers 2 4 3 2 2 4 2 2" xfId="7381"/>
    <cellStyle name="Milliers 2 4 3 2 2 4 3" xfId="5221"/>
    <cellStyle name="Milliers 2 4 3 2 2 5" xfId="1621"/>
    <cellStyle name="Milliers 2 4 3 2 2 5 2" xfId="3781"/>
    <cellStyle name="Milliers 2 4 3 2 2 5 2 2" xfId="8101"/>
    <cellStyle name="Milliers 2 4 3 2 2 5 3" xfId="5941"/>
    <cellStyle name="Milliers 2 4 3 2 2 6" xfId="2341"/>
    <cellStyle name="Milliers 2 4 3 2 2 6 2" xfId="6661"/>
    <cellStyle name="Milliers 2 4 3 2 2 7" xfId="4501"/>
    <cellStyle name="Milliers 2 4 3 2 3" xfId="271"/>
    <cellStyle name="Milliers 2 4 3 2 3 2" xfId="631"/>
    <cellStyle name="Milliers 2 4 3 2 3 2 2" xfId="1351"/>
    <cellStyle name="Milliers 2 4 3 2 3 2 2 2" xfId="3511"/>
    <cellStyle name="Milliers 2 4 3 2 3 2 2 2 2" xfId="7831"/>
    <cellStyle name="Milliers 2 4 3 2 3 2 2 3" xfId="5671"/>
    <cellStyle name="Milliers 2 4 3 2 3 2 3" xfId="2071"/>
    <cellStyle name="Milliers 2 4 3 2 3 2 3 2" xfId="4231"/>
    <cellStyle name="Milliers 2 4 3 2 3 2 3 2 2" xfId="8551"/>
    <cellStyle name="Milliers 2 4 3 2 3 2 3 3" xfId="6391"/>
    <cellStyle name="Milliers 2 4 3 2 3 2 4" xfId="2791"/>
    <cellStyle name="Milliers 2 4 3 2 3 2 4 2" xfId="7111"/>
    <cellStyle name="Milliers 2 4 3 2 3 2 5" xfId="4951"/>
    <cellStyle name="Milliers 2 4 3 2 3 3" xfId="991"/>
    <cellStyle name="Milliers 2 4 3 2 3 3 2" xfId="3151"/>
    <cellStyle name="Milliers 2 4 3 2 3 3 2 2" xfId="7471"/>
    <cellStyle name="Milliers 2 4 3 2 3 3 3" xfId="5311"/>
    <cellStyle name="Milliers 2 4 3 2 3 4" xfId="1711"/>
    <cellStyle name="Milliers 2 4 3 2 3 4 2" xfId="3871"/>
    <cellStyle name="Milliers 2 4 3 2 3 4 2 2" xfId="8191"/>
    <cellStyle name="Milliers 2 4 3 2 3 4 3" xfId="6031"/>
    <cellStyle name="Milliers 2 4 3 2 3 5" xfId="2431"/>
    <cellStyle name="Milliers 2 4 3 2 3 5 2" xfId="6751"/>
    <cellStyle name="Milliers 2 4 3 2 3 6" xfId="4591"/>
    <cellStyle name="Milliers 2 4 3 2 4" xfId="451"/>
    <cellStyle name="Milliers 2 4 3 2 4 2" xfId="1171"/>
    <cellStyle name="Milliers 2 4 3 2 4 2 2" xfId="3331"/>
    <cellStyle name="Milliers 2 4 3 2 4 2 2 2" xfId="7651"/>
    <cellStyle name="Milliers 2 4 3 2 4 2 3" xfId="5491"/>
    <cellStyle name="Milliers 2 4 3 2 4 3" xfId="1891"/>
    <cellStyle name="Milliers 2 4 3 2 4 3 2" xfId="4051"/>
    <cellStyle name="Milliers 2 4 3 2 4 3 2 2" xfId="8371"/>
    <cellStyle name="Milliers 2 4 3 2 4 3 3" xfId="6211"/>
    <cellStyle name="Milliers 2 4 3 2 4 4" xfId="2611"/>
    <cellStyle name="Milliers 2 4 3 2 4 4 2" xfId="6931"/>
    <cellStyle name="Milliers 2 4 3 2 4 5" xfId="4771"/>
    <cellStyle name="Milliers 2 4 3 2 5" xfId="811"/>
    <cellStyle name="Milliers 2 4 3 2 5 2" xfId="2971"/>
    <cellStyle name="Milliers 2 4 3 2 5 2 2" xfId="7291"/>
    <cellStyle name="Milliers 2 4 3 2 5 3" xfId="5131"/>
    <cellStyle name="Milliers 2 4 3 2 6" xfId="1531"/>
    <cellStyle name="Milliers 2 4 3 2 6 2" xfId="3691"/>
    <cellStyle name="Milliers 2 4 3 2 6 2 2" xfId="8011"/>
    <cellStyle name="Milliers 2 4 3 2 6 3" xfId="5851"/>
    <cellStyle name="Milliers 2 4 3 2 7" xfId="2251"/>
    <cellStyle name="Milliers 2 4 3 2 7 2" xfId="6571"/>
    <cellStyle name="Milliers 2 4 3 2 8" xfId="4411"/>
    <cellStyle name="Milliers 2 4 3 3" xfId="136"/>
    <cellStyle name="Milliers 2 4 3 3 2" xfId="316"/>
    <cellStyle name="Milliers 2 4 3 3 2 2" xfId="676"/>
    <cellStyle name="Milliers 2 4 3 3 2 2 2" xfId="1396"/>
    <cellStyle name="Milliers 2 4 3 3 2 2 2 2" xfId="3556"/>
    <cellStyle name="Milliers 2 4 3 3 2 2 2 2 2" xfId="7876"/>
    <cellStyle name="Milliers 2 4 3 3 2 2 2 3" xfId="5716"/>
    <cellStyle name="Milliers 2 4 3 3 2 2 3" xfId="2116"/>
    <cellStyle name="Milliers 2 4 3 3 2 2 3 2" xfId="4276"/>
    <cellStyle name="Milliers 2 4 3 3 2 2 3 2 2" xfId="8596"/>
    <cellStyle name="Milliers 2 4 3 3 2 2 3 3" xfId="6436"/>
    <cellStyle name="Milliers 2 4 3 3 2 2 4" xfId="2836"/>
    <cellStyle name="Milliers 2 4 3 3 2 2 4 2" xfId="7156"/>
    <cellStyle name="Milliers 2 4 3 3 2 2 5" xfId="4996"/>
    <cellStyle name="Milliers 2 4 3 3 2 3" xfId="1036"/>
    <cellStyle name="Milliers 2 4 3 3 2 3 2" xfId="3196"/>
    <cellStyle name="Milliers 2 4 3 3 2 3 2 2" xfId="7516"/>
    <cellStyle name="Milliers 2 4 3 3 2 3 3" xfId="5356"/>
    <cellStyle name="Milliers 2 4 3 3 2 4" xfId="1756"/>
    <cellStyle name="Milliers 2 4 3 3 2 4 2" xfId="3916"/>
    <cellStyle name="Milliers 2 4 3 3 2 4 2 2" xfId="8236"/>
    <cellStyle name="Milliers 2 4 3 3 2 4 3" xfId="6076"/>
    <cellStyle name="Milliers 2 4 3 3 2 5" xfId="2476"/>
    <cellStyle name="Milliers 2 4 3 3 2 5 2" xfId="6796"/>
    <cellStyle name="Milliers 2 4 3 3 2 6" xfId="4636"/>
    <cellStyle name="Milliers 2 4 3 3 3" xfId="496"/>
    <cellStyle name="Milliers 2 4 3 3 3 2" xfId="1216"/>
    <cellStyle name="Milliers 2 4 3 3 3 2 2" xfId="3376"/>
    <cellStyle name="Milliers 2 4 3 3 3 2 2 2" xfId="7696"/>
    <cellStyle name="Milliers 2 4 3 3 3 2 3" xfId="5536"/>
    <cellStyle name="Milliers 2 4 3 3 3 3" xfId="1936"/>
    <cellStyle name="Milliers 2 4 3 3 3 3 2" xfId="4096"/>
    <cellStyle name="Milliers 2 4 3 3 3 3 2 2" xfId="8416"/>
    <cellStyle name="Milliers 2 4 3 3 3 3 3" xfId="6256"/>
    <cellStyle name="Milliers 2 4 3 3 3 4" xfId="2656"/>
    <cellStyle name="Milliers 2 4 3 3 3 4 2" xfId="6976"/>
    <cellStyle name="Milliers 2 4 3 3 3 5" xfId="4816"/>
    <cellStyle name="Milliers 2 4 3 3 4" xfId="856"/>
    <cellStyle name="Milliers 2 4 3 3 4 2" xfId="3016"/>
    <cellStyle name="Milliers 2 4 3 3 4 2 2" xfId="7336"/>
    <cellStyle name="Milliers 2 4 3 3 4 3" xfId="5176"/>
    <cellStyle name="Milliers 2 4 3 3 5" xfId="1576"/>
    <cellStyle name="Milliers 2 4 3 3 5 2" xfId="3736"/>
    <cellStyle name="Milliers 2 4 3 3 5 2 2" xfId="8056"/>
    <cellStyle name="Milliers 2 4 3 3 5 3" xfId="5896"/>
    <cellStyle name="Milliers 2 4 3 3 6" xfId="2296"/>
    <cellStyle name="Milliers 2 4 3 3 6 2" xfId="6616"/>
    <cellStyle name="Milliers 2 4 3 3 7" xfId="4456"/>
    <cellStyle name="Milliers 2 4 3 4" xfId="226"/>
    <cellStyle name="Milliers 2 4 3 4 2" xfId="586"/>
    <cellStyle name="Milliers 2 4 3 4 2 2" xfId="1306"/>
    <cellStyle name="Milliers 2 4 3 4 2 2 2" xfId="3466"/>
    <cellStyle name="Milliers 2 4 3 4 2 2 2 2" xfId="7786"/>
    <cellStyle name="Milliers 2 4 3 4 2 2 3" xfId="5626"/>
    <cellStyle name="Milliers 2 4 3 4 2 3" xfId="2026"/>
    <cellStyle name="Milliers 2 4 3 4 2 3 2" xfId="4186"/>
    <cellStyle name="Milliers 2 4 3 4 2 3 2 2" xfId="8506"/>
    <cellStyle name="Milliers 2 4 3 4 2 3 3" xfId="6346"/>
    <cellStyle name="Milliers 2 4 3 4 2 4" xfId="2746"/>
    <cellStyle name="Milliers 2 4 3 4 2 4 2" xfId="7066"/>
    <cellStyle name="Milliers 2 4 3 4 2 5" xfId="4906"/>
    <cellStyle name="Milliers 2 4 3 4 3" xfId="946"/>
    <cellStyle name="Milliers 2 4 3 4 3 2" xfId="3106"/>
    <cellStyle name="Milliers 2 4 3 4 3 2 2" xfId="7426"/>
    <cellStyle name="Milliers 2 4 3 4 3 3" xfId="5266"/>
    <cellStyle name="Milliers 2 4 3 4 4" xfId="1666"/>
    <cellStyle name="Milliers 2 4 3 4 4 2" xfId="3826"/>
    <cellStyle name="Milliers 2 4 3 4 4 2 2" xfId="8146"/>
    <cellStyle name="Milliers 2 4 3 4 4 3" xfId="5986"/>
    <cellStyle name="Milliers 2 4 3 4 5" xfId="2386"/>
    <cellStyle name="Milliers 2 4 3 4 5 2" xfId="6706"/>
    <cellStyle name="Milliers 2 4 3 4 6" xfId="4546"/>
    <cellStyle name="Milliers 2 4 3 5" xfId="406"/>
    <cellStyle name="Milliers 2 4 3 5 2" xfId="1126"/>
    <cellStyle name="Milliers 2 4 3 5 2 2" xfId="3286"/>
    <cellStyle name="Milliers 2 4 3 5 2 2 2" xfId="7606"/>
    <cellStyle name="Milliers 2 4 3 5 2 3" xfId="5446"/>
    <cellStyle name="Milliers 2 4 3 5 3" xfId="1846"/>
    <cellStyle name="Milliers 2 4 3 5 3 2" xfId="4006"/>
    <cellStyle name="Milliers 2 4 3 5 3 2 2" xfId="8326"/>
    <cellStyle name="Milliers 2 4 3 5 3 3" xfId="6166"/>
    <cellStyle name="Milliers 2 4 3 5 4" xfId="2566"/>
    <cellStyle name="Milliers 2 4 3 5 4 2" xfId="6886"/>
    <cellStyle name="Milliers 2 4 3 5 5" xfId="4726"/>
    <cellStyle name="Milliers 2 4 3 6" xfId="766"/>
    <cellStyle name="Milliers 2 4 3 6 2" xfId="2926"/>
    <cellStyle name="Milliers 2 4 3 6 2 2" xfId="7246"/>
    <cellStyle name="Milliers 2 4 3 6 3" xfId="5086"/>
    <cellStyle name="Milliers 2 4 3 7" xfId="1486"/>
    <cellStyle name="Milliers 2 4 3 7 2" xfId="3646"/>
    <cellStyle name="Milliers 2 4 3 7 2 2" xfId="7966"/>
    <cellStyle name="Milliers 2 4 3 7 3" xfId="5806"/>
    <cellStyle name="Milliers 2 4 3 8" xfId="2206"/>
    <cellStyle name="Milliers 2 4 3 8 2" xfId="6526"/>
    <cellStyle name="Milliers 2 4 3 9" xfId="4366"/>
    <cellStyle name="Milliers 2 4 4" xfId="61"/>
    <cellStyle name="Milliers 2 4 4 2" xfId="151"/>
    <cellStyle name="Milliers 2 4 4 2 2" xfId="331"/>
    <cellStyle name="Milliers 2 4 4 2 2 2" xfId="691"/>
    <cellStyle name="Milliers 2 4 4 2 2 2 2" xfId="1411"/>
    <cellStyle name="Milliers 2 4 4 2 2 2 2 2" xfId="3571"/>
    <cellStyle name="Milliers 2 4 4 2 2 2 2 2 2" xfId="7891"/>
    <cellStyle name="Milliers 2 4 4 2 2 2 2 3" xfId="5731"/>
    <cellStyle name="Milliers 2 4 4 2 2 2 3" xfId="2131"/>
    <cellStyle name="Milliers 2 4 4 2 2 2 3 2" xfId="4291"/>
    <cellStyle name="Milliers 2 4 4 2 2 2 3 2 2" xfId="8611"/>
    <cellStyle name="Milliers 2 4 4 2 2 2 3 3" xfId="6451"/>
    <cellStyle name="Milliers 2 4 4 2 2 2 4" xfId="2851"/>
    <cellStyle name="Milliers 2 4 4 2 2 2 4 2" xfId="7171"/>
    <cellStyle name="Milliers 2 4 4 2 2 2 5" xfId="5011"/>
    <cellStyle name="Milliers 2 4 4 2 2 3" xfId="1051"/>
    <cellStyle name="Milliers 2 4 4 2 2 3 2" xfId="3211"/>
    <cellStyle name="Milliers 2 4 4 2 2 3 2 2" xfId="7531"/>
    <cellStyle name="Milliers 2 4 4 2 2 3 3" xfId="5371"/>
    <cellStyle name="Milliers 2 4 4 2 2 4" xfId="1771"/>
    <cellStyle name="Milliers 2 4 4 2 2 4 2" xfId="3931"/>
    <cellStyle name="Milliers 2 4 4 2 2 4 2 2" xfId="8251"/>
    <cellStyle name="Milliers 2 4 4 2 2 4 3" xfId="6091"/>
    <cellStyle name="Milliers 2 4 4 2 2 5" xfId="2491"/>
    <cellStyle name="Milliers 2 4 4 2 2 5 2" xfId="6811"/>
    <cellStyle name="Milliers 2 4 4 2 2 6" xfId="4651"/>
    <cellStyle name="Milliers 2 4 4 2 3" xfId="511"/>
    <cellStyle name="Milliers 2 4 4 2 3 2" xfId="1231"/>
    <cellStyle name="Milliers 2 4 4 2 3 2 2" xfId="3391"/>
    <cellStyle name="Milliers 2 4 4 2 3 2 2 2" xfId="7711"/>
    <cellStyle name="Milliers 2 4 4 2 3 2 3" xfId="5551"/>
    <cellStyle name="Milliers 2 4 4 2 3 3" xfId="1951"/>
    <cellStyle name="Milliers 2 4 4 2 3 3 2" xfId="4111"/>
    <cellStyle name="Milliers 2 4 4 2 3 3 2 2" xfId="8431"/>
    <cellStyle name="Milliers 2 4 4 2 3 3 3" xfId="6271"/>
    <cellStyle name="Milliers 2 4 4 2 3 4" xfId="2671"/>
    <cellStyle name="Milliers 2 4 4 2 3 4 2" xfId="6991"/>
    <cellStyle name="Milliers 2 4 4 2 3 5" xfId="4831"/>
    <cellStyle name="Milliers 2 4 4 2 4" xfId="871"/>
    <cellStyle name="Milliers 2 4 4 2 4 2" xfId="3031"/>
    <cellStyle name="Milliers 2 4 4 2 4 2 2" xfId="7351"/>
    <cellStyle name="Milliers 2 4 4 2 4 3" xfId="5191"/>
    <cellStyle name="Milliers 2 4 4 2 5" xfId="1591"/>
    <cellStyle name="Milliers 2 4 4 2 5 2" xfId="3751"/>
    <cellStyle name="Milliers 2 4 4 2 5 2 2" xfId="8071"/>
    <cellStyle name="Milliers 2 4 4 2 5 3" xfId="5911"/>
    <cellStyle name="Milliers 2 4 4 2 6" xfId="2311"/>
    <cellStyle name="Milliers 2 4 4 2 6 2" xfId="6631"/>
    <cellStyle name="Milliers 2 4 4 2 7" xfId="4471"/>
    <cellStyle name="Milliers 2 4 4 3" xfId="241"/>
    <cellStyle name="Milliers 2 4 4 3 2" xfId="601"/>
    <cellStyle name="Milliers 2 4 4 3 2 2" xfId="1321"/>
    <cellStyle name="Milliers 2 4 4 3 2 2 2" xfId="3481"/>
    <cellStyle name="Milliers 2 4 4 3 2 2 2 2" xfId="7801"/>
    <cellStyle name="Milliers 2 4 4 3 2 2 3" xfId="5641"/>
    <cellStyle name="Milliers 2 4 4 3 2 3" xfId="2041"/>
    <cellStyle name="Milliers 2 4 4 3 2 3 2" xfId="4201"/>
    <cellStyle name="Milliers 2 4 4 3 2 3 2 2" xfId="8521"/>
    <cellStyle name="Milliers 2 4 4 3 2 3 3" xfId="6361"/>
    <cellStyle name="Milliers 2 4 4 3 2 4" xfId="2761"/>
    <cellStyle name="Milliers 2 4 4 3 2 4 2" xfId="7081"/>
    <cellStyle name="Milliers 2 4 4 3 2 5" xfId="4921"/>
    <cellStyle name="Milliers 2 4 4 3 3" xfId="961"/>
    <cellStyle name="Milliers 2 4 4 3 3 2" xfId="3121"/>
    <cellStyle name="Milliers 2 4 4 3 3 2 2" xfId="7441"/>
    <cellStyle name="Milliers 2 4 4 3 3 3" xfId="5281"/>
    <cellStyle name="Milliers 2 4 4 3 4" xfId="1681"/>
    <cellStyle name="Milliers 2 4 4 3 4 2" xfId="3841"/>
    <cellStyle name="Milliers 2 4 4 3 4 2 2" xfId="8161"/>
    <cellStyle name="Milliers 2 4 4 3 4 3" xfId="6001"/>
    <cellStyle name="Milliers 2 4 4 3 5" xfId="2401"/>
    <cellStyle name="Milliers 2 4 4 3 5 2" xfId="6721"/>
    <cellStyle name="Milliers 2 4 4 3 6" xfId="4561"/>
    <cellStyle name="Milliers 2 4 4 4" xfId="421"/>
    <cellStyle name="Milliers 2 4 4 4 2" xfId="1141"/>
    <cellStyle name="Milliers 2 4 4 4 2 2" xfId="3301"/>
    <cellStyle name="Milliers 2 4 4 4 2 2 2" xfId="7621"/>
    <cellStyle name="Milliers 2 4 4 4 2 3" xfId="5461"/>
    <cellStyle name="Milliers 2 4 4 4 3" xfId="1861"/>
    <cellStyle name="Milliers 2 4 4 4 3 2" xfId="4021"/>
    <cellStyle name="Milliers 2 4 4 4 3 2 2" xfId="8341"/>
    <cellStyle name="Milliers 2 4 4 4 3 3" xfId="6181"/>
    <cellStyle name="Milliers 2 4 4 4 4" xfId="2581"/>
    <cellStyle name="Milliers 2 4 4 4 4 2" xfId="6901"/>
    <cellStyle name="Milliers 2 4 4 4 5" xfId="4741"/>
    <cellStyle name="Milliers 2 4 4 5" xfId="781"/>
    <cellStyle name="Milliers 2 4 4 5 2" xfId="2941"/>
    <cellStyle name="Milliers 2 4 4 5 2 2" xfId="7261"/>
    <cellStyle name="Milliers 2 4 4 5 3" xfId="5101"/>
    <cellStyle name="Milliers 2 4 4 6" xfId="1501"/>
    <cellStyle name="Milliers 2 4 4 6 2" xfId="3661"/>
    <cellStyle name="Milliers 2 4 4 6 2 2" xfId="7981"/>
    <cellStyle name="Milliers 2 4 4 6 3" xfId="5821"/>
    <cellStyle name="Milliers 2 4 4 7" xfId="2221"/>
    <cellStyle name="Milliers 2 4 4 7 2" xfId="6541"/>
    <cellStyle name="Milliers 2 4 4 8" xfId="4381"/>
    <cellStyle name="Milliers 2 4 5" xfId="106"/>
    <cellStyle name="Milliers 2 4 5 2" xfId="286"/>
    <cellStyle name="Milliers 2 4 5 2 2" xfId="646"/>
    <cellStyle name="Milliers 2 4 5 2 2 2" xfId="1366"/>
    <cellStyle name="Milliers 2 4 5 2 2 2 2" xfId="3526"/>
    <cellStyle name="Milliers 2 4 5 2 2 2 2 2" xfId="7846"/>
    <cellStyle name="Milliers 2 4 5 2 2 2 3" xfId="5686"/>
    <cellStyle name="Milliers 2 4 5 2 2 3" xfId="2086"/>
    <cellStyle name="Milliers 2 4 5 2 2 3 2" xfId="4246"/>
    <cellStyle name="Milliers 2 4 5 2 2 3 2 2" xfId="8566"/>
    <cellStyle name="Milliers 2 4 5 2 2 3 3" xfId="6406"/>
    <cellStyle name="Milliers 2 4 5 2 2 4" xfId="2806"/>
    <cellStyle name="Milliers 2 4 5 2 2 4 2" xfId="7126"/>
    <cellStyle name="Milliers 2 4 5 2 2 5" xfId="4966"/>
    <cellStyle name="Milliers 2 4 5 2 3" xfId="1006"/>
    <cellStyle name="Milliers 2 4 5 2 3 2" xfId="3166"/>
    <cellStyle name="Milliers 2 4 5 2 3 2 2" xfId="7486"/>
    <cellStyle name="Milliers 2 4 5 2 3 3" xfId="5326"/>
    <cellStyle name="Milliers 2 4 5 2 4" xfId="1726"/>
    <cellStyle name="Milliers 2 4 5 2 4 2" xfId="3886"/>
    <cellStyle name="Milliers 2 4 5 2 4 2 2" xfId="8206"/>
    <cellStyle name="Milliers 2 4 5 2 4 3" xfId="6046"/>
    <cellStyle name="Milliers 2 4 5 2 5" xfId="2446"/>
    <cellStyle name="Milliers 2 4 5 2 5 2" xfId="6766"/>
    <cellStyle name="Milliers 2 4 5 2 6" xfId="4606"/>
    <cellStyle name="Milliers 2 4 5 3" xfId="466"/>
    <cellStyle name="Milliers 2 4 5 3 2" xfId="1186"/>
    <cellStyle name="Milliers 2 4 5 3 2 2" xfId="3346"/>
    <cellStyle name="Milliers 2 4 5 3 2 2 2" xfId="7666"/>
    <cellStyle name="Milliers 2 4 5 3 2 3" xfId="5506"/>
    <cellStyle name="Milliers 2 4 5 3 3" xfId="1906"/>
    <cellStyle name="Milliers 2 4 5 3 3 2" xfId="4066"/>
    <cellStyle name="Milliers 2 4 5 3 3 2 2" xfId="8386"/>
    <cellStyle name="Milliers 2 4 5 3 3 3" xfId="6226"/>
    <cellStyle name="Milliers 2 4 5 3 4" xfId="2626"/>
    <cellStyle name="Milliers 2 4 5 3 4 2" xfId="6946"/>
    <cellStyle name="Milliers 2 4 5 3 5" xfId="4786"/>
    <cellStyle name="Milliers 2 4 5 4" xfId="826"/>
    <cellStyle name="Milliers 2 4 5 4 2" xfId="2986"/>
    <cellStyle name="Milliers 2 4 5 4 2 2" xfId="7306"/>
    <cellStyle name="Milliers 2 4 5 4 3" xfId="5146"/>
    <cellStyle name="Milliers 2 4 5 5" xfId="1546"/>
    <cellStyle name="Milliers 2 4 5 5 2" xfId="3706"/>
    <cellStyle name="Milliers 2 4 5 5 2 2" xfId="8026"/>
    <cellStyle name="Milliers 2 4 5 5 3" xfId="5866"/>
    <cellStyle name="Milliers 2 4 5 6" xfId="2266"/>
    <cellStyle name="Milliers 2 4 5 6 2" xfId="6586"/>
    <cellStyle name="Milliers 2 4 5 7" xfId="4426"/>
    <cellStyle name="Milliers 2 4 6" xfId="196"/>
    <cellStyle name="Milliers 2 4 6 2" xfId="556"/>
    <cellStyle name="Milliers 2 4 6 2 2" xfId="1276"/>
    <cellStyle name="Milliers 2 4 6 2 2 2" xfId="3436"/>
    <cellStyle name="Milliers 2 4 6 2 2 2 2" xfId="7756"/>
    <cellStyle name="Milliers 2 4 6 2 2 3" xfId="5596"/>
    <cellStyle name="Milliers 2 4 6 2 3" xfId="1996"/>
    <cellStyle name="Milliers 2 4 6 2 3 2" xfId="4156"/>
    <cellStyle name="Milliers 2 4 6 2 3 2 2" xfId="8476"/>
    <cellStyle name="Milliers 2 4 6 2 3 3" xfId="6316"/>
    <cellStyle name="Milliers 2 4 6 2 4" xfId="2716"/>
    <cellStyle name="Milliers 2 4 6 2 4 2" xfId="7036"/>
    <cellStyle name="Milliers 2 4 6 2 5" xfId="4876"/>
    <cellStyle name="Milliers 2 4 6 3" xfId="916"/>
    <cellStyle name="Milliers 2 4 6 3 2" xfId="3076"/>
    <cellStyle name="Milliers 2 4 6 3 2 2" xfId="7396"/>
    <cellStyle name="Milliers 2 4 6 3 3" xfId="5236"/>
    <cellStyle name="Milliers 2 4 6 4" xfId="1636"/>
    <cellStyle name="Milliers 2 4 6 4 2" xfId="3796"/>
    <cellStyle name="Milliers 2 4 6 4 2 2" xfId="8116"/>
    <cellStyle name="Milliers 2 4 6 4 3" xfId="5956"/>
    <cellStyle name="Milliers 2 4 6 5" xfId="2356"/>
    <cellStyle name="Milliers 2 4 6 5 2" xfId="6676"/>
    <cellStyle name="Milliers 2 4 6 6" xfId="4516"/>
    <cellStyle name="Milliers 2 4 7" xfId="376"/>
    <cellStyle name="Milliers 2 4 7 2" xfId="1096"/>
    <cellStyle name="Milliers 2 4 7 2 2" xfId="3256"/>
    <cellStyle name="Milliers 2 4 7 2 2 2" xfId="7576"/>
    <cellStyle name="Milliers 2 4 7 2 3" xfId="5416"/>
    <cellStyle name="Milliers 2 4 7 3" xfId="1816"/>
    <cellStyle name="Milliers 2 4 7 3 2" xfId="3976"/>
    <cellStyle name="Milliers 2 4 7 3 2 2" xfId="8296"/>
    <cellStyle name="Milliers 2 4 7 3 3" xfId="6136"/>
    <cellStyle name="Milliers 2 4 7 4" xfId="2536"/>
    <cellStyle name="Milliers 2 4 7 4 2" xfId="6856"/>
    <cellStyle name="Milliers 2 4 7 5" xfId="4696"/>
    <cellStyle name="Milliers 2 4 8" xfId="736"/>
    <cellStyle name="Milliers 2 4 8 2" xfId="2896"/>
    <cellStyle name="Milliers 2 4 8 2 2" xfId="7216"/>
    <cellStyle name="Milliers 2 4 8 3" xfId="5056"/>
    <cellStyle name="Milliers 2 4 9" xfId="1456"/>
    <cellStyle name="Milliers 2 4 9 2" xfId="3616"/>
    <cellStyle name="Milliers 2 4 9 2 2" xfId="7936"/>
    <cellStyle name="Milliers 2 4 9 3" xfId="5776"/>
    <cellStyle name="Milliers 2 5" xfId="19"/>
    <cellStyle name="Milliers 2 5 2" xfId="64"/>
    <cellStyle name="Milliers 2 5 2 2" xfId="154"/>
    <cellStyle name="Milliers 2 5 2 2 2" xfId="334"/>
    <cellStyle name="Milliers 2 5 2 2 2 2" xfId="694"/>
    <cellStyle name="Milliers 2 5 2 2 2 2 2" xfId="1414"/>
    <cellStyle name="Milliers 2 5 2 2 2 2 2 2" xfId="3574"/>
    <cellStyle name="Milliers 2 5 2 2 2 2 2 2 2" xfId="7894"/>
    <cellStyle name="Milliers 2 5 2 2 2 2 2 3" xfId="5734"/>
    <cellStyle name="Milliers 2 5 2 2 2 2 3" xfId="2134"/>
    <cellStyle name="Milliers 2 5 2 2 2 2 3 2" xfId="4294"/>
    <cellStyle name="Milliers 2 5 2 2 2 2 3 2 2" xfId="8614"/>
    <cellStyle name="Milliers 2 5 2 2 2 2 3 3" xfId="6454"/>
    <cellStyle name="Milliers 2 5 2 2 2 2 4" xfId="2854"/>
    <cellStyle name="Milliers 2 5 2 2 2 2 4 2" xfId="7174"/>
    <cellStyle name="Milliers 2 5 2 2 2 2 5" xfId="5014"/>
    <cellStyle name="Milliers 2 5 2 2 2 3" xfId="1054"/>
    <cellStyle name="Milliers 2 5 2 2 2 3 2" xfId="3214"/>
    <cellStyle name="Milliers 2 5 2 2 2 3 2 2" xfId="7534"/>
    <cellStyle name="Milliers 2 5 2 2 2 3 3" xfId="5374"/>
    <cellStyle name="Milliers 2 5 2 2 2 4" xfId="1774"/>
    <cellStyle name="Milliers 2 5 2 2 2 4 2" xfId="3934"/>
    <cellStyle name="Milliers 2 5 2 2 2 4 2 2" xfId="8254"/>
    <cellStyle name="Milliers 2 5 2 2 2 4 3" xfId="6094"/>
    <cellStyle name="Milliers 2 5 2 2 2 5" xfId="2494"/>
    <cellStyle name="Milliers 2 5 2 2 2 5 2" xfId="6814"/>
    <cellStyle name="Milliers 2 5 2 2 2 6" xfId="4654"/>
    <cellStyle name="Milliers 2 5 2 2 3" xfId="514"/>
    <cellStyle name="Milliers 2 5 2 2 3 2" xfId="1234"/>
    <cellStyle name="Milliers 2 5 2 2 3 2 2" xfId="3394"/>
    <cellStyle name="Milliers 2 5 2 2 3 2 2 2" xfId="7714"/>
    <cellStyle name="Milliers 2 5 2 2 3 2 3" xfId="5554"/>
    <cellStyle name="Milliers 2 5 2 2 3 3" xfId="1954"/>
    <cellStyle name="Milliers 2 5 2 2 3 3 2" xfId="4114"/>
    <cellStyle name="Milliers 2 5 2 2 3 3 2 2" xfId="8434"/>
    <cellStyle name="Milliers 2 5 2 2 3 3 3" xfId="6274"/>
    <cellStyle name="Milliers 2 5 2 2 3 4" xfId="2674"/>
    <cellStyle name="Milliers 2 5 2 2 3 4 2" xfId="6994"/>
    <cellStyle name="Milliers 2 5 2 2 3 5" xfId="4834"/>
    <cellStyle name="Milliers 2 5 2 2 4" xfId="874"/>
    <cellStyle name="Milliers 2 5 2 2 4 2" xfId="3034"/>
    <cellStyle name="Milliers 2 5 2 2 4 2 2" xfId="7354"/>
    <cellStyle name="Milliers 2 5 2 2 4 3" xfId="5194"/>
    <cellStyle name="Milliers 2 5 2 2 5" xfId="1594"/>
    <cellStyle name="Milliers 2 5 2 2 5 2" xfId="3754"/>
    <cellStyle name="Milliers 2 5 2 2 5 2 2" xfId="8074"/>
    <cellStyle name="Milliers 2 5 2 2 5 3" xfId="5914"/>
    <cellStyle name="Milliers 2 5 2 2 6" xfId="2314"/>
    <cellStyle name="Milliers 2 5 2 2 6 2" xfId="6634"/>
    <cellStyle name="Milliers 2 5 2 2 7" xfId="4474"/>
    <cellStyle name="Milliers 2 5 2 3" xfId="244"/>
    <cellStyle name="Milliers 2 5 2 3 2" xfId="604"/>
    <cellStyle name="Milliers 2 5 2 3 2 2" xfId="1324"/>
    <cellStyle name="Milliers 2 5 2 3 2 2 2" xfId="3484"/>
    <cellStyle name="Milliers 2 5 2 3 2 2 2 2" xfId="7804"/>
    <cellStyle name="Milliers 2 5 2 3 2 2 3" xfId="5644"/>
    <cellStyle name="Milliers 2 5 2 3 2 3" xfId="2044"/>
    <cellStyle name="Milliers 2 5 2 3 2 3 2" xfId="4204"/>
    <cellStyle name="Milliers 2 5 2 3 2 3 2 2" xfId="8524"/>
    <cellStyle name="Milliers 2 5 2 3 2 3 3" xfId="6364"/>
    <cellStyle name="Milliers 2 5 2 3 2 4" xfId="2764"/>
    <cellStyle name="Milliers 2 5 2 3 2 4 2" xfId="7084"/>
    <cellStyle name="Milliers 2 5 2 3 2 5" xfId="4924"/>
    <cellStyle name="Milliers 2 5 2 3 3" xfId="964"/>
    <cellStyle name="Milliers 2 5 2 3 3 2" xfId="3124"/>
    <cellStyle name="Milliers 2 5 2 3 3 2 2" xfId="7444"/>
    <cellStyle name="Milliers 2 5 2 3 3 3" xfId="5284"/>
    <cellStyle name="Milliers 2 5 2 3 4" xfId="1684"/>
    <cellStyle name="Milliers 2 5 2 3 4 2" xfId="3844"/>
    <cellStyle name="Milliers 2 5 2 3 4 2 2" xfId="8164"/>
    <cellStyle name="Milliers 2 5 2 3 4 3" xfId="6004"/>
    <cellStyle name="Milliers 2 5 2 3 5" xfId="2404"/>
    <cellStyle name="Milliers 2 5 2 3 5 2" xfId="6724"/>
    <cellStyle name="Milliers 2 5 2 3 6" xfId="4564"/>
    <cellStyle name="Milliers 2 5 2 4" xfId="424"/>
    <cellStyle name="Milliers 2 5 2 4 2" xfId="1144"/>
    <cellStyle name="Milliers 2 5 2 4 2 2" xfId="3304"/>
    <cellStyle name="Milliers 2 5 2 4 2 2 2" xfId="7624"/>
    <cellStyle name="Milliers 2 5 2 4 2 3" xfId="5464"/>
    <cellStyle name="Milliers 2 5 2 4 3" xfId="1864"/>
    <cellStyle name="Milliers 2 5 2 4 3 2" xfId="4024"/>
    <cellStyle name="Milliers 2 5 2 4 3 2 2" xfId="8344"/>
    <cellStyle name="Milliers 2 5 2 4 3 3" xfId="6184"/>
    <cellStyle name="Milliers 2 5 2 4 4" xfId="2584"/>
    <cellStyle name="Milliers 2 5 2 4 4 2" xfId="6904"/>
    <cellStyle name="Milliers 2 5 2 4 5" xfId="4744"/>
    <cellStyle name="Milliers 2 5 2 5" xfId="784"/>
    <cellStyle name="Milliers 2 5 2 5 2" xfId="2944"/>
    <cellStyle name="Milliers 2 5 2 5 2 2" xfId="7264"/>
    <cellStyle name="Milliers 2 5 2 5 3" xfId="5104"/>
    <cellStyle name="Milliers 2 5 2 6" xfId="1504"/>
    <cellStyle name="Milliers 2 5 2 6 2" xfId="3664"/>
    <cellStyle name="Milliers 2 5 2 6 2 2" xfId="7984"/>
    <cellStyle name="Milliers 2 5 2 6 3" xfId="5824"/>
    <cellStyle name="Milliers 2 5 2 7" xfId="2224"/>
    <cellStyle name="Milliers 2 5 2 7 2" xfId="6544"/>
    <cellStyle name="Milliers 2 5 2 8" xfId="4384"/>
    <cellStyle name="Milliers 2 5 3" xfId="109"/>
    <cellStyle name="Milliers 2 5 3 2" xfId="289"/>
    <cellStyle name="Milliers 2 5 3 2 2" xfId="649"/>
    <cellStyle name="Milliers 2 5 3 2 2 2" xfId="1369"/>
    <cellStyle name="Milliers 2 5 3 2 2 2 2" xfId="3529"/>
    <cellStyle name="Milliers 2 5 3 2 2 2 2 2" xfId="7849"/>
    <cellStyle name="Milliers 2 5 3 2 2 2 3" xfId="5689"/>
    <cellStyle name="Milliers 2 5 3 2 2 3" xfId="2089"/>
    <cellStyle name="Milliers 2 5 3 2 2 3 2" xfId="4249"/>
    <cellStyle name="Milliers 2 5 3 2 2 3 2 2" xfId="8569"/>
    <cellStyle name="Milliers 2 5 3 2 2 3 3" xfId="6409"/>
    <cellStyle name="Milliers 2 5 3 2 2 4" xfId="2809"/>
    <cellStyle name="Milliers 2 5 3 2 2 4 2" xfId="7129"/>
    <cellStyle name="Milliers 2 5 3 2 2 5" xfId="4969"/>
    <cellStyle name="Milliers 2 5 3 2 3" xfId="1009"/>
    <cellStyle name="Milliers 2 5 3 2 3 2" xfId="3169"/>
    <cellStyle name="Milliers 2 5 3 2 3 2 2" xfId="7489"/>
    <cellStyle name="Milliers 2 5 3 2 3 3" xfId="5329"/>
    <cellStyle name="Milliers 2 5 3 2 4" xfId="1729"/>
    <cellStyle name="Milliers 2 5 3 2 4 2" xfId="3889"/>
    <cellStyle name="Milliers 2 5 3 2 4 2 2" xfId="8209"/>
    <cellStyle name="Milliers 2 5 3 2 4 3" xfId="6049"/>
    <cellStyle name="Milliers 2 5 3 2 5" xfId="2449"/>
    <cellStyle name="Milliers 2 5 3 2 5 2" xfId="6769"/>
    <cellStyle name="Milliers 2 5 3 2 6" xfId="4609"/>
    <cellStyle name="Milliers 2 5 3 3" xfId="469"/>
    <cellStyle name="Milliers 2 5 3 3 2" xfId="1189"/>
    <cellStyle name="Milliers 2 5 3 3 2 2" xfId="3349"/>
    <cellStyle name="Milliers 2 5 3 3 2 2 2" xfId="7669"/>
    <cellStyle name="Milliers 2 5 3 3 2 3" xfId="5509"/>
    <cellStyle name="Milliers 2 5 3 3 3" xfId="1909"/>
    <cellStyle name="Milliers 2 5 3 3 3 2" xfId="4069"/>
    <cellStyle name="Milliers 2 5 3 3 3 2 2" xfId="8389"/>
    <cellStyle name="Milliers 2 5 3 3 3 3" xfId="6229"/>
    <cellStyle name="Milliers 2 5 3 3 4" xfId="2629"/>
    <cellStyle name="Milliers 2 5 3 3 4 2" xfId="6949"/>
    <cellStyle name="Milliers 2 5 3 3 5" xfId="4789"/>
    <cellStyle name="Milliers 2 5 3 4" xfId="829"/>
    <cellStyle name="Milliers 2 5 3 4 2" xfId="2989"/>
    <cellStyle name="Milliers 2 5 3 4 2 2" xfId="7309"/>
    <cellStyle name="Milliers 2 5 3 4 3" xfId="5149"/>
    <cellStyle name="Milliers 2 5 3 5" xfId="1549"/>
    <cellStyle name="Milliers 2 5 3 5 2" xfId="3709"/>
    <cellStyle name="Milliers 2 5 3 5 2 2" xfId="8029"/>
    <cellStyle name="Milliers 2 5 3 5 3" xfId="5869"/>
    <cellStyle name="Milliers 2 5 3 6" xfId="2269"/>
    <cellStyle name="Milliers 2 5 3 6 2" xfId="6589"/>
    <cellStyle name="Milliers 2 5 3 7" xfId="4429"/>
    <cellStyle name="Milliers 2 5 4" xfId="199"/>
    <cellStyle name="Milliers 2 5 4 2" xfId="559"/>
    <cellStyle name="Milliers 2 5 4 2 2" xfId="1279"/>
    <cellStyle name="Milliers 2 5 4 2 2 2" xfId="3439"/>
    <cellStyle name="Milliers 2 5 4 2 2 2 2" xfId="7759"/>
    <cellStyle name="Milliers 2 5 4 2 2 3" xfId="5599"/>
    <cellStyle name="Milliers 2 5 4 2 3" xfId="1999"/>
    <cellStyle name="Milliers 2 5 4 2 3 2" xfId="4159"/>
    <cellStyle name="Milliers 2 5 4 2 3 2 2" xfId="8479"/>
    <cellStyle name="Milliers 2 5 4 2 3 3" xfId="6319"/>
    <cellStyle name="Milliers 2 5 4 2 4" xfId="2719"/>
    <cellStyle name="Milliers 2 5 4 2 4 2" xfId="7039"/>
    <cellStyle name="Milliers 2 5 4 2 5" xfId="4879"/>
    <cellStyle name="Milliers 2 5 4 3" xfId="919"/>
    <cellStyle name="Milliers 2 5 4 3 2" xfId="3079"/>
    <cellStyle name="Milliers 2 5 4 3 2 2" xfId="7399"/>
    <cellStyle name="Milliers 2 5 4 3 3" xfId="5239"/>
    <cellStyle name="Milliers 2 5 4 4" xfId="1639"/>
    <cellStyle name="Milliers 2 5 4 4 2" xfId="3799"/>
    <cellStyle name="Milliers 2 5 4 4 2 2" xfId="8119"/>
    <cellStyle name="Milliers 2 5 4 4 3" xfId="5959"/>
    <cellStyle name="Milliers 2 5 4 5" xfId="2359"/>
    <cellStyle name="Milliers 2 5 4 5 2" xfId="6679"/>
    <cellStyle name="Milliers 2 5 4 6" xfId="4519"/>
    <cellStyle name="Milliers 2 5 5" xfId="379"/>
    <cellStyle name="Milliers 2 5 5 2" xfId="1099"/>
    <cellStyle name="Milliers 2 5 5 2 2" xfId="3259"/>
    <cellStyle name="Milliers 2 5 5 2 2 2" xfId="7579"/>
    <cellStyle name="Milliers 2 5 5 2 3" xfId="5419"/>
    <cellStyle name="Milliers 2 5 5 3" xfId="1819"/>
    <cellStyle name="Milliers 2 5 5 3 2" xfId="3979"/>
    <cellStyle name="Milliers 2 5 5 3 2 2" xfId="8299"/>
    <cellStyle name="Milliers 2 5 5 3 3" xfId="6139"/>
    <cellStyle name="Milliers 2 5 5 4" xfId="2539"/>
    <cellStyle name="Milliers 2 5 5 4 2" xfId="6859"/>
    <cellStyle name="Milliers 2 5 5 5" xfId="4699"/>
    <cellStyle name="Milliers 2 5 6" xfId="739"/>
    <cellStyle name="Milliers 2 5 6 2" xfId="2899"/>
    <cellStyle name="Milliers 2 5 6 2 2" xfId="7219"/>
    <cellStyle name="Milliers 2 5 6 3" xfId="5059"/>
    <cellStyle name="Milliers 2 5 7" xfId="1459"/>
    <cellStyle name="Milliers 2 5 7 2" xfId="3619"/>
    <cellStyle name="Milliers 2 5 7 2 2" xfId="7939"/>
    <cellStyle name="Milliers 2 5 7 3" xfId="5779"/>
    <cellStyle name="Milliers 2 5 8" xfId="2179"/>
    <cellStyle name="Milliers 2 5 8 2" xfId="6499"/>
    <cellStyle name="Milliers 2 5 9" xfId="4339"/>
    <cellStyle name="Milliers 2 6" xfId="34"/>
    <cellStyle name="Milliers 2 6 2" xfId="79"/>
    <cellStyle name="Milliers 2 6 2 2" xfId="169"/>
    <cellStyle name="Milliers 2 6 2 2 2" xfId="349"/>
    <cellStyle name="Milliers 2 6 2 2 2 2" xfId="709"/>
    <cellStyle name="Milliers 2 6 2 2 2 2 2" xfId="1429"/>
    <cellStyle name="Milliers 2 6 2 2 2 2 2 2" xfId="3589"/>
    <cellStyle name="Milliers 2 6 2 2 2 2 2 2 2" xfId="7909"/>
    <cellStyle name="Milliers 2 6 2 2 2 2 2 3" xfId="5749"/>
    <cellStyle name="Milliers 2 6 2 2 2 2 3" xfId="2149"/>
    <cellStyle name="Milliers 2 6 2 2 2 2 3 2" xfId="4309"/>
    <cellStyle name="Milliers 2 6 2 2 2 2 3 2 2" xfId="8629"/>
    <cellStyle name="Milliers 2 6 2 2 2 2 3 3" xfId="6469"/>
    <cellStyle name="Milliers 2 6 2 2 2 2 4" xfId="2869"/>
    <cellStyle name="Milliers 2 6 2 2 2 2 4 2" xfId="7189"/>
    <cellStyle name="Milliers 2 6 2 2 2 2 5" xfId="5029"/>
    <cellStyle name="Milliers 2 6 2 2 2 3" xfId="1069"/>
    <cellStyle name="Milliers 2 6 2 2 2 3 2" xfId="3229"/>
    <cellStyle name="Milliers 2 6 2 2 2 3 2 2" xfId="7549"/>
    <cellStyle name="Milliers 2 6 2 2 2 3 3" xfId="5389"/>
    <cellStyle name="Milliers 2 6 2 2 2 4" xfId="1789"/>
    <cellStyle name="Milliers 2 6 2 2 2 4 2" xfId="3949"/>
    <cellStyle name="Milliers 2 6 2 2 2 4 2 2" xfId="8269"/>
    <cellStyle name="Milliers 2 6 2 2 2 4 3" xfId="6109"/>
    <cellStyle name="Milliers 2 6 2 2 2 5" xfId="2509"/>
    <cellStyle name="Milliers 2 6 2 2 2 5 2" xfId="6829"/>
    <cellStyle name="Milliers 2 6 2 2 2 6" xfId="4669"/>
    <cellStyle name="Milliers 2 6 2 2 3" xfId="529"/>
    <cellStyle name="Milliers 2 6 2 2 3 2" xfId="1249"/>
    <cellStyle name="Milliers 2 6 2 2 3 2 2" xfId="3409"/>
    <cellStyle name="Milliers 2 6 2 2 3 2 2 2" xfId="7729"/>
    <cellStyle name="Milliers 2 6 2 2 3 2 3" xfId="5569"/>
    <cellStyle name="Milliers 2 6 2 2 3 3" xfId="1969"/>
    <cellStyle name="Milliers 2 6 2 2 3 3 2" xfId="4129"/>
    <cellStyle name="Milliers 2 6 2 2 3 3 2 2" xfId="8449"/>
    <cellStyle name="Milliers 2 6 2 2 3 3 3" xfId="6289"/>
    <cellStyle name="Milliers 2 6 2 2 3 4" xfId="2689"/>
    <cellStyle name="Milliers 2 6 2 2 3 4 2" xfId="7009"/>
    <cellStyle name="Milliers 2 6 2 2 3 5" xfId="4849"/>
    <cellStyle name="Milliers 2 6 2 2 4" xfId="889"/>
    <cellStyle name="Milliers 2 6 2 2 4 2" xfId="3049"/>
    <cellStyle name="Milliers 2 6 2 2 4 2 2" xfId="7369"/>
    <cellStyle name="Milliers 2 6 2 2 4 3" xfId="5209"/>
    <cellStyle name="Milliers 2 6 2 2 5" xfId="1609"/>
    <cellStyle name="Milliers 2 6 2 2 5 2" xfId="3769"/>
    <cellStyle name="Milliers 2 6 2 2 5 2 2" xfId="8089"/>
    <cellStyle name="Milliers 2 6 2 2 5 3" xfId="5929"/>
    <cellStyle name="Milliers 2 6 2 2 6" xfId="2329"/>
    <cellStyle name="Milliers 2 6 2 2 6 2" xfId="6649"/>
    <cellStyle name="Milliers 2 6 2 2 7" xfId="4489"/>
    <cellStyle name="Milliers 2 6 2 3" xfId="259"/>
    <cellStyle name="Milliers 2 6 2 3 2" xfId="619"/>
    <cellStyle name="Milliers 2 6 2 3 2 2" xfId="1339"/>
    <cellStyle name="Milliers 2 6 2 3 2 2 2" xfId="3499"/>
    <cellStyle name="Milliers 2 6 2 3 2 2 2 2" xfId="7819"/>
    <cellStyle name="Milliers 2 6 2 3 2 2 3" xfId="5659"/>
    <cellStyle name="Milliers 2 6 2 3 2 3" xfId="2059"/>
    <cellStyle name="Milliers 2 6 2 3 2 3 2" xfId="4219"/>
    <cellStyle name="Milliers 2 6 2 3 2 3 2 2" xfId="8539"/>
    <cellStyle name="Milliers 2 6 2 3 2 3 3" xfId="6379"/>
    <cellStyle name="Milliers 2 6 2 3 2 4" xfId="2779"/>
    <cellStyle name="Milliers 2 6 2 3 2 4 2" xfId="7099"/>
    <cellStyle name="Milliers 2 6 2 3 2 5" xfId="4939"/>
    <cellStyle name="Milliers 2 6 2 3 3" xfId="979"/>
    <cellStyle name="Milliers 2 6 2 3 3 2" xfId="3139"/>
    <cellStyle name="Milliers 2 6 2 3 3 2 2" xfId="7459"/>
    <cellStyle name="Milliers 2 6 2 3 3 3" xfId="5299"/>
    <cellStyle name="Milliers 2 6 2 3 4" xfId="1699"/>
    <cellStyle name="Milliers 2 6 2 3 4 2" xfId="3859"/>
    <cellStyle name="Milliers 2 6 2 3 4 2 2" xfId="8179"/>
    <cellStyle name="Milliers 2 6 2 3 4 3" xfId="6019"/>
    <cellStyle name="Milliers 2 6 2 3 5" xfId="2419"/>
    <cellStyle name="Milliers 2 6 2 3 5 2" xfId="6739"/>
    <cellStyle name="Milliers 2 6 2 3 6" xfId="4579"/>
    <cellStyle name="Milliers 2 6 2 4" xfId="439"/>
    <cellStyle name="Milliers 2 6 2 4 2" xfId="1159"/>
    <cellStyle name="Milliers 2 6 2 4 2 2" xfId="3319"/>
    <cellStyle name="Milliers 2 6 2 4 2 2 2" xfId="7639"/>
    <cellStyle name="Milliers 2 6 2 4 2 3" xfId="5479"/>
    <cellStyle name="Milliers 2 6 2 4 3" xfId="1879"/>
    <cellStyle name="Milliers 2 6 2 4 3 2" xfId="4039"/>
    <cellStyle name="Milliers 2 6 2 4 3 2 2" xfId="8359"/>
    <cellStyle name="Milliers 2 6 2 4 3 3" xfId="6199"/>
    <cellStyle name="Milliers 2 6 2 4 4" xfId="2599"/>
    <cellStyle name="Milliers 2 6 2 4 4 2" xfId="6919"/>
    <cellStyle name="Milliers 2 6 2 4 5" xfId="4759"/>
    <cellStyle name="Milliers 2 6 2 5" xfId="799"/>
    <cellStyle name="Milliers 2 6 2 5 2" xfId="2959"/>
    <cellStyle name="Milliers 2 6 2 5 2 2" xfId="7279"/>
    <cellStyle name="Milliers 2 6 2 5 3" xfId="5119"/>
    <cellStyle name="Milliers 2 6 2 6" xfId="1519"/>
    <cellStyle name="Milliers 2 6 2 6 2" xfId="3679"/>
    <cellStyle name="Milliers 2 6 2 6 2 2" xfId="7999"/>
    <cellStyle name="Milliers 2 6 2 6 3" xfId="5839"/>
    <cellStyle name="Milliers 2 6 2 7" xfId="2239"/>
    <cellStyle name="Milliers 2 6 2 7 2" xfId="6559"/>
    <cellStyle name="Milliers 2 6 2 8" xfId="4399"/>
    <cellStyle name="Milliers 2 6 3" xfId="124"/>
    <cellStyle name="Milliers 2 6 3 2" xfId="304"/>
    <cellStyle name="Milliers 2 6 3 2 2" xfId="664"/>
    <cellStyle name="Milliers 2 6 3 2 2 2" xfId="1384"/>
    <cellStyle name="Milliers 2 6 3 2 2 2 2" xfId="3544"/>
    <cellStyle name="Milliers 2 6 3 2 2 2 2 2" xfId="7864"/>
    <cellStyle name="Milliers 2 6 3 2 2 2 3" xfId="5704"/>
    <cellStyle name="Milliers 2 6 3 2 2 3" xfId="2104"/>
    <cellStyle name="Milliers 2 6 3 2 2 3 2" xfId="4264"/>
    <cellStyle name="Milliers 2 6 3 2 2 3 2 2" xfId="8584"/>
    <cellStyle name="Milliers 2 6 3 2 2 3 3" xfId="6424"/>
    <cellStyle name="Milliers 2 6 3 2 2 4" xfId="2824"/>
    <cellStyle name="Milliers 2 6 3 2 2 4 2" xfId="7144"/>
    <cellStyle name="Milliers 2 6 3 2 2 5" xfId="4984"/>
    <cellStyle name="Milliers 2 6 3 2 3" xfId="1024"/>
    <cellStyle name="Milliers 2 6 3 2 3 2" xfId="3184"/>
    <cellStyle name="Milliers 2 6 3 2 3 2 2" xfId="7504"/>
    <cellStyle name="Milliers 2 6 3 2 3 3" xfId="5344"/>
    <cellStyle name="Milliers 2 6 3 2 4" xfId="1744"/>
    <cellStyle name="Milliers 2 6 3 2 4 2" xfId="3904"/>
    <cellStyle name="Milliers 2 6 3 2 4 2 2" xfId="8224"/>
    <cellStyle name="Milliers 2 6 3 2 4 3" xfId="6064"/>
    <cellStyle name="Milliers 2 6 3 2 5" xfId="2464"/>
    <cellStyle name="Milliers 2 6 3 2 5 2" xfId="6784"/>
    <cellStyle name="Milliers 2 6 3 2 6" xfId="4624"/>
    <cellStyle name="Milliers 2 6 3 3" xfId="484"/>
    <cellStyle name="Milliers 2 6 3 3 2" xfId="1204"/>
    <cellStyle name="Milliers 2 6 3 3 2 2" xfId="3364"/>
    <cellStyle name="Milliers 2 6 3 3 2 2 2" xfId="7684"/>
    <cellStyle name="Milliers 2 6 3 3 2 3" xfId="5524"/>
    <cellStyle name="Milliers 2 6 3 3 3" xfId="1924"/>
    <cellStyle name="Milliers 2 6 3 3 3 2" xfId="4084"/>
    <cellStyle name="Milliers 2 6 3 3 3 2 2" xfId="8404"/>
    <cellStyle name="Milliers 2 6 3 3 3 3" xfId="6244"/>
    <cellStyle name="Milliers 2 6 3 3 4" xfId="2644"/>
    <cellStyle name="Milliers 2 6 3 3 4 2" xfId="6964"/>
    <cellStyle name="Milliers 2 6 3 3 5" xfId="4804"/>
    <cellStyle name="Milliers 2 6 3 4" xfId="844"/>
    <cellStyle name="Milliers 2 6 3 4 2" xfId="3004"/>
    <cellStyle name="Milliers 2 6 3 4 2 2" xfId="7324"/>
    <cellStyle name="Milliers 2 6 3 4 3" xfId="5164"/>
    <cellStyle name="Milliers 2 6 3 5" xfId="1564"/>
    <cellStyle name="Milliers 2 6 3 5 2" xfId="3724"/>
    <cellStyle name="Milliers 2 6 3 5 2 2" xfId="8044"/>
    <cellStyle name="Milliers 2 6 3 5 3" xfId="5884"/>
    <cellStyle name="Milliers 2 6 3 6" xfId="2284"/>
    <cellStyle name="Milliers 2 6 3 6 2" xfId="6604"/>
    <cellStyle name="Milliers 2 6 3 7" xfId="4444"/>
    <cellStyle name="Milliers 2 6 4" xfId="214"/>
    <cellStyle name="Milliers 2 6 4 2" xfId="574"/>
    <cellStyle name="Milliers 2 6 4 2 2" xfId="1294"/>
    <cellStyle name="Milliers 2 6 4 2 2 2" xfId="3454"/>
    <cellStyle name="Milliers 2 6 4 2 2 2 2" xfId="7774"/>
    <cellStyle name="Milliers 2 6 4 2 2 3" xfId="5614"/>
    <cellStyle name="Milliers 2 6 4 2 3" xfId="2014"/>
    <cellStyle name="Milliers 2 6 4 2 3 2" xfId="4174"/>
    <cellStyle name="Milliers 2 6 4 2 3 2 2" xfId="8494"/>
    <cellStyle name="Milliers 2 6 4 2 3 3" xfId="6334"/>
    <cellStyle name="Milliers 2 6 4 2 4" xfId="2734"/>
    <cellStyle name="Milliers 2 6 4 2 4 2" xfId="7054"/>
    <cellStyle name="Milliers 2 6 4 2 5" xfId="4894"/>
    <cellStyle name="Milliers 2 6 4 3" xfId="934"/>
    <cellStyle name="Milliers 2 6 4 3 2" xfId="3094"/>
    <cellStyle name="Milliers 2 6 4 3 2 2" xfId="7414"/>
    <cellStyle name="Milliers 2 6 4 3 3" xfId="5254"/>
    <cellStyle name="Milliers 2 6 4 4" xfId="1654"/>
    <cellStyle name="Milliers 2 6 4 4 2" xfId="3814"/>
    <cellStyle name="Milliers 2 6 4 4 2 2" xfId="8134"/>
    <cellStyle name="Milliers 2 6 4 4 3" xfId="5974"/>
    <cellStyle name="Milliers 2 6 4 5" xfId="2374"/>
    <cellStyle name="Milliers 2 6 4 5 2" xfId="6694"/>
    <cellStyle name="Milliers 2 6 4 6" xfId="4534"/>
    <cellStyle name="Milliers 2 6 5" xfId="394"/>
    <cellStyle name="Milliers 2 6 5 2" xfId="1114"/>
    <cellStyle name="Milliers 2 6 5 2 2" xfId="3274"/>
    <cellStyle name="Milliers 2 6 5 2 2 2" xfId="7594"/>
    <cellStyle name="Milliers 2 6 5 2 3" xfId="5434"/>
    <cellStyle name="Milliers 2 6 5 3" xfId="1834"/>
    <cellStyle name="Milliers 2 6 5 3 2" xfId="3994"/>
    <cellStyle name="Milliers 2 6 5 3 2 2" xfId="8314"/>
    <cellStyle name="Milliers 2 6 5 3 3" xfId="6154"/>
    <cellStyle name="Milliers 2 6 5 4" xfId="2554"/>
    <cellStyle name="Milliers 2 6 5 4 2" xfId="6874"/>
    <cellStyle name="Milliers 2 6 5 5" xfId="4714"/>
    <cellStyle name="Milliers 2 6 6" xfId="754"/>
    <cellStyle name="Milliers 2 6 6 2" xfId="2914"/>
    <cellStyle name="Milliers 2 6 6 2 2" xfId="7234"/>
    <cellStyle name="Milliers 2 6 6 3" xfId="5074"/>
    <cellStyle name="Milliers 2 6 7" xfId="1474"/>
    <cellStyle name="Milliers 2 6 7 2" xfId="3634"/>
    <cellStyle name="Milliers 2 6 7 2 2" xfId="7954"/>
    <cellStyle name="Milliers 2 6 7 3" xfId="5794"/>
    <cellStyle name="Milliers 2 6 8" xfId="2194"/>
    <cellStyle name="Milliers 2 6 8 2" xfId="6514"/>
    <cellStyle name="Milliers 2 6 9" xfId="4354"/>
    <cellStyle name="Milliers 2 7" xfId="49"/>
    <cellStyle name="Milliers 2 7 2" xfId="139"/>
    <cellStyle name="Milliers 2 7 2 2" xfId="319"/>
    <cellStyle name="Milliers 2 7 2 2 2" xfId="679"/>
    <cellStyle name="Milliers 2 7 2 2 2 2" xfId="1399"/>
    <cellStyle name="Milliers 2 7 2 2 2 2 2" xfId="3559"/>
    <cellStyle name="Milliers 2 7 2 2 2 2 2 2" xfId="7879"/>
    <cellStyle name="Milliers 2 7 2 2 2 2 3" xfId="5719"/>
    <cellStyle name="Milliers 2 7 2 2 2 3" xfId="2119"/>
    <cellStyle name="Milliers 2 7 2 2 2 3 2" xfId="4279"/>
    <cellStyle name="Milliers 2 7 2 2 2 3 2 2" xfId="8599"/>
    <cellStyle name="Milliers 2 7 2 2 2 3 3" xfId="6439"/>
    <cellStyle name="Milliers 2 7 2 2 2 4" xfId="2839"/>
    <cellStyle name="Milliers 2 7 2 2 2 4 2" xfId="7159"/>
    <cellStyle name="Milliers 2 7 2 2 2 5" xfId="4999"/>
    <cellStyle name="Milliers 2 7 2 2 3" xfId="1039"/>
    <cellStyle name="Milliers 2 7 2 2 3 2" xfId="3199"/>
    <cellStyle name="Milliers 2 7 2 2 3 2 2" xfId="7519"/>
    <cellStyle name="Milliers 2 7 2 2 3 3" xfId="5359"/>
    <cellStyle name="Milliers 2 7 2 2 4" xfId="1759"/>
    <cellStyle name="Milliers 2 7 2 2 4 2" xfId="3919"/>
    <cellStyle name="Milliers 2 7 2 2 4 2 2" xfId="8239"/>
    <cellStyle name="Milliers 2 7 2 2 4 3" xfId="6079"/>
    <cellStyle name="Milliers 2 7 2 2 5" xfId="2479"/>
    <cellStyle name="Milliers 2 7 2 2 5 2" xfId="6799"/>
    <cellStyle name="Milliers 2 7 2 2 6" xfId="4639"/>
    <cellStyle name="Milliers 2 7 2 3" xfId="499"/>
    <cellStyle name="Milliers 2 7 2 3 2" xfId="1219"/>
    <cellStyle name="Milliers 2 7 2 3 2 2" xfId="3379"/>
    <cellStyle name="Milliers 2 7 2 3 2 2 2" xfId="7699"/>
    <cellStyle name="Milliers 2 7 2 3 2 3" xfId="5539"/>
    <cellStyle name="Milliers 2 7 2 3 3" xfId="1939"/>
    <cellStyle name="Milliers 2 7 2 3 3 2" xfId="4099"/>
    <cellStyle name="Milliers 2 7 2 3 3 2 2" xfId="8419"/>
    <cellStyle name="Milliers 2 7 2 3 3 3" xfId="6259"/>
    <cellStyle name="Milliers 2 7 2 3 4" xfId="2659"/>
    <cellStyle name="Milliers 2 7 2 3 4 2" xfId="6979"/>
    <cellStyle name="Milliers 2 7 2 3 5" xfId="4819"/>
    <cellStyle name="Milliers 2 7 2 4" xfId="859"/>
    <cellStyle name="Milliers 2 7 2 4 2" xfId="3019"/>
    <cellStyle name="Milliers 2 7 2 4 2 2" xfId="7339"/>
    <cellStyle name="Milliers 2 7 2 4 3" xfId="5179"/>
    <cellStyle name="Milliers 2 7 2 5" xfId="1579"/>
    <cellStyle name="Milliers 2 7 2 5 2" xfId="3739"/>
    <cellStyle name="Milliers 2 7 2 5 2 2" xfId="8059"/>
    <cellStyle name="Milliers 2 7 2 5 3" xfId="5899"/>
    <cellStyle name="Milliers 2 7 2 6" xfId="2299"/>
    <cellStyle name="Milliers 2 7 2 6 2" xfId="6619"/>
    <cellStyle name="Milliers 2 7 2 7" xfId="4459"/>
    <cellStyle name="Milliers 2 7 3" xfId="229"/>
    <cellStyle name="Milliers 2 7 3 2" xfId="589"/>
    <cellStyle name="Milliers 2 7 3 2 2" xfId="1309"/>
    <cellStyle name="Milliers 2 7 3 2 2 2" xfId="3469"/>
    <cellStyle name="Milliers 2 7 3 2 2 2 2" xfId="7789"/>
    <cellStyle name="Milliers 2 7 3 2 2 3" xfId="5629"/>
    <cellStyle name="Milliers 2 7 3 2 3" xfId="2029"/>
    <cellStyle name="Milliers 2 7 3 2 3 2" xfId="4189"/>
    <cellStyle name="Milliers 2 7 3 2 3 2 2" xfId="8509"/>
    <cellStyle name="Milliers 2 7 3 2 3 3" xfId="6349"/>
    <cellStyle name="Milliers 2 7 3 2 4" xfId="2749"/>
    <cellStyle name="Milliers 2 7 3 2 4 2" xfId="7069"/>
    <cellStyle name="Milliers 2 7 3 2 5" xfId="4909"/>
    <cellStyle name="Milliers 2 7 3 3" xfId="949"/>
    <cellStyle name="Milliers 2 7 3 3 2" xfId="3109"/>
    <cellStyle name="Milliers 2 7 3 3 2 2" xfId="7429"/>
    <cellStyle name="Milliers 2 7 3 3 3" xfId="5269"/>
    <cellStyle name="Milliers 2 7 3 4" xfId="1669"/>
    <cellStyle name="Milliers 2 7 3 4 2" xfId="3829"/>
    <cellStyle name="Milliers 2 7 3 4 2 2" xfId="8149"/>
    <cellStyle name="Milliers 2 7 3 4 3" xfId="5989"/>
    <cellStyle name="Milliers 2 7 3 5" xfId="2389"/>
    <cellStyle name="Milliers 2 7 3 5 2" xfId="6709"/>
    <cellStyle name="Milliers 2 7 3 6" xfId="4549"/>
    <cellStyle name="Milliers 2 7 4" xfId="409"/>
    <cellStyle name="Milliers 2 7 4 2" xfId="1129"/>
    <cellStyle name="Milliers 2 7 4 2 2" xfId="3289"/>
    <cellStyle name="Milliers 2 7 4 2 2 2" xfId="7609"/>
    <cellStyle name="Milliers 2 7 4 2 3" xfId="5449"/>
    <cellStyle name="Milliers 2 7 4 3" xfId="1849"/>
    <cellStyle name="Milliers 2 7 4 3 2" xfId="4009"/>
    <cellStyle name="Milliers 2 7 4 3 2 2" xfId="8329"/>
    <cellStyle name="Milliers 2 7 4 3 3" xfId="6169"/>
    <cellStyle name="Milliers 2 7 4 4" xfId="2569"/>
    <cellStyle name="Milliers 2 7 4 4 2" xfId="6889"/>
    <cellStyle name="Milliers 2 7 4 5" xfId="4729"/>
    <cellStyle name="Milliers 2 7 5" xfId="769"/>
    <cellStyle name="Milliers 2 7 5 2" xfId="2929"/>
    <cellStyle name="Milliers 2 7 5 2 2" xfId="7249"/>
    <cellStyle name="Milliers 2 7 5 3" xfId="5089"/>
    <cellStyle name="Milliers 2 7 6" xfId="1489"/>
    <cellStyle name="Milliers 2 7 6 2" xfId="3649"/>
    <cellStyle name="Milliers 2 7 6 2 2" xfId="7969"/>
    <cellStyle name="Milliers 2 7 6 3" xfId="5809"/>
    <cellStyle name="Milliers 2 7 7" xfId="2209"/>
    <cellStyle name="Milliers 2 7 7 2" xfId="6529"/>
    <cellStyle name="Milliers 2 7 8" xfId="4369"/>
    <cellStyle name="Milliers 2 8" xfId="94"/>
    <cellStyle name="Milliers 2 8 2" xfId="274"/>
    <cellStyle name="Milliers 2 8 2 2" xfId="634"/>
    <cellStyle name="Milliers 2 8 2 2 2" xfId="1354"/>
    <cellStyle name="Milliers 2 8 2 2 2 2" xfId="3514"/>
    <cellStyle name="Milliers 2 8 2 2 2 2 2" xfId="7834"/>
    <cellStyle name="Milliers 2 8 2 2 2 3" xfId="5674"/>
    <cellStyle name="Milliers 2 8 2 2 3" xfId="2074"/>
    <cellStyle name="Milliers 2 8 2 2 3 2" xfId="4234"/>
    <cellStyle name="Milliers 2 8 2 2 3 2 2" xfId="8554"/>
    <cellStyle name="Milliers 2 8 2 2 3 3" xfId="6394"/>
    <cellStyle name="Milliers 2 8 2 2 4" xfId="2794"/>
    <cellStyle name="Milliers 2 8 2 2 4 2" xfId="7114"/>
    <cellStyle name="Milliers 2 8 2 2 5" xfId="4954"/>
    <cellStyle name="Milliers 2 8 2 3" xfId="994"/>
    <cellStyle name="Milliers 2 8 2 3 2" xfId="3154"/>
    <cellStyle name="Milliers 2 8 2 3 2 2" xfId="7474"/>
    <cellStyle name="Milliers 2 8 2 3 3" xfId="5314"/>
    <cellStyle name="Milliers 2 8 2 4" xfId="1714"/>
    <cellStyle name="Milliers 2 8 2 4 2" xfId="3874"/>
    <cellStyle name="Milliers 2 8 2 4 2 2" xfId="8194"/>
    <cellStyle name="Milliers 2 8 2 4 3" xfId="6034"/>
    <cellStyle name="Milliers 2 8 2 5" xfId="2434"/>
    <cellStyle name="Milliers 2 8 2 5 2" xfId="6754"/>
    <cellStyle name="Milliers 2 8 2 6" xfId="4594"/>
    <cellStyle name="Milliers 2 8 3" xfId="454"/>
    <cellStyle name="Milliers 2 8 3 2" xfId="1174"/>
    <cellStyle name="Milliers 2 8 3 2 2" xfId="3334"/>
    <cellStyle name="Milliers 2 8 3 2 2 2" xfId="7654"/>
    <cellStyle name="Milliers 2 8 3 2 3" xfId="5494"/>
    <cellStyle name="Milliers 2 8 3 3" xfId="1894"/>
    <cellStyle name="Milliers 2 8 3 3 2" xfId="4054"/>
    <cellStyle name="Milliers 2 8 3 3 2 2" xfId="8374"/>
    <cellStyle name="Milliers 2 8 3 3 3" xfId="6214"/>
    <cellStyle name="Milliers 2 8 3 4" xfId="2614"/>
    <cellStyle name="Milliers 2 8 3 4 2" xfId="6934"/>
    <cellStyle name="Milliers 2 8 3 5" xfId="4774"/>
    <cellStyle name="Milliers 2 8 4" xfId="814"/>
    <cellStyle name="Milliers 2 8 4 2" xfId="2974"/>
    <cellStyle name="Milliers 2 8 4 2 2" xfId="7294"/>
    <cellStyle name="Milliers 2 8 4 3" xfId="5134"/>
    <cellStyle name="Milliers 2 8 5" xfId="1534"/>
    <cellStyle name="Milliers 2 8 5 2" xfId="3694"/>
    <cellStyle name="Milliers 2 8 5 2 2" xfId="8014"/>
    <cellStyle name="Milliers 2 8 5 3" xfId="5854"/>
    <cellStyle name="Milliers 2 8 6" xfId="2254"/>
    <cellStyle name="Milliers 2 8 6 2" xfId="6574"/>
    <cellStyle name="Milliers 2 8 7" xfId="4414"/>
    <cellStyle name="Milliers 2 9" xfId="184"/>
    <cellStyle name="Milliers 2 9 2" xfId="544"/>
    <cellStyle name="Milliers 2 9 2 2" xfId="1264"/>
    <cellStyle name="Milliers 2 9 2 2 2" xfId="3424"/>
    <cellStyle name="Milliers 2 9 2 2 2 2" xfId="7744"/>
    <cellStyle name="Milliers 2 9 2 2 3" xfId="5584"/>
    <cellStyle name="Milliers 2 9 2 3" xfId="1984"/>
    <cellStyle name="Milliers 2 9 2 3 2" xfId="4144"/>
    <cellStyle name="Milliers 2 9 2 3 2 2" xfId="8464"/>
    <cellStyle name="Milliers 2 9 2 3 3" xfId="6304"/>
    <cellStyle name="Milliers 2 9 2 4" xfId="2704"/>
    <cellStyle name="Milliers 2 9 2 4 2" xfId="7024"/>
    <cellStyle name="Milliers 2 9 2 5" xfId="4864"/>
    <cellStyle name="Milliers 2 9 3" xfId="904"/>
    <cellStyle name="Milliers 2 9 3 2" xfId="3064"/>
    <cellStyle name="Milliers 2 9 3 2 2" xfId="7384"/>
    <cellStyle name="Milliers 2 9 3 3" xfId="5224"/>
    <cellStyle name="Milliers 2 9 4" xfId="1624"/>
    <cellStyle name="Milliers 2 9 4 2" xfId="3784"/>
    <cellStyle name="Milliers 2 9 4 2 2" xfId="8104"/>
    <cellStyle name="Milliers 2 9 4 3" xfId="5944"/>
    <cellStyle name="Milliers 2 9 5" xfId="2344"/>
    <cellStyle name="Milliers 2 9 5 2" xfId="6664"/>
    <cellStyle name="Milliers 2 9 6" xfId="4504"/>
    <cellStyle name="Milliers 3" xfId="4"/>
    <cellStyle name="Milliers 3 10" xfId="365"/>
    <cellStyle name="Milliers 3 10 2" xfId="1085"/>
    <cellStyle name="Milliers 3 10 2 2" xfId="3245"/>
    <cellStyle name="Milliers 3 10 2 2 2" xfId="7565"/>
    <cellStyle name="Milliers 3 10 2 3" xfId="5405"/>
    <cellStyle name="Milliers 3 10 3" xfId="1805"/>
    <cellStyle name="Milliers 3 10 3 2" xfId="3965"/>
    <cellStyle name="Milliers 3 10 3 2 2" xfId="8285"/>
    <cellStyle name="Milliers 3 10 3 3" xfId="6125"/>
    <cellStyle name="Milliers 3 10 4" xfId="2525"/>
    <cellStyle name="Milliers 3 10 4 2" xfId="6845"/>
    <cellStyle name="Milliers 3 10 5" xfId="4685"/>
    <cellStyle name="Milliers 3 11" xfId="725"/>
    <cellStyle name="Milliers 3 11 2" xfId="2885"/>
    <cellStyle name="Milliers 3 11 2 2" xfId="7205"/>
    <cellStyle name="Milliers 3 11 3" xfId="5045"/>
    <cellStyle name="Milliers 3 12" xfId="1445"/>
    <cellStyle name="Milliers 3 12 2" xfId="3605"/>
    <cellStyle name="Milliers 3 12 2 2" xfId="7925"/>
    <cellStyle name="Milliers 3 12 3" xfId="5765"/>
    <cellStyle name="Milliers 3 13" xfId="2165"/>
    <cellStyle name="Milliers 3 13 2" xfId="6485"/>
    <cellStyle name="Milliers 3 14" xfId="4325"/>
    <cellStyle name="Milliers 3 2" xfId="8"/>
    <cellStyle name="Milliers 3 2 10" xfId="1448"/>
    <cellStyle name="Milliers 3 2 10 2" xfId="3608"/>
    <cellStyle name="Milliers 3 2 10 2 2" xfId="7928"/>
    <cellStyle name="Milliers 3 2 10 3" xfId="5768"/>
    <cellStyle name="Milliers 3 2 11" xfId="2168"/>
    <cellStyle name="Milliers 3 2 11 2" xfId="6488"/>
    <cellStyle name="Milliers 3 2 12" xfId="4328"/>
    <cellStyle name="Milliers 3 2 2" xfId="14"/>
    <cellStyle name="Milliers 3 2 2 10" xfId="2174"/>
    <cellStyle name="Milliers 3 2 2 10 2" xfId="6494"/>
    <cellStyle name="Milliers 3 2 2 11" xfId="4334"/>
    <cellStyle name="Milliers 3 2 2 2" xfId="29"/>
    <cellStyle name="Milliers 3 2 2 2 2" xfId="74"/>
    <cellStyle name="Milliers 3 2 2 2 2 2" xfId="164"/>
    <cellStyle name="Milliers 3 2 2 2 2 2 2" xfId="344"/>
    <cellStyle name="Milliers 3 2 2 2 2 2 2 2" xfId="704"/>
    <cellStyle name="Milliers 3 2 2 2 2 2 2 2 2" xfId="1424"/>
    <cellStyle name="Milliers 3 2 2 2 2 2 2 2 2 2" xfId="3584"/>
    <cellStyle name="Milliers 3 2 2 2 2 2 2 2 2 2 2" xfId="7904"/>
    <cellStyle name="Milliers 3 2 2 2 2 2 2 2 2 3" xfId="5744"/>
    <cellStyle name="Milliers 3 2 2 2 2 2 2 2 3" xfId="2144"/>
    <cellStyle name="Milliers 3 2 2 2 2 2 2 2 3 2" xfId="4304"/>
    <cellStyle name="Milliers 3 2 2 2 2 2 2 2 3 2 2" xfId="8624"/>
    <cellStyle name="Milliers 3 2 2 2 2 2 2 2 3 3" xfId="6464"/>
    <cellStyle name="Milliers 3 2 2 2 2 2 2 2 4" xfId="2864"/>
    <cellStyle name="Milliers 3 2 2 2 2 2 2 2 4 2" xfId="7184"/>
    <cellStyle name="Milliers 3 2 2 2 2 2 2 2 5" xfId="5024"/>
    <cellStyle name="Milliers 3 2 2 2 2 2 2 3" xfId="1064"/>
    <cellStyle name="Milliers 3 2 2 2 2 2 2 3 2" xfId="3224"/>
    <cellStyle name="Milliers 3 2 2 2 2 2 2 3 2 2" xfId="7544"/>
    <cellStyle name="Milliers 3 2 2 2 2 2 2 3 3" xfId="5384"/>
    <cellStyle name="Milliers 3 2 2 2 2 2 2 4" xfId="1784"/>
    <cellStyle name="Milliers 3 2 2 2 2 2 2 4 2" xfId="3944"/>
    <cellStyle name="Milliers 3 2 2 2 2 2 2 4 2 2" xfId="8264"/>
    <cellStyle name="Milliers 3 2 2 2 2 2 2 4 3" xfId="6104"/>
    <cellStyle name="Milliers 3 2 2 2 2 2 2 5" xfId="2504"/>
    <cellStyle name="Milliers 3 2 2 2 2 2 2 5 2" xfId="6824"/>
    <cellStyle name="Milliers 3 2 2 2 2 2 2 6" xfId="4664"/>
    <cellStyle name="Milliers 3 2 2 2 2 2 3" xfId="524"/>
    <cellStyle name="Milliers 3 2 2 2 2 2 3 2" xfId="1244"/>
    <cellStyle name="Milliers 3 2 2 2 2 2 3 2 2" xfId="3404"/>
    <cellStyle name="Milliers 3 2 2 2 2 2 3 2 2 2" xfId="7724"/>
    <cellStyle name="Milliers 3 2 2 2 2 2 3 2 3" xfId="5564"/>
    <cellStyle name="Milliers 3 2 2 2 2 2 3 3" xfId="1964"/>
    <cellStyle name="Milliers 3 2 2 2 2 2 3 3 2" xfId="4124"/>
    <cellStyle name="Milliers 3 2 2 2 2 2 3 3 2 2" xfId="8444"/>
    <cellStyle name="Milliers 3 2 2 2 2 2 3 3 3" xfId="6284"/>
    <cellStyle name="Milliers 3 2 2 2 2 2 3 4" xfId="2684"/>
    <cellStyle name="Milliers 3 2 2 2 2 2 3 4 2" xfId="7004"/>
    <cellStyle name="Milliers 3 2 2 2 2 2 3 5" xfId="4844"/>
    <cellStyle name="Milliers 3 2 2 2 2 2 4" xfId="884"/>
    <cellStyle name="Milliers 3 2 2 2 2 2 4 2" xfId="3044"/>
    <cellStyle name="Milliers 3 2 2 2 2 2 4 2 2" xfId="7364"/>
    <cellStyle name="Milliers 3 2 2 2 2 2 4 3" xfId="5204"/>
    <cellStyle name="Milliers 3 2 2 2 2 2 5" xfId="1604"/>
    <cellStyle name="Milliers 3 2 2 2 2 2 5 2" xfId="3764"/>
    <cellStyle name="Milliers 3 2 2 2 2 2 5 2 2" xfId="8084"/>
    <cellStyle name="Milliers 3 2 2 2 2 2 5 3" xfId="5924"/>
    <cellStyle name="Milliers 3 2 2 2 2 2 6" xfId="2324"/>
    <cellStyle name="Milliers 3 2 2 2 2 2 6 2" xfId="6644"/>
    <cellStyle name="Milliers 3 2 2 2 2 2 7" xfId="4484"/>
    <cellStyle name="Milliers 3 2 2 2 2 3" xfId="254"/>
    <cellStyle name="Milliers 3 2 2 2 2 3 2" xfId="614"/>
    <cellStyle name="Milliers 3 2 2 2 2 3 2 2" xfId="1334"/>
    <cellStyle name="Milliers 3 2 2 2 2 3 2 2 2" xfId="3494"/>
    <cellStyle name="Milliers 3 2 2 2 2 3 2 2 2 2" xfId="7814"/>
    <cellStyle name="Milliers 3 2 2 2 2 3 2 2 3" xfId="5654"/>
    <cellStyle name="Milliers 3 2 2 2 2 3 2 3" xfId="2054"/>
    <cellStyle name="Milliers 3 2 2 2 2 3 2 3 2" xfId="4214"/>
    <cellStyle name="Milliers 3 2 2 2 2 3 2 3 2 2" xfId="8534"/>
    <cellStyle name="Milliers 3 2 2 2 2 3 2 3 3" xfId="6374"/>
    <cellStyle name="Milliers 3 2 2 2 2 3 2 4" xfId="2774"/>
    <cellStyle name="Milliers 3 2 2 2 2 3 2 4 2" xfId="7094"/>
    <cellStyle name="Milliers 3 2 2 2 2 3 2 5" xfId="4934"/>
    <cellStyle name="Milliers 3 2 2 2 2 3 3" xfId="974"/>
    <cellStyle name="Milliers 3 2 2 2 2 3 3 2" xfId="3134"/>
    <cellStyle name="Milliers 3 2 2 2 2 3 3 2 2" xfId="7454"/>
    <cellStyle name="Milliers 3 2 2 2 2 3 3 3" xfId="5294"/>
    <cellStyle name="Milliers 3 2 2 2 2 3 4" xfId="1694"/>
    <cellStyle name="Milliers 3 2 2 2 2 3 4 2" xfId="3854"/>
    <cellStyle name="Milliers 3 2 2 2 2 3 4 2 2" xfId="8174"/>
    <cellStyle name="Milliers 3 2 2 2 2 3 4 3" xfId="6014"/>
    <cellStyle name="Milliers 3 2 2 2 2 3 5" xfId="2414"/>
    <cellStyle name="Milliers 3 2 2 2 2 3 5 2" xfId="6734"/>
    <cellStyle name="Milliers 3 2 2 2 2 3 6" xfId="4574"/>
    <cellStyle name="Milliers 3 2 2 2 2 4" xfId="434"/>
    <cellStyle name="Milliers 3 2 2 2 2 4 2" xfId="1154"/>
    <cellStyle name="Milliers 3 2 2 2 2 4 2 2" xfId="3314"/>
    <cellStyle name="Milliers 3 2 2 2 2 4 2 2 2" xfId="7634"/>
    <cellStyle name="Milliers 3 2 2 2 2 4 2 3" xfId="5474"/>
    <cellStyle name="Milliers 3 2 2 2 2 4 3" xfId="1874"/>
    <cellStyle name="Milliers 3 2 2 2 2 4 3 2" xfId="4034"/>
    <cellStyle name="Milliers 3 2 2 2 2 4 3 2 2" xfId="8354"/>
    <cellStyle name="Milliers 3 2 2 2 2 4 3 3" xfId="6194"/>
    <cellStyle name="Milliers 3 2 2 2 2 4 4" xfId="2594"/>
    <cellStyle name="Milliers 3 2 2 2 2 4 4 2" xfId="6914"/>
    <cellStyle name="Milliers 3 2 2 2 2 4 5" xfId="4754"/>
    <cellStyle name="Milliers 3 2 2 2 2 5" xfId="794"/>
    <cellStyle name="Milliers 3 2 2 2 2 5 2" xfId="2954"/>
    <cellStyle name="Milliers 3 2 2 2 2 5 2 2" xfId="7274"/>
    <cellStyle name="Milliers 3 2 2 2 2 5 3" xfId="5114"/>
    <cellStyle name="Milliers 3 2 2 2 2 6" xfId="1514"/>
    <cellStyle name="Milliers 3 2 2 2 2 6 2" xfId="3674"/>
    <cellStyle name="Milliers 3 2 2 2 2 6 2 2" xfId="7994"/>
    <cellStyle name="Milliers 3 2 2 2 2 6 3" xfId="5834"/>
    <cellStyle name="Milliers 3 2 2 2 2 7" xfId="2234"/>
    <cellStyle name="Milliers 3 2 2 2 2 7 2" xfId="6554"/>
    <cellStyle name="Milliers 3 2 2 2 2 8" xfId="4394"/>
    <cellStyle name="Milliers 3 2 2 2 3" xfId="119"/>
    <cellStyle name="Milliers 3 2 2 2 3 2" xfId="299"/>
    <cellStyle name="Milliers 3 2 2 2 3 2 2" xfId="659"/>
    <cellStyle name="Milliers 3 2 2 2 3 2 2 2" xfId="1379"/>
    <cellStyle name="Milliers 3 2 2 2 3 2 2 2 2" xfId="3539"/>
    <cellStyle name="Milliers 3 2 2 2 3 2 2 2 2 2" xfId="7859"/>
    <cellStyle name="Milliers 3 2 2 2 3 2 2 2 3" xfId="5699"/>
    <cellStyle name="Milliers 3 2 2 2 3 2 2 3" xfId="2099"/>
    <cellStyle name="Milliers 3 2 2 2 3 2 2 3 2" xfId="4259"/>
    <cellStyle name="Milliers 3 2 2 2 3 2 2 3 2 2" xfId="8579"/>
    <cellStyle name="Milliers 3 2 2 2 3 2 2 3 3" xfId="6419"/>
    <cellStyle name="Milliers 3 2 2 2 3 2 2 4" xfId="2819"/>
    <cellStyle name="Milliers 3 2 2 2 3 2 2 4 2" xfId="7139"/>
    <cellStyle name="Milliers 3 2 2 2 3 2 2 5" xfId="4979"/>
    <cellStyle name="Milliers 3 2 2 2 3 2 3" xfId="1019"/>
    <cellStyle name="Milliers 3 2 2 2 3 2 3 2" xfId="3179"/>
    <cellStyle name="Milliers 3 2 2 2 3 2 3 2 2" xfId="7499"/>
    <cellStyle name="Milliers 3 2 2 2 3 2 3 3" xfId="5339"/>
    <cellStyle name="Milliers 3 2 2 2 3 2 4" xfId="1739"/>
    <cellStyle name="Milliers 3 2 2 2 3 2 4 2" xfId="3899"/>
    <cellStyle name="Milliers 3 2 2 2 3 2 4 2 2" xfId="8219"/>
    <cellStyle name="Milliers 3 2 2 2 3 2 4 3" xfId="6059"/>
    <cellStyle name="Milliers 3 2 2 2 3 2 5" xfId="2459"/>
    <cellStyle name="Milliers 3 2 2 2 3 2 5 2" xfId="6779"/>
    <cellStyle name="Milliers 3 2 2 2 3 2 6" xfId="4619"/>
    <cellStyle name="Milliers 3 2 2 2 3 3" xfId="479"/>
    <cellStyle name="Milliers 3 2 2 2 3 3 2" xfId="1199"/>
    <cellStyle name="Milliers 3 2 2 2 3 3 2 2" xfId="3359"/>
    <cellStyle name="Milliers 3 2 2 2 3 3 2 2 2" xfId="7679"/>
    <cellStyle name="Milliers 3 2 2 2 3 3 2 3" xfId="5519"/>
    <cellStyle name="Milliers 3 2 2 2 3 3 3" xfId="1919"/>
    <cellStyle name="Milliers 3 2 2 2 3 3 3 2" xfId="4079"/>
    <cellStyle name="Milliers 3 2 2 2 3 3 3 2 2" xfId="8399"/>
    <cellStyle name="Milliers 3 2 2 2 3 3 3 3" xfId="6239"/>
    <cellStyle name="Milliers 3 2 2 2 3 3 4" xfId="2639"/>
    <cellStyle name="Milliers 3 2 2 2 3 3 4 2" xfId="6959"/>
    <cellStyle name="Milliers 3 2 2 2 3 3 5" xfId="4799"/>
    <cellStyle name="Milliers 3 2 2 2 3 4" xfId="839"/>
    <cellStyle name="Milliers 3 2 2 2 3 4 2" xfId="2999"/>
    <cellStyle name="Milliers 3 2 2 2 3 4 2 2" xfId="7319"/>
    <cellStyle name="Milliers 3 2 2 2 3 4 3" xfId="5159"/>
    <cellStyle name="Milliers 3 2 2 2 3 5" xfId="1559"/>
    <cellStyle name="Milliers 3 2 2 2 3 5 2" xfId="3719"/>
    <cellStyle name="Milliers 3 2 2 2 3 5 2 2" xfId="8039"/>
    <cellStyle name="Milliers 3 2 2 2 3 5 3" xfId="5879"/>
    <cellStyle name="Milliers 3 2 2 2 3 6" xfId="2279"/>
    <cellStyle name="Milliers 3 2 2 2 3 6 2" xfId="6599"/>
    <cellStyle name="Milliers 3 2 2 2 3 7" xfId="4439"/>
    <cellStyle name="Milliers 3 2 2 2 4" xfId="209"/>
    <cellStyle name="Milliers 3 2 2 2 4 2" xfId="569"/>
    <cellStyle name="Milliers 3 2 2 2 4 2 2" xfId="1289"/>
    <cellStyle name="Milliers 3 2 2 2 4 2 2 2" xfId="3449"/>
    <cellStyle name="Milliers 3 2 2 2 4 2 2 2 2" xfId="7769"/>
    <cellStyle name="Milliers 3 2 2 2 4 2 2 3" xfId="5609"/>
    <cellStyle name="Milliers 3 2 2 2 4 2 3" xfId="2009"/>
    <cellStyle name="Milliers 3 2 2 2 4 2 3 2" xfId="4169"/>
    <cellStyle name="Milliers 3 2 2 2 4 2 3 2 2" xfId="8489"/>
    <cellStyle name="Milliers 3 2 2 2 4 2 3 3" xfId="6329"/>
    <cellStyle name="Milliers 3 2 2 2 4 2 4" xfId="2729"/>
    <cellStyle name="Milliers 3 2 2 2 4 2 4 2" xfId="7049"/>
    <cellStyle name="Milliers 3 2 2 2 4 2 5" xfId="4889"/>
    <cellStyle name="Milliers 3 2 2 2 4 3" xfId="929"/>
    <cellStyle name="Milliers 3 2 2 2 4 3 2" xfId="3089"/>
    <cellStyle name="Milliers 3 2 2 2 4 3 2 2" xfId="7409"/>
    <cellStyle name="Milliers 3 2 2 2 4 3 3" xfId="5249"/>
    <cellStyle name="Milliers 3 2 2 2 4 4" xfId="1649"/>
    <cellStyle name="Milliers 3 2 2 2 4 4 2" xfId="3809"/>
    <cellStyle name="Milliers 3 2 2 2 4 4 2 2" xfId="8129"/>
    <cellStyle name="Milliers 3 2 2 2 4 4 3" xfId="5969"/>
    <cellStyle name="Milliers 3 2 2 2 4 5" xfId="2369"/>
    <cellStyle name="Milliers 3 2 2 2 4 5 2" xfId="6689"/>
    <cellStyle name="Milliers 3 2 2 2 4 6" xfId="4529"/>
    <cellStyle name="Milliers 3 2 2 2 5" xfId="389"/>
    <cellStyle name="Milliers 3 2 2 2 5 2" xfId="1109"/>
    <cellStyle name="Milliers 3 2 2 2 5 2 2" xfId="3269"/>
    <cellStyle name="Milliers 3 2 2 2 5 2 2 2" xfId="7589"/>
    <cellStyle name="Milliers 3 2 2 2 5 2 3" xfId="5429"/>
    <cellStyle name="Milliers 3 2 2 2 5 3" xfId="1829"/>
    <cellStyle name="Milliers 3 2 2 2 5 3 2" xfId="3989"/>
    <cellStyle name="Milliers 3 2 2 2 5 3 2 2" xfId="8309"/>
    <cellStyle name="Milliers 3 2 2 2 5 3 3" xfId="6149"/>
    <cellStyle name="Milliers 3 2 2 2 5 4" xfId="2549"/>
    <cellStyle name="Milliers 3 2 2 2 5 4 2" xfId="6869"/>
    <cellStyle name="Milliers 3 2 2 2 5 5" xfId="4709"/>
    <cellStyle name="Milliers 3 2 2 2 6" xfId="749"/>
    <cellStyle name="Milliers 3 2 2 2 6 2" xfId="2909"/>
    <cellStyle name="Milliers 3 2 2 2 6 2 2" xfId="7229"/>
    <cellStyle name="Milliers 3 2 2 2 6 3" xfId="5069"/>
    <cellStyle name="Milliers 3 2 2 2 7" xfId="1469"/>
    <cellStyle name="Milliers 3 2 2 2 7 2" xfId="3629"/>
    <cellStyle name="Milliers 3 2 2 2 7 2 2" xfId="7949"/>
    <cellStyle name="Milliers 3 2 2 2 7 3" xfId="5789"/>
    <cellStyle name="Milliers 3 2 2 2 8" xfId="2189"/>
    <cellStyle name="Milliers 3 2 2 2 8 2" xfId="6509"/>
    <cellStyle name="Milliers 3 2 2 2 9" xfId="4349"/>
    <cellStyle name="Milliers 3 2 2 3" xfId="44"/>
    <cellStyle name="Milliers 3 2 2 3 2" xfId="89"/>
    <cellStyle name="Milliers 3 2 2 3 2 2" xfId="179"/>
    <cellStyle name="Milliers 3 2 2 3 2 2 2" xfId="359"/>
    <cellStyle name="Milliers 3 2 2 3 2 2 2 2" xfId="719"/>
    <cellStyle name="Milliers 3 2 2 3 2 2 2 2 2" xfId="1439"/>
    <cellStyle name="Milliers 3 2 2 3 2 2 2 2 2 2" xfId="3599"/>
    <cellStyle name="Milliers 3 2 2 3 2 2 2 2 2 2 2" xfId="7919"/>
    <cellStyle name="Milliers 3 2 2 3 2 2 2 2 2 3" xfId="5759"/>
    <cellStyle name="Milliers 3 2 2 3 2 2 2 2 3" xfId="2159"/>
    <cellStyle name="Milliers 3 2 2 3 2 2 2 2 3 2" xfId="4319"/>
    <cellStyle name="Milliers 3 2 2 3 2 2 2 2 3 2 2" xfId="8639"/>
    <cellStyle name="Milliers 3 2 2 3 2 2 2 2 3 3" xfId="6479"/>
    <cellStyle name="Milliers 3 2 2 3 2 2 2 2 4" xfId="2879"/>
    <cellStyle name="Milliers 3 2 2 3 2 2 2 2 4 2" xfId="7199"/>
    <cellStyle name="Milliers 3 2 2 3 2 2 2 2 5" xfId="5039"/>
    <cellStyle name="Milliers 3 2 2 3 2 2 2 3" xfId="1079"/>
    <cellStyle name="Milliers 3 2 2 3 2 2 2 3 2" xfId="3239"/>
    <cellStyle name="Milliers 3 2 2 3 2 2 2 3 2 2" xfId="7559"/>
    <cellStyle name="Milliers 3 2 2 3 2 2 2 3 3" xfId="5399"/>
    <cellStyle name="Milliers 3 2 2 3 2 2 2 4" xfId="1799"/>
    <cellStyle name="Milliers 3 2 2 3 2 2 2 4 2" xfId="3959"/>
    <cellStyle name="Milliers 3 2 2 3 2 2 2 4 2 2" xfId="8279"/>
    <cellStyle name="Milliers 3 2 2 3 2 2 2 4 3" xfId="6119"/>
    <cellStyle name="Milliers 3 2 2 3 2 2 2 5" xfId="2519"/>
    <cellStyle name="Milliers 3 2 2 3 2 2 2 5 2" xfId="6839"/>
    <cellStyle name="Milliers 3 2 2 3 2 2 2 6" xfId="4679"/>
    <cellStyle name="Milliers 3 2 2 3 2 2 3" xfId="539"/>
    <cellStyle name="Milliers 3 2 2 3 2 2 3 2" xfId="1259"/>
    <cellStyle name="Milliers 3 2 2 3 2 2 3 2 2" xfId="3419"/>
    <cellStyle name="Milliers 3 2 2 3 2 2 3 2 2 2" xfId="7739"/>
    <cellStyle name="Milliers 3 2 2 3 2 2 3 2 3" xfId="5579"/>
    <cellStyle name="Milliers 3 2 2 3 2 2 3 3" xfId="1979"/>
    <cellStyle name="Milliers 3 2 2 3 2 2 3 3 2" xfId="4139"/>
    <cellStyle name="Milliers 3 2 2 3 2 2 3 3 2 2" xfId="8459"/>
    <cellStyle name="Milliers 3 2 2 3 2 2 3 3 3" xfId="6299"/>
    <cellStyle name="Milliers 3 2 2 3 2 2 3 4" xfId="2699"/>
    <cellStyle name="Milliers 3 2 2 3 2 2 3 4 2" xfId="7019"/>
    <cellStyle name="Milliers 3 2 2 3 2 2 3 5" xfId="4859"/>
    <cellStyle name="Milliers 3 2 2 3 2 2 4" xfId="899"/>
    <cellStyle name="Milliers 3 2 2 3 2 2 4 2" xfId="3059"/>
    <cellStyle name="Milliers 3 2 2 3 2 2 4 2 2" xfId="7379"/>
    <cellStyle name="Milliers 3 2 2 3 2 2 4 3" xfId="5219"/>
    <cellStyle name="Milliers 3 2 2 3 2 2 5" xfId="1619"/>
    <cellStyle name="Milliers 3 2 2 3 2 2 5 2" xfId="3779"/>
    <cellStyle name="Milliers 3 2 2 3 2 2 5 2 2" xfId="8099"/>
    <cellStyle name="Milliers 3 2 2 3 2 2 5 3" xfId="5939"/>
    <cellStyle name="Milliers 3 2 2 3 2 2 6" xfId="2339"/>
    <cellStyle name="Milliers 3 2 2 3 2 2 6 2" xfId="6659"/>
    <cellStyle name="Milliers 3 2 2 3 2 2 7" xfId="4499"/>
    <cellStyle name="Milliers 3 2 2 3 2 3" xfId="269"/>
    <cellStyle name="Milliers 3 2 2 3 2 3 2" xfId="629"/>
    <cellStyle name="Milliers 3 2 2 3 2 3 2 2" xfId="1349"/>
    <cellStyle name="Milliers 3 2 2 3 2 3 2 2 2" xfId="3509"/>
    <cellStyle name="Milliers 3 2 2 3 2 3 2 2 2 2" xfId="7829"/>
    <cellStyle name="Milliers 3 2 2 3 2 3 2 2 3" xfId="5669"/>
    <cellStyle name="Milliers 3 2 2 3 2 3 2 3" xfId="2069"/>
    <cellStyle name="Milliers 3 2 2 3 2 3 2 3 2" xfId="4229"/>
    <cellStyle name="Milliers 3 2 2 3 2 3 2 3 2 2" xfId="8549"/>
    <cellStyle name="Milliers 3 2 2 3 2 3 2 3 3" xfId="6389"/>
    <cellStyle name="Milliers 3 2 2 3 2 3 2 4" xfId="2789"/>
    <cellStyle name="Milliers 3 2 2 3 2 3 2 4 2" xfId="7109"/>
    <cellStyle name="Milliers 3 2 2 3 2 3 2 5" xfId="4949"/>
    <cellStyle name="Milliers 3 2 2 3 2 3 3" xfId="989"/>
    <cellStyle name="Milliers 3 2 2 3 2 3 3 2" xfId="3149"/>
    <cellStyle name="Milliers 3 2 2 3 2 3 3 2 2" xfId="7469"/>
    <cellStyle name="Milliers 3 2 2 3 2 3 3 3" xfId="5309"/>
    <cellStyle name="Milliers 3 2 2 3 2 3 4" xfId="1709"/>
    <cellStyle name="Milliers 3 2 2 3 2 3 4 2" xfId="3869"/>
    <cellStyle name="Milliers 3 2 2 3 2 3 4 2 2" xfId="8189"/>
    <cellStyle name="Milliers 3 2 2 3 2 3 4 3" xfId="6029"/>
    <cellStyle name="Milliers 3 2 2 3 2 3 5" xfId="2429"/>
    <cellStyle name="Milliers 3 2 2 3 2 3 5 2" xfId="6749"/>
    <cellStyle name="Milliers 3 2 2 3 2 3 6" xfId="4589"/>
    <cellStyle name="Milliers 3 2 2 3 2 4" xfId="449"/>
    <cellStyle name="Milliers 3 2 2 3 2 4 2" xfId="1169"/>
    <cellStyle name="Milliers 3 2 2 3 2 4 2 2" xfId="3329"/>
    <cellStyle name="Milliers 3 2 2 3 2 4 2 2 2" xfId="7649"/>
    <cellStyle name="Milliers 3 2 2 3 2 4 2 3" xfId="5489"/>
    <cellStyle name="Milliers 3 2 2 3 2 4 3" xfId="1889"/>
    <cellStyle name="Milliers 3 2 2 3 2 4 3 2" xfId="4049"/>
    <cellStyle name="Milliers 3 2 2 3 2 4 3 2 2" xfId="8369"/>
    <cellStyle name="Milliers 3 2 2 3 2 4 3 3" xfId="6209"/>
    <cellStyle name="Milliers 3 2 2 3 2 4 4" xfId="2609"/>
    <cellStyle name="Milliers 3 2 2 3 2 4 4 2" xfId="6929"/>
    <cellStyle name="Milliers 3 2 2 3 2 4 5" xfId="4769"/>
    <cellStyle name="Milliers 3 2 2 3 2 5" xfId="809"/>
    <cellStyle name="Milliers 3 2 2 3 2 5 2" xfId="2969"/>
    <cellStyle name="Milliers 3 2 2 3 2 5 2 2" xfId="7289"/>
    <cellStyle name="Milliers 3 2 2 3 2 5 3" xfId="5129"/>
    <cellStyle name="Milliers 3 2 2 3 2 6" xfId="1529"/>
    <cellStyle name="Milliers 3 2 2 3 2 6 2" xfId="3689"/>
    <cellStyle name="Milliers 3 2 2 3 2 6 2 2" xfId="8009"/>
    <cellStyle name="Milliers 3 2 2 3 2 6 3" xfId="5849"/>
    <cellStyle name="Milliers 3 2 2 3 2 7" xfId="2249"/>
    <cellStyle name="Milliers 3 2 2 3 2 7 2" xfId="6569"/>
    <cellStyle name="Milliers 3 2 2 3 2 8" xfId="4409"/>
    <cellStyle name="Milliers 3 2 2 3 3" xfId="134"/>
    <cellStyle name="Milliers 3 2 2 3 3 2" xfId="314"/>
    <cellStyle name="Milliers 3 2 2 3 3 2 2" xfId="674"/>
    <cellStyle name="Milliers 3 2 2 3 3 2 2 2" xfId="1394"/>
    <cellStyle name="Milliers 3 2 2 3 3 2 2 2 2" xfId="3554"/>
    <cellStyle name="Milliers 3 2 2 3 3 2 2 2 2 2" xfId="7874"/>
    <cellStyle name="Milliers 3 2 2 3 3 2 2 2 3" xfId="5714"/>
    <cellStyle name="Milliers 3 2 2 3 3 2 2 3" xfId="2114"/>
    <cellStyle name="Milliers 3 2 2 3 3 2 2 3 2" xfId="4274"/>
    <cellStyle name="Milliers 3 2 2 3 3 2 2 3 2 2" xfId="8594"/>
    <cellStyle name="Milliers 3 2 2 3 3 2 2 3 3" xfId="6434"/>
    <cellStyle name="Milliers 3 2 2 3 3 2 2 4" xfId="2834"/>
    <cellStyle name="Milliers 3 2 2 3 3 2 2 4 2" xfId="7154"/>
    <cellStyle name="Milliers 3 2 2 3 3 2 2 5" xfId="4994"/>
    <cellStyle name="Milliers 3 2 2 3 3 2 3" xfId="1034"/>
    <cellStyle name="Milliers 3 2 2 3 3 2 3 2" xfId="3194"/>
    <cellStyle name="Milliers 3 2 2 3 3 2 3 2 2" xfId="7514"/>
    <cellStyle name="Milliers 3 2 2 3 3 2 3 3" xfId="5354"/>
    <cellStyle name="Milliers 3 2 2 3 3 2 4" xfId="1754"/>
    <cellStyle name="Milliers 3 2 2 3 3 2 4 2" xfId="3914"/>
    <cellStyle name="Milliers 3 2 2 3 3 2 4 2 2" xfId="8234"/>
    <cellStyle name="Milliers 3 2 2 3 3 2 4 3" xfId="6074"/>
    <cellStyle name="Milliers 3 2 2 3 3 2 5" xfId="2474"/>
    <cellStyle name="Milliers 3 2 2 3 3 2 5 2" xfId="6794"/>
    <cellStyle name="Milliers 3 2 2 3 3 2 6" xfId="4634"/>
    <cellStyle name="Milliers 3 2 2 3 3 3" xfId="494"/>
    <cellStyle name="Milliers 3 2 2 3 3 3 2" xfId="1214"/>
    <cellStyle name="Milliers 3 2 2 3 3 3 2 2" xfId="3374"/>
    <cellStyle name="Milliers 3 2 2 3 3 3 2 2 2" xfId="7694"/>
    <cellStyle name="Milliers 3 2 2 3 3 3 2 3" xfId="5534"/>
    <cellStyle name="Milliers 3 2 2 3 3 3 3" xfId="1934"/>
    <cellStyle name="Milliers 3 2 2 3 3 3 3 2" xfId="4094"/>
    <cellStyle name="Milliers 3 2 2 3 3 3 3 2 2" xfId="8414"/>
    <cellStyle name="Milliers 3 2 2 3 3 3 3 3" xfId="6254"/>
    <cellStyle name="Milliers 3 2 2 3 3 3 4" xfId="2654"/>
    <cellStyle name="Milliers 3 2 2 3 3 3 4 2" xfId="6974"/>
    <cellStyle name="Milliers 3 2 2 3 3 3 5" xfId="4814"/>
    <cellStyle name="Milliers 3 2 2 3 3 4" xfId="854"/>
    <cellStyle name="Milliers 3 2 2 3 3 4 2" xfId="3014"/>
    <cellStyle name="Milliers 3 2 2 3 3 4 2 2" xfId="7334"/>
    <cellStyle name="Milliers 3 2 2 3 3 4 3" xfId="5174"/>
    <cellStyle name="Milliers 3 2 2 3 3 5" xfId="1574"/>
    <cellStyle name="Milliers 3 2 2 3 3 5 2" xfId="3734"/>
    <cellStyle name="Milliers 3 2 2 3 3 5 2 2" xfId="8054"/>
    <cellStyle name="Milliers 3 2 2 3 3 5 3" xfId="5894"/>
    <cellStyle name="Milliers 3 2 2 3 3 6" xfId="2294"/>
    <cellStyle name="Milliers 3 2 2 3 3 6 2" xfId="6614"/>
    <cellStyle name="Milliers 3 2 2 3 3 7" xfId="4454"/>
    <cellStyle name="Milliers 3 2 2 3 4" xfId="224"/>
    <cellStyle name="Milliers 3 2 2 3 4 2" xfId="584"/>
    <cellStyle name="Milliers 3 2 2 3 4 2 2" xfId="1304"/>
    <cellStyle name="Milliers 3 2 2 3 4 2 2 2" xfId="3464"/>
    <cellStyle name="Milliers 3 2 2 3 4 2 2 2 2" xfId="7784"/>
    <cellStyle name="Milliers 3 2 2 3 4 2 2 3" xfId="5624"/>
    <cellStyle name="Milliers 3 2 2 3 4 2 3" xfId="2024"/>
    <cellStyle name="Milliers 3 2 2 3 4 2 3 2" xfId="4184"/>
    <cellStyle name="Milliers 3 2 2 3 4 2 3 2 2" xfId="8504"/>
    <cellStyle name="Milliers 3 2 2 3 4 2 3 3" xfId="6344"/>
    <cellStyle name="Milliers 3 2 2 3 4 2 4" xfId="2744"/>
    <cellStyle name="Milliers 3 2 2 3 4 2 4 2" xfId="7064"/>
    <cellStyle name="Milliers 3 2 2 3 4 2 5" xfId="4904"/>
    <cellStyle name="Milliers 3 2 2 3 4 3" xfId="944"/>
    <cellStyle name="Milliers 3 2 2 3 4 3 2" xfId="3104"/>
    <cellStyle name="Milliers 3 2 2 3 4 3 2 2" xfId="7424"/>
    <cellStyle name="Milliers 3 2 2 3 4 3 3" xfId="5264"/>
    <cellStyle name="Milliers 3 2 2 3 4 4" xfId="1664"/>
    <cellStyle name="Milliers 3 2 2 3 4 4 2" xfId="3824"/>
    <cellStyle name="Milliers 3 2 2 3 4 4 2 2" xfId="8144"/>
    <cellStyle name="Milliers 3 2 2 3 4 4 3" xfId="5984"/>
    <cellStyle name="Milliers 3 2 2 3 4 5" xfId="2384"/>
    <cellStyle name="Milliers 3 2 2 3 4 5 2" xfId="6704"/>
    <cellStyle name="Milliers 3 2 2 3 4 6" xfId="4544"/>
    <cellStyle name="Milliers 3 2 2 3 5" xfId="404"/>
    <cellStyle name="Milliers 3 2 2 3 5 2" xfId="1124"/>
    <cellStyle name="Milliers 3 2 2 3 5 2 2" xfId="3284"/>
    <cellStyle name="Milliers 3 2 2 3 5 2 2 2" xfId="7604"/>
    <cellStyle name="Milliers 3 2 2 3 5 2 3" xfId="5444"/>
    <cellStyle name="Milliers 3 2 2 3 5 3" xfId="1844"/>
    <cellStyle name="Milliers 3 2 2 3 5 3 2" xfId="4004"/>
    <cellStyle name="Milliers 3 2 2 3 5 3 2 2" xfId="8324"/>
    <cellStyle name="Milliers 3 2 2 3 5 3 3" xfId="6164"/>
    <cellStyle name="Milliers 3 2 2 3 5 4" xfId="2564"/>
    <cellStyle name="Milliers 3 2 2 3 5 4 2" xfId="6884"/>
    <cellStyle name="Milliers 3 2 2 3 5 5" xfId="4724"/>
    <cellStyle name="Milliers 3 2 2 3 6" xfId="764"/>
    <cellStyle name="Milliers 3 2 2 3 6 2" xfId="2924"/>
    <cellStyle name="Milliers 3 2 2 3 6 2 2" xfId="7244"/>
    <cellStyle name="Milliers 3 2 2 3 6 3" xfId="5084"/>
    <cellStyle name="Milliers 3 2 2 3 7" xfId="1484"/>
    <cellStyle name="Milliers 3 2 2 3 7 2" xfId="3644"/>
    <cellStyle name="Milliers 3 2 2 3 7 2 2" xfId="7964"/>
    <cellStyle name="Milliers 3 2 2 3 7 3" xfId="5804"/>
    <cellStyle name="Milliers 3 2 2 3 8" xfId="2204"/>
    <cellStyle name="Milliers 3 2 2 3 8 2" xfId="6524"/>
    <cellStyle name="Milliers 3 2 2 3 9" xfId="4364"/>
    <cellStyle name="Milliers 3 2 2 4" xfId="59"/>
    <cellStyle name="Milliers 3 2 2 4 2" xfId="149"/>
    <cellStyle name="Milliers 3 2 2 4 2 2" xfId="329"/>
    <cellStyle name="Milliers 3 2 2 4 2 2 2" xfId="689"/>
    <cellStyle name="Milliers 3 2 2 4 2 2 2 2" xfId="1409"/>
    <cellStyle name="Milliers 3 2 2 4 2 2 2 2 2" xfId="3569"/>
    <cellStyle name="Milliers 3 2 2 4 2 2 2 2 2 2" xfId="7889"/>
    <cellStyle name="Milliers 3 2 2 4 2 2 2 2 3" xfId="5729"/>
    <cellStyle name="Milliers 3 2 2 4 2 2 2 3" xfId="2129"/>
    <cellStyle name="Milliers 3 2 2 4 2 2 2 3 2" xfId="4289"/>
    <cellStyle name="Milliers 3 2 2 4 2 2 2 3 2 2" xfId="8609"/>
    <cellStyle name="Milliers 3 2 2 4 2 2 2 3 3" xfId="6449"/>
    <cellStyle name="Milliers 3 2 2 4 2 2 2 4" xfId="2849"/>
    <cellStyle name="Milliers 3 2 2 4 2 2 2 4 2" xfId="7169"/>
    <cellStyle name="Milliers 3 2 2 4 2 2 2 5" xfId="5009"/>
    <cellStyle name="Milliers 3 2 2 4 2 2 3" xfId="1049"/>
    <cellStyle name="Milliers 3 2 2 4 2 2 3 2" xfId="3209"/>
    <cellStyle name="Milliers 3 2 2 4 2 2 3 2 2" xfId="7529"/>
    <cellStyle name="Milliers 3 2 2 4 2 2 3 3" xfId="5369"/>
    <cellStyle name="Milliers 3 2 2 4 2 2 4" xfId="1769"/>
    <cellStyle name="Milliers 3 2 2 4 2 2 4 2" xfId="3929"/>
    <cellStyle name="Milliers 3 2 2 4 2 2 4 2 2" xfId="8249"/>
    <cellStyle name="Milliers 3 2 2 4 2 2 4 3" xfId="6089"/>
    <cellStyle name="Milliers 3 2 2 4 2 2 5" xfId="2489"/>
    <cellStyle name="Milliers 3 2 2 4 2 2 5 2" xfId="6809"/>
    <cellStyle name="Milliers 3 2 2 4 2 2 6" xfId="4649"/>
    <cellStyle name="Milliers 3 2 2 4 2 3" xfId="509"/>
    <cellStyle name="Milliers 3 2 2 4 2 3 2" xfId="1229"/>
    <cellStyle name="Milliers 3 2 2 4 2 3 2 2" xfId="3389"/>
    <cellStyle name="Milliers 3 2 2 4 2 3 2 2 2" xfId="7709"/>
    <cellStyle name="Milliers 3 2 2 4 2 3 2 3" xfId="5549"/>
    <cellStyle name="Milliers 3 2 2 4 2 3 3" xfId="1949"/>
    <cellStyle name="Milliers 3 2 2 4 2 3 3 2" xfId="4109"/>
    <cellStyle name="Milliers 3 2 2 4 2 3 3 2 2" xfId="8429"/>
    <cellStyle name="Milliers 3 2 2 4 2 3 3 3" xfId="6269"/>
    <cellStyle name="Milliers 3 2 2 4 2 3 4" xfId="2669"/>
    <cellStyle name="Milliers 3 2 2 4 2 3 4 2" xfId="6989"/>
    <cellStyle name="Milliers 3 2 2 4 2 3 5" xfId="4829"/>
    <cellStyle name="Milliers 3 2 2 4 2 4" xfId="869"/>
    <cellStyle name="Milliers 3 2 2 4 2 4 2" xfId="3029"/>
    <cellStyle name="Milliers 3 2 2 4 2 4 2 2" xfId="7349"/>
    <cellStyle name="Milliers 3 2 2 4 2 4 3" xfId="5189"/>
    <cellStyle name="Milliers 3 2 2 4 2 5" xfId="1589"/>
    <cellStyle name="Milliers 3 2 2 4 2 5 2" xfId="3749"/>
    <cellStyle name="Milliers 3 2 2 4 2 5 2 2" xfId="8069"/>
    <cellStyle name="Milliers 3 2 2 4 2 5 3" xfId="5909"/>
    <cellStyle name="Milliers 3 2 2 4 2 6" xfId="2309"/>
    <cellStyle name="Milliers 3 2 2 4 2 6 2" xfId="6629"/>
    <cellStyle name="Milliers 3 2 2 4 2 7" xfId="4469"/>
    <cellStyle name="Milliers 3 2 2 4 3" xfId="239"/>
    <cellStyle name="Milliers 3 2 2 4 3 2" xfId="599"/>
    <cellStyle name="Milliers 3 2 2 4 3 2 2" xfId="1319"/>
    <cellStyle name="Milliers 3 2 2 4 3 2 2 2" xfId="3479"/>
    <cellStyle name="Milliers 3 2 2 4 3 2 2 2 2" xfId="7799"/>
    <cellStyle name="Milliers 3 2 2 4 3 2 2 3" xfId="5639"/>
    <cellStyle name="Milliers 3 2 2 4 3 2 3" xfId="2039"/>
    <cellStyle name="Milliers 3 2 2 4 3 2 3 2" xfId="4199"/>
    <cellStyle name="Milliers 3 2 2 4 3 2 3 2 2" xfId="8519"/>
    <cellStyle name="Milliers 3 2 2 4 3 2 3 3" xfId="6359"/>
    <cellStyle name="Milliers 3 2 2 4 3 2 4" xfId="2759"/>
    <cellStyle name="Milliers 3 2 2 4 3 2 4 2" xfId="7079"/>
    <cellStyle name="Milliers 3 2 2 4 3 2 5" xfId="4919"/>
    <cellStyle name="Milliers 3 2 2 4 3 3" xfId="959"/>
    <cellStyle name="Milliers 3 2 2 4 3 3 2" xfId="3119"/>
    <cellStyle name="Milliers 3 2 2 4 3 3 2 2" xfId="7439"/>
    <cellStyle name="Milliers 3 2 2 4 3 3 3" xfId="5279"/>
    <cellStyle name="Milliers 3 2 2 4 3 4" xfId="1679"/>
    <cellStyle name="Milliers 3 2 2 4 3 4 2" xfId="3839"/>
    <cellStyle name="Milliers 3 2 2 4 3 4 2 2" xfId="8159"/>
    <cellStyle name="Milliers 3 2 2 4 3 4 3" xfId="5999"/>
    <cellStyle name="Milliers 3 2 2 4 3 5" xfId="2399"/>
    <cellStyle name="Milliers 3 2 2 4 3 5 2" xfId="6719"/>
    <cellStyle name="Milliers 3 2 2 4 3 6" xfId="4559"/>
    <cellStyle name="Milliers 3 2 2 4 4" xfId="419"/>
    <cellStyle name="Milliers 3 2 2 4 4 2" xfId="1139"/>
    <cellStyle name="Milliers 3 2 2 4 4 2 2" xfId="3299"/>
    <cellStyle name="Milliers 3 2 2 4 4 2 2 2" xfId="7619"/>
    <cellStyle name="Milliers 3 2 2 4 4 2 3" xfId="5459"/>
    <cellStyle name="Milliers 3 2 2 4 4 3" xfId="1859"/>
    <cellStyle name="Milliers 3 2 2 4 4 3 2" xfId="4019"/>
    <cellStyle name="Milliers 3 2 2 4 4 3 2 2" xfId="8339"/>
    <cellStyle name="Milliers 3 2 2 4 4 3 3" xfId="6179"/>
    <cellStyle name="Milliers 3 2 2 4 4 4" xfId="2579"/>
    <cellStyle name="Milliers 3 2 2 4 4 4 2" xfId="6899"/>
    <cellStyle name="Milliers 3 2 2 4 4 5" xfId="4739"/>
    <cellStyle name="Milliers 3 2 2 4 5" xfId="779"/>
    <cellStyle name="Milliers 3 2 2 4 5 2" xfId="2939"/>
    <cellStyle name="Milliers 3 2 2 4 5 2 2" xfId="7259"/>
    <cellStyle name="Milliers 3 2 2 4 5 3" xfId="5099"/>
    <cellStyle name="Milliers 3 2 2 4 6" xfId="1499"/>
    <cellStyle name="Milliers 3 2 2 4 6 2" xfId="3659"/>
    <cellStyle name="Milliers 3 2 2 4 6 2 2" xfId="7979"/>
    <cellStyle name="Milliers 3 2 2 4 6 3" xfId="5819"/>
    <cellStyle name="Milliers 3 2 2 4 7" xfId="2219"/>
    <cellStyle name="Milliers 3 2 2 4 7 2" xfId="6539"/>
    <cellStyle name="Milliers 3 2 2 4 8" xfId="4379"/>
    <cellStyle name="Milliers 3 2 2 5" xfId="104"/>
    <cellStyle name="Milliers 3 2 2 5 2" xfId="284"/>
    <cellStyle name="Milliers 3 2 2 5 2 2" xfId="644"/>
    <cellStyle name="Milliers 3 2 2 5 2 2 2" xfId="1364"/>
    <cellStyle name="Milliers 3 2 2 5 2 2 2 2" xfId="3524"/>
    <cellStyle name="Milliers 3 2 2 5 2 2 2 2 2" xfId="7844"/>
    <cellStyle name="Milliers 3 2 2 5 2 2 2 3" xfId="5684"/>
    <cellStyle name="Milliers 3 2 2 5 2 2 3" xfId="2084"/>
    <cellStyle name="Milliers 3 2 2 5 2 2 3 2" xfId="4244"/>
    <cellStyle name="Milliers 3 2 2 5 2 2 3 2 2" xfId="8564"/>
    <cellStyle name="Milliers 3 2 2 5 2 2 3 3" xfId="6404"/>
    <cellStyle name="Milliers 3 2 2 5 2 2 4" xfId="2804"/>
    <cellStyle name="Milliers 3 2 2 5 2 2 4 2" xfId="7124"/>
    <cellStyle name="Milliers 3 2 2 5 2 2 5" xfId="4964"/>
    <cellStyle name="Milliers 3 2 2 5 2 3" xfId="1004"/>
    <cellStyle name="Milliers 3 2 2 5 2 3 2" xfId="3164"/>
    <cellStyle name="Milliers 3 2 2 5 2 3 2 2" xfId="7484"/>
    <cellStyle name="Milliers 3 2 2 5 2 3 3" xfId="5324"/>
    <cellStyle name="Milliers 3 2 2 5 2 4" xfId="1724"/>
    <cellStyle name="Milliers 3 2 2 5 2 4 2" xfId="3884"/>
    <cellStyle name="Milliers 3 2 2 5 2 4 2 2" xfId="8204"/>
    <cellStyle name="Milliers 3 2 2 5 2 4 3" xfId="6044"/>
    <cellStyle name="Milliers 3 2 2 5 2 5" xfId="2444"/>
    <cellStyle name="Milliers 3 2 2 5 2 5 2" xfId="6764"/>
    <cellStyle name="Milliers 3 2 2 5 2 6" xfId="4604"/>
    <cellStyle name="Milliers 3 2 2 5 3" xfId="464"/>
    <cellStyle name="Milliers 3 2 2 5 3 2" xfId="1184"/>
    <cellStyle name="Milliers 3 2 2 5 3 2 2" xfId="3344"/>
    <cellStyle name="Milliers 3 2 2 5 3 2 2 2" xfId="7664"/>
    <cellStyle name="Milliers 3 2 2 5 3 2 3" xfId="5504"/>
    <cellStyle name="Milliers 3 2 2 5 3 3" xfId="1904"/>
    <cellStyle name="Milliers 3 2 2 5 3 3 2" xfId="4064"/>
    <cellStyle name="Milliers 3 2 2 5 3 3 2 2" xfId="8384"/>
    <cellStyle name="Milliers 3 2 2 5 3 3 3" xfId="6224"/>
    <cellStyle name="Milliers 3 2 2 5 3 4" xfId="2624"/>
    <cellStyle name="Milliers 3 2 2 5 3 4 2" xfId="6944"/>
    <cellStyle name="Milliers 3 2 2 5 3 5" xfId="4784"/>
    <cellStyle name="Milliers 3 2 2 5 4" xfId="824"/>
    <cellStyle name="Milliers 3 2 2 5 4 2" xfId="2984"/>
    <cellStyle name="Milliers 3 2 2 5 4 2 2" xfId="7304"/>
    <cellStyle name="Milliers 3 2 2 5 4 3" xfId="5144"/>
    <cellStyle name="Milliers 3 2 2 5 5" xfId="1544"/>
    <cellStyle name="Milliers 3 2 2 5 5 2" xfId="3704"/>
    <cellStyle name="Milliers 3 2 2 5 5 2 2" xfId="8024"/>
    <cellStyle name="Milliers 3 2 2 5 5 3" xfId="5864"/>
    <cellStyle name="Milliers 3 2 2 5 6" xfId="2264"/>
    <cellStyle name="Milliers 3 2 2 5 6 2" xfId="6584"/>
    <cellStyle name="Milliers 3 2 2 5 7" xfId="4424"/>
    <cellStyle name="Milliers 3 2 2 6" xfId="194"/>
    <cellStyle name="Milliers 3 2 2 6 2" xfId="554"/>
    <cellStyle name="Milliers 3 2 2 6 2 2" xfId="1274"/>
    <cellStyle name="Milliers 3 2 2 6 2 2 2" xfId="3434"/>
    <cellStyle name="Milliers 3 2 2 6 2 2 2 2" xfId="7754"/>
    <cellStyle name="Milliers 3 2 2 6 2 2 3" xfId="5594"/>
    <cellStyle name="Milliers 3 2 2 6 2 3" xfId="1994"/>
    <cellStyle name="Milliers 3 2 2 6 2 3 2" xfId="4154"/>
    <cellStyle name="Milliers 3 2 2 6 2 3 2 2" xfId="8474"/>
    <cellStyle name="Milliers 3 2 2 6 2 3 3" xfId="6314"/>
    <cellStyle name="Milliers 3 2 2 6 2 4" xfId="2714"/>
    <cellStyle name="Milliers 3 2 2 6 2 4 2" xfId="7034"/>
    <cellStyle name="Milliers 3 2 2 6 2 5" xfId="4874"/>
    <cellStyle name="Milliers 3 2 2 6 3" xfId="914"/>
    <cellStyle name="Milliers 3 2 2 6 3 2" xfId="3074"/>
    <cellStyle name="Milliers 3 2 2 6 3 2 2" xfId="7394"/>
    <cellStyle name="Milliers 3 2 2 6 3 3" xfId="5234"/>
    <cellStyle name="Milliers 3 2 2 6 4" xfId="1634"/>
    <cellStyle name="Milliers 3 2 2 6 4 2" xfId="3794"/>
    <cellStyle name="Milliers 3 2 2 6 4 2 2" xfId="8114"/>
    <cellStyle name="Milliers 3 2 2 6 4 3" xfId="5954"/>
    <cellStyle name="Milliers 3 2 2 6 5" xfId="2354"/>
    <cellStyle name="Milliers 3 2 2 6 5 2" xfId="6674"/>
    <cellStyle name="Milliers 3 2 2 6 6" xfId="4514"/>
    <cellStyle name="Milliers 3 2 2 7" xfId="374"/>
    <cellStyle name="Milliers 3 2 2 7 2" xfId="1094"/>
    <cellStyle name="Milliers 3 2 2 7 2 2" xfId="3254"/>
    <cellStyle name="Milliers 3 2 2 7 2 2 2" xfId="7574"/>
    <cellStyle name="Milliers 3 2 2 7 2 3" xfId="5414"/>
    <cellStyle name="Milliers 3 2 2 7 3" xfId="1814"/>
    <cellStyle name="Milliers 3 2 2 7 3 2" xfId="3974"/>
    <cellStyle name="Milliers 3 2 2 7 3 2 2" xfId="8294"/>
    <cellStyle name="Milliers 3 2 2 7 3 3" xfId="6134"/>
    <cellStyle name="Milliers 3 2 2 7 4" xfId="2534"/>
    <cellStyle name="Milliers 3 2 2 7 4 2" xfId="6854"/>
    <cellStyle name="Milliers 3 2 2 7 5" xfId="4694"/>
    <cellStyle name="Milliers 3 2 2 8" xfId="734"/>
    <cellStyle name="Milliers 3 2 2 8 2" xfId="2894"/>
    <cellStyle name="Milliers 3 2 2 8 2 2" xfId="7214"/>
    <cellStyle name="Milliers 3 2 2 8 3" xfId="5054"/>
    <cellStyle name="Milliers 3 2 2 9" xfId="1454"/>
    <cellStyle name="Milliers 3 2 2 9 2" xfId="3614"/>
    <cellStyle name="Milliers 3 2 2 9 2 2" xfId="7934"/>
    <cellStyle name="Milliers 3 2 2 9 3" xfId="5774"/>
    <cellStyle name="Milliers 3 2 3" xfId="23"/>
    <cellStyle name="Milliers 3 2 3 2" xfId="68"/>
    <cellStyle name="Milliers 3 2 3 2 2" xfId="158"/>
    <cellStyle name="Milliers 3 2 3 2 2 2" xfId="338"/>
    <cellStyle name="Milliers 3 2 3 2 2 2 2" xfId="698"/>
    <cellStyle name="Milliers 3 2 3 2 2 2 2 2" xfId="1418"/>
    <cellStyle name="Milliers 3 2 3 2 2 2 2 2 2" xfId="3578"/>
    <cellStyle name="Milliers 3 2 3 2 2 2 2 2 2 2" xfId="7898"/>
    <cellStyle name="Milliers 3 2 3 2 2 2 2 2 3" xfId="5738"/>
    <cellStyle name="Milliers 3 2 3 2 2 2 2 3" xfId="2138"/>
    <cellStyle name="Milliers 3 2 3 2 2 2 2 3 2" xfId="4298"/>
    <cellStyle name="Milliers 3 2 3 2 2 2 2 3 2 2" xfId="8618"/>
    <cellStyle name="Milliers 3 2 3 2 2 2 2 3 3" xfId="6458"/>
    <cellStyle name="Milliers 3 2 3 2 2 2 2 4" xfId="2858"/>
    <cellStyle name="Milliers 3 2 3 2 2 2 2 4 2" xfId="7178"/>
    <cellStyle name="Milliers 3 2 3 2 2 2 2 5" xfId="5018"/>
    <cellStyle name="Milliers 3 2 3 2 2 2 3" xfId="1058"/>
    <cellStyle name="Milliers 3 2 3 2 2 2 3 2" xfId="3218"/>
    <cellStyle name="Milliers 3 2 3 2 2 2 3 2 2" xfId="7538"/>
    <cellStyle name="Milliers 3 2 3 2 2 2 3 3" xfId="5378"/>
    <cellStyle name="Milliers 3 2 3 2 2 2 4" xfId="1778"/>
    <cellStyle name="Milliers 3 2 3 2 2 2 4 2" xfId="3938"/>
    <cellStyle name="Milliers 3 2 3 2 2 2 4 2 2" xfId="8258"/>
    <cellStyle name="Milliers 3 2 3 2 2 2 4 3" xfId="6098"/>
    <cellStyle name="Milliers 3 2 3 2 2 2 5" xfId="2498"/>
    <cellStyle name="Milliers 3 2 3 2 2 2 5 2" xfId="6818"/>
    <cellStyle name="Milliers 3 2 3 2 2 2 6" xfId="4658"/>
    <cellStyle name="Milliers 3 2 3 2 2 3" xfId="518"/>
    <cellStyle name="Milliers 3 2 3 2 2 3 2" xfId="1238"/>
    <cellStyle name="Milliers 3 2 3 2 2 3 2 2" xfId="3398"/>
    <cellStyle name="Milliers 3 2 3 2 2 3 2 2 2" xfId="7718"/>
    <cellStyle name="Milliers 3 2 3 2 2 3 2 3" xfId="5558"/>
    <cellStyle name="Milliers 3 2 3 2 2 3 3" xfId="1958"/>
    <cellStyle name="Milliers 3 2 3 2 2 3 3 2" xfId="4118"/>
    <cellStyle name="Milliers 3 2 3 2 2 3 3 2 2" xfId="8438"/>
    <cellStyle name="Milliers 3 2 3 2 2 3 3 3" xfId="6278"/>
    <cellStyle name="Milliers 3 2 3 2 2 3 4" xfId="2678"/>
    <cellStyle name="Milliers 3 2 3 2 2 3 4 2" xfId="6998"/>
    <cellStyle name="Milliers 3 2 3 2 2 3 5" xfId="4838"/>
    <cellStyle name="Milliers 3 2 3 2 2 4" xfId="878"/>
    <cellStyle name="Milliers 3 2 3 2 2 4 2" xfId="3038"/>
    <cellStyle name="Milliers 3 2 3 2 2 4 2 2" xfId="7358"/>
    <cellStyle name="Milliers 3 2 3 2 2 4 3" xfId="5198"/>
    <cellStyle name="Milliers 3 2 3 2 2 5" xfId="1598"/>
    <cellStyle name="Milliers 3 2 3 2 2 5 2" xfId="3758"/>
    <cellStyle name="Milliers 3 2 3 2 2 5 2 2" xfId="8078"/>
    <cellStyle name="Milliers 3 2 3 2 2 5 3" xfId="5918"/>
    <cellStyle name="Milliers 3 2 3 2 2 6" xfId="2318"/>
    <cellStyle name="Milliers 3 2 3 2 2 6 2" xfId="6638"/>
    <cellStyle name="Milliers 3 2 3 2 2 7" xfId="4478"/>
    <cellStyle name="Milliers 3 2 3 2 3" xfId="248"/>
    <cellStyle name="Milliers 3 2 3 2 3 2" xfId="608"/>
    <cellStyle name="Milliers 3 2 3 2 3 2 2" xfId="1328"/>
    <cellStyle name="Milliers 3 2 3 2 3 2 2 2" xfId="3488"/>
    <cellStyle name="Milliers 3 2 3 2 3 2 2 2 2" xfId="7808"/>
    <cellStyle name="Milliers 3 2 3 2 3 2 2 3" xfId="5648"/>
    <cellStyle name="Milliers 3 2 3 2 3 2 3" xfId="2048"/>
    <cellStyle name="Milliers 3 2 3 2 3 2 3 2" xfId="4208"/>
    <cellStyle name="Milliers 3 2 3 2 3 2 3 2 2" xfId="8528"/>
    <cellStyle name="Milliers 3 2 3 2 3 2 3 3" xfId="6368"/>
    <cellStyle name="Milliers 3 2 3 2 3 2 4" xfId="2768"/>
    <cellStyle name="Milliers 3 2 3 2 3 2 4 2" xfId="7088"/>
    <cellStyle name="Milliers 3 2 3 2 3 2 5" xfId="4928"/>
    <cellStyle name="Milliers 3 2 3 2 3 3" xfId="968"/>
    <cellStyle name="Milliers 3 2 3 2 3 3 2" xfId="3128"/>
    <cellStyle name="Milliers 3 2 3 2 3 3 2 2" xfId="7448"/>
    <cellStyle name="Milliers 3 2 3 2 3 3 3" xfId="5288"/>
    <cellStyle name="Milliers 3 2 3 2 3 4" xfId="1688"/>
    <cellStyle name="Milliers 3 2 3 2 3 4 2" xfId="3848"/>
    <cellStyle name="Milliers 3 2 3 2 3 4 2 2" xfId="8168"/>
    <cellStyle name="Milliers 3 2 3 2 3 4 3" xfId="6008"/>
    <cellStyle name="Milliers 3 2 3 2 3 5" xfId="2408"/>
    <cellStyle name="Milliers 3 2 3 2 3 5 2" xfId="6728"/>
    <cellStyle name="Milliers 3 2 3 2 3 6" xfId="4568"/>
    <cellStyle name="Milliers 3 2 3 2 4" xfId="428"/>
    <cellStyle name="Milliers 3 2 3 2 4 2" xfId="1148"/>
    <cellStyle name="Milliers 3 2 3 2 4 2 2" xfId="3308"/>
    <cellStyle name="Milliers 3 2 3 2 4 2 2 2" xfId="7628"/>
    <cellStyle name="Milliers 3 2 3 2 4 2 3" xfId="5468"/>
    <cellStyle name="Milliers 3 2 3 2 4 3" xfId="1868"/>
    <cellStyle name="Milliers 3 2 3 2 4 3 2" xfId="4028"/>
    <cellStyle name="Milliers 3 2 3 2 4 3 2 2" xfId="8348"/>
    <cellStyle name="Milliers 3 2 3 2 4 3 3" xfId="6188"/>
    <cellStyle name="Milliers 3 2 3 2 4 4" xfId="2588"/>
    <cellStyle name="Milliers 3 2 3 2 4 4 2" xfId="6908"/>
    <cellStyle name="Milliers 3 2 3 2 4 5" xfId="4748"/>
    <cellStyle name="Milliers 3 2 3 2 5" xfId="788"/>
    <cellStyle name="Milliers 3 2 3 2 5 2" xfId="2948"/>
    <cellStyle name="Milliers 3 2 3 2 5 2 2" xfId="7268"/>
    <cellStyle name="Milliers 3 2 3 2 5 3" xfId="5108"/>
    <cellStyle name="Milliers 3 2 3 2 6" xfId="1508"/>
    <cellStyle name="Milliers 3 2 3 2 6 2" xfId="3668"/>
    <cellStyle name="Milliers 3 2 3 2 6 2 2" xfId="7988"/>
    <cellStyle name="Milliers 3 2 3 2 6 3" xfId="5828"/>
    <cellStyle name="Milliers 3 2 3 2 7" xfId="2228"/>
    <cellStyle name="Milliers 3 2 3 2 7 2" xfId="6548"/>
    <cellStyle name="Milliers 3 2 3 2 8" xfId="4388"/>
    <cellStyle name="Milliers 3 2 3 3" xfId="113"/>
    <cellStyle name="Milliers 3 2 3 3 2" xfId="293"/>
    <cellStyle name="Milliers 3 2 3 3 2 2" xfId="653"/>
    <cellStyle name="Milliers 3 2 3 3 2 2 2" xfId="1373"/>
    <cellStyle name="Milliers 3 2 3 3 2 2 2 2" xfId="3533"/>
    <cellStyle name="Milliers 3 2 3 3 2 2 2 2 2" xfId="7853"/>
    <cellStyle name="Milliers 3 2 3 3 2 2 2 3" xfId="5693"/>
    <cellStyle name="Milliers 3 2 3 3 2 2 3" xfId="2093"/>
    <cellStyle name="Milliers 3 2 3 3 2 2 3 2" xfId="4253"/>
    <cellStyle name="Milliers 3 2 3 3 2 2 3 2 2" xfId="8573"/>
    <cellStyle name="Milliers 3 2 3 3 2 2 3 3" xfId="6413"/>
    <cellStyle name="Milliers 3 2 3 3 2 2 4" xfId="2813"/>
    <cellStyle name="Milliers 3 2 3 3 2 2 4 2" xfId="7133"/>
    <cellStyle name="Milliers 3 2 3 3 2 2 5" xfId="4973"/>
    <cellStyle name="Milliers 3 2 3 3 2 3" xfId="1013"/>
    <cellStyle name="Milliers 3 2 3 3 2 3 2" xfId="3173"/>
    <cellStyle name="Milliers 3 2 3 3 2 3 2 2" xfId="7493"/>
    <cellStyle name="Milliers 3 2 3 3 2 3 3" xfId="5333"/>
    <cellStyle name="Milliers 3 2 3 3 2 4" xfId="1733"/>
    <cellStyle name="Milliers 3 2 3 3 2 4 2" xfId="3893"/>
    <cellStyle name="Milliers 3 2 3 3 2 4 2 2" xfId="8213"/>
    <cellStyle name="Milliers 3 2 3 3 2 4 3" xfId="6053"/>
    <cellStyle name="Milliers 3 2 3 3 2 5" xfId="2453"/>
    <cellStyle name="Milliers 3 2 3 3 2 5 2" xfId="6773"/>
    <cellStyle name="Milliers 3 2 3 3 2 6" xfId="4613"/>
    <cellStyle name="Milliers 3 2 3 3 3" xfId="473"/>
    <cellStyle name="Milliers 3 2 3 3 3 2" xfId="1193"/>
    <cellStyle name="Milliers 3 2 3 3 3 2 2" xfId="3353"/>
    <cellStyle name="Milliers 3 2 3 3 3 2 2 2" xfId="7673"/>
    <cellStyle name="Milliers 3 2 3 3 3 2 3" xfId="5513"/>
    <cellStyle name="Milliers 3 2 3 3 3 3" xfId="1913"/>
    <cellStyle name="Milliers 3 2 3 3 3 3 2" xfId="4073"/>
    <cellStyle name="Milliers 3 2 3 3 3 3 2 2" xfId="8393"/>
    <cellStyle name="Milliers 3 2 3 3 3 3 3" xfId="6233"/>
    <cellStyle name="Milliers 3 2 3 3 3 4" xfId="2633"/>
    <cellStyle name="Milliers 3 2 3 3 3 4 2" xfId="6953"/>
    <cellStyle name="Milliers 3 2 3 3 3 5" xfId="4793"/>
    <cellStyle name="Milliers 3 2 3 3 4" xfId="833"/>
    <cellStyle name="Milliers 3 2 3 3 4 2" xfId="2993"/>
    <cellStyle name="Milliers 3 2 3 3 4 2 2" xfId="7313"/>
    <cellStyle name="Milliers 3 2 3 3 4 3" xfId="5153"/>
    <cellStyle name="Milliers 3 2 3 3 5" xfId="1553"/>
    <cellStyle name="Milliers 3 2 3 3 5 2" xfId="3713"/>
    <cellStyle name="Milliers 3 2 3 3 5 2 2" xfId="8033"/>
    <cellStyle name="Milliers 3 2 3 3 5 3" xfId="5873"/>
    <cellStyle name="Milliers 3 2 3 3 6" xfId="2273"/>
    <cellStyle name="Milliers 3 2 3 3 6 2" xfId="6593"/>
    <cellStyle name="Milliers 3 2 3 3 7" xfId="4433"/>
    <cellStyle name="Milliers 3 2 3 4" xfId="203"/>
    <cellStyle name="Milliers 3 2 3 4 2" xfId="563"/>
    <cellStyle name="Milliers 3 2 3 4 2 2" xfId="1283"/>
    <cellStyle name="Milliers 3 2 3 4 2 2 2" xfId="3443"/>
    <cellStyle name="Milliers 3 2 3 4 2 2 2 2" xfId="7763"/>
    <cellStyle name="Milliers 3 2 3 4 2 2 3" xfId="5603"/>
    <cellStyle name="Milliers 3 2 3 4 2 3" xfId="2003"/>
    <cellStyle name="Milliers 3 2 3 4 2 3 2" xfId="4163"/>
    <cellStyle name="Milliers 3 2 3 4 2 3 2 2" xfId="8483"/>
    <cellStyle name="Milliers 3 2 3 4 2 3 3" xfId="6323"/>
    <cellStyle name="Milliers 3 2 3 4 2 4" xfId="2723"/>
    <cellStyle name="Milliers 3 2 3 4 2 4 2" xfId="7043"/>
    <cellStyle name="Milliers 3 2 3 4 2 5" xfId="4883"/>
    <cellStyle name="Milliers 3 2 3 4 3" xfId="923"/>
    <cellStyle name="Milliers 3 2 3 4 3 2" xfId="3083"/>
    <cellStyle name="Milliers 3 2 3 4 3 2 2" xfId="7403"/>
    <cellStyle name="Milliers 3 2 3 4 3 3" xfId="5243"/>
    <cellStyle name="Milliers 3 2 3 4 4" xfId="1643"/>
    <cellStyle name="Milliers 3 2 3 4 4 2" xfId="3803"/>
    <cellStyle name="Milliers 3 2 3 4 4 2 2" xfId="8123"/>
    <cellStyle name="Milliers 3 2 3 4 4 3" xfId="5963"/>
    <cellStyle name="Milliers 3 2 3 4 5" xfId="2363"/>
    <cellStyle name="Milliers 3 2 3 4 5 2" xfId="6683"/>
    <cellStyle name="Milliers 3 2 3 4 6" xfId="4523"/>
    <cellStyle name="Milliers 3 2 3 5" xfId="383"/>
    <cellStyle name="Milliers 3 2 3 5 2" xfId="1103"/>
    <cellStyle name="Milliers 3 2 3 5 2 2" xfId="3263"/>
    <cellStyle name="Milliers 3 2 3 5 2 2 2" xfId="7583"/>
    <cellStyle name="Milliers 3 2 3 5 2 3" xfId="5423"/>
    <cellStyle name="Milliers 3 2 3 5 3" xfId="1823"/>
    <cellStyle name="Milliers 3 2 3 5 3 2" xfId="3983"/>
    <cellStyle name="Milliers 3 2 3 5 3 2 2" xfId="8303"/>
    <cellStyle name="Milliers 3 2 3 5 3 3" xfId="6143"/>
    <cellStyle name="Milliers 3 2 3 5 4" xfId="2543"/>
    <cellStyle name="Milliers 3 2 3 5 4 2" xfId="6863"/>
    <cellStyle name="Milliers 3 2 3 5 5" xfId="4703"/>
    <cellStyle name="Milliers 3 2 3 6" xfId="743"/>
    <cellStyle name="Milliers 3 2 3 6 2" xfId="2903"/>
    <cellStyle name="Milliers 3 2 3 6 2 2" xfId="7223"/>
    <cellStyle name="Milliers 3 2 3 6 3" xfId="5063"/>
    <cellStyle name="Milliers 3 2 3 7" xfId="1463"/>
    <cellStyle name="Milliers 3 2 3 7 2" xfId="3623"/>
    <cellStyle name="Milliers 3 2 3 7 2 2" xfId="7943"/>
    <cellStyle name="Milliers 3 2 3 7 3" xfId="5783"/>
    <cellStyle name="Milliers 3 2 3 8" xfId="2183"/>
    <cellStyle name="Milliers 3 2 3 8 2" xfId="6503"/>
    <cellStyle name="Milliers 3 2 3 9" xfId="4343"/>
    <cellStyle name="Milliers 3 2 4" xfId="38"/>
    <cellStyle name="Milliers 3 2 4 2" xfId="83"/>
    <cellStyle name="Milliers 3 2 4 2 2" xfId="173"/>
    <cellStyle name="Milliers 3 2 4 2 2 2" xfId="353"/>
    <cellStyle name="Milliers 3 2 4 2 2 2 2" xfId="713"/>
    <cellStyle name="Milliers 3 2 4 2 2 2 2 2" xfId="1433"/>
    <cellStyle name="Milliers 3 2 4 2 2 2 2 2 2" xfId="3593"/>
    <cellStyle name="Milliers 3 2 4 2 2 2 2 2 2 2" xfId="7913"/>
    <cellStyle name="Milliers 3 2 4 2 2 2 2 2 3" xfId="5753"/>
    <cellStyle name="Milliers 3 2 4 2 2 2 2 3" xfId="2153"/>
    <cellStyle name="Milliers 3 2 4 2 2 2 2 3 2" xfId="4313"/>
    <cellStyle name="Milliers 3 2 4 2 2 2 2 3 2 2" xfId="8633"/>
    <cellStyle name="Milliers 3 2 4 2 2 2 2 3 3" xfId="6473"/>
    <cellStyle name="Milliers 3 2 4 2 2 2 2 4" xfId="2873"/>
    <cellStyle name="Milliers 3 2 4 2 2 2 2 4 2" xfId="7193"/>
    <cellStyle name="Milliers 3 2 4 2 2 2 2 5" xfId="5033"/>
    <cellStyle name="Milliers 3 2 4 2 2 2 3" xfId="1073"/>
    <cellStyle name="Milliers 3 2 4 2 2 2 3 2" xfId="3233"/>
    <cellStyle name="Milliers 3 2 4 2 2 2 3 2 2" xfId="7553"/>
    <cellStyle name="Milliers 3 2 4 2 2 2 3 3" xfId="5393"/>
    <cellStyle name="Milliers 3 2 4 2 2 2 4" xfId="1793"/>
    <cellStyle name="Milliers 3 2 4 2 2 2 4 2" xfId="3953"/>
    <cellStyle name="Milliers 3 2 4 2 2 2 4 2 2" xfId="8273"/>
    <cellStyle name="Milliers 3 2 4 2 2 2 4 3" xfId="6113"/>
    <cellStyle name="Milliers 3 2 4 2 2 2 5" xfId="2513"/>
    <cellStyle name="Milliers 3 2 4 2 2 2 5 2" xfId="6833"/>
    <cellStyle name="Milliers 3 2 4 2 2 2 6" xfId="4673"/>
    <cellStyle name="Milliers 3 2 4 2 2 3" xfId="533"/>
    <cellStyle name="Milliers 3 2 4 2 2 3 2" xfId="1253"/>
    <cellStyle name="Milliers 3 2 4 2 2 3 2 2" xfId="3413"/>
    <cellStyle name="Milliers 3 2 4 2 2 3 2 2 2" xfId="7733"/>
    <cellStyle name="Milliers 3 2 4 2 2 3 2 3" xfId="5573"/>
    <cellStyle name="Milliers 3 2 4 2 2 3 3" xfId="1973"/>
    <cellStyle name="Milliers 3 2 4 2 2 3 3 2" xfId="4133"/>
    <cellStyle name="Milliers 3 2 4 2 2 3 3 2 2" xfId="8453"/>
    <cellStyle name="Milliers 3 2 4 2 2 3 3 3" xfId="6293"/>
    <cellStyle name="Milliers 3 2 4 2 2 3 4" xfId="2693"/>
    <cellStyle name="Milliers 3 2 4 2 2 3 4 2" xfId="7013"/>
    <cellStyle name="Milliers 3 2 4 2 2 3 5" xfId="4853"/>
    <cellStyle name="Milliers 3 2 4 2 2 4" xfId="893"/>
    <cellStyle name="Milliers 3 2 4 2 2 4 2" xfId="3053"/>
    <cellStyle name="Milliers 3 2 4 2 2 4 2 2" xfId="7373"/>
    <cellStyle name="Milliers 3 2 4 2 2 4 3" xfId="5213"/>
    <cellStyle name="Milliers 3 2 4 2 2 5" xfId="1613"/>
    <cellStyle name="Milliers 3 2 4 2 2 5 2" xfId="3773"/>
    <cellStyle name="Milliers 3 2 4 2 2 5 2 2" xfId="8093"/>
    <cellStyle name="Milliers 3 2 4 2 2 5 3" xfId="5933"/>
    <cellStyle name="Milliers 3 2 4 2 2 6" xfId="2333"/>
    <cellStyle name="Milliers 3 2 4 2 2 6 2" xfId="6653"/>
    <cellStyle name="Milliers 3 2 4 2 2 7" xfId="4493"/>
    <cellStyle name="Milliers 3 2 4 2 3" xfId="263"/>
    <cellStyle name="Milliers 3 2 4 2 3 2" xfId="623"/>
    <cellStyle name="Milliers 3 2 4 2 3 2 2" xfId="1343"/>
    <cellStyle name="Milliers 3 2 4 2 3 2 2 2" xfId="3503"/>
    <cellStyle name="Milliers 3 2 4 2 3 2 2 2 2" xfId="7823"/>
    <cellStyle name="Milliers 3 2 4 2 3 2 2 3" xfId="5663"/>
    <cellStyle name="Milliers 3 2 4 2 3 2 3" xfId="2063"/>
    <cellStyle name="Milliers 3 2 4 2 3 2 3 2" xfId="4223"/>
    <cellStyle name="Milliers 3 2 4 2 3 2 3 2 2" xfId="8543"/>
    <cellStyle name="Milliers 3 2 4 2 3 2 3 3" xfId="6383"/>
    <cellStyle name="Milliers 3 2 4 2 3 2 4" xfId="2783"/>
    <cellStyle name="Milliers 3 2 4 2 3 2 4 2" xfId="7103"/>
    <cellStyle name="Milliers 3 2 4 2 3 2 5" xfId="4943"/>
    <cellStyle name="Milliers 3 2 4 2 3 3" xfId="983"/>
    <cellStyle name="Milliers 3 2 4 2 3 3 2" xfId="3143"/>
    <cellStyle name="Milliers 3 2 4 2 3 3 2 2" xfId="7463"/>
    <cellStyle name="Milliers 3 2 4 2 3 3 3" xfId="5303"/>
    <cellStyle name="Milliers 3 2 4 2 3 4" xfId="1703"/>
    <cellStyle name="Milliers 3 2 4 2 3 4 2" xfId="3863"/>
    <cellStyle name="Milliers 3 2 4 2 3 4 2 2" xfId="8183"/>
    <cellStyle name="Milliers 3 2 4 2 3 4 3" xfId="6023"/>
    <cellStyle name="Milliers 3 2 4 2 3 5" xfId="2423"/>
    <cellStyle name="Milliers 3 2 4 2 3 5 2" xfId="6743"/>
    <cellStyle name="Milliers 3 2 4 2 3 6" xfId="4583"/>
    <cellStyle name="Milliers 3 2 4 2 4" xfId="443"/>
    <cellStyle name="Milliers 3 2 4 2 4 2" xfId="1163"/>
    <cellStyle name="Milliers 3 2 4 2 4 2 2" xfId="3323"/>
    <cellStyle name="Milliers 3 2 4 2 4 2 2 2" xfId="7643"/>
    <cellStyle name="Milliers 3 2 4 2 4 2 3" xfId="5483"/>
    <cellStyle name="Milliers 3 2 4 2 4 3" xfId="1883"/>
    <cellStyle name="Milliers 3 2 4 2 4 3 2" xfId="4043"/>
    <cellStyle name="Milliers 3 2 4 2 4 3 2 2" xfId="8363"/>
    <cellStyle name="Milliers 3 2 4 2 4 3 3" xfId="6203"/>
    <cellStyle name="Milliers 3 2 4 2 4 4" xfId="2603"/>
    <cellStyle name="Milliers 3 2 4 2 4 4 2" xfId="6923"/>
    <cellStyle name="Milliers 3 2 4 2 4 5" xfId="4763"/>
    <cellStyle name="Milliers 3 2 4 2 5" xfId="803"/>
    <cellStyle name="Milliers 3 2 4 2 5 2" xfId="2963"/>
    <cellStyle name="Milliers 3 2 4 2 5 2 2" xfId="7283"/>
    <cellStyle name="Milliers 3 2 4 2 5 3" xfId="5123"/>
    <cellStyle name="Milliers 3 2 4 2 6" xfId="1523"/>
    <cellStyle name="Milliers 3 2 4 2 6 2" xfId="3683"/>
    <cellStyle name="Milliers 3 2 4 2 6 2 2" xfId="8003"/>
    <cellStyle name="Milliers 3 2 4 2 6 3" xfId="5843"/>
    <cellStyle name="Milliers 3 2 4 2 7" xfId="2243"/>
    <cellStyle name="Milliers 3 2 4 2 7 2" xfId="6563"/>
    <cellStyle name="Milliers 3 2 4 2 8" xfId="4403"/>
    <cellStyle name="Milliers 3 2 4 3" xfId="128"/>
    <cellStyle name="Milliers 3 2 4 3 2" xfId="308"/>
    <cellStyle name="Milliers 3 2 4 3 2 2" xfId="668"/>
    <cellStyle name="Milliers 3 2 4 3 2 2 2" xfId="1388"/>
    <cellStyle name="Milliers 3 2 4 3 2 2 2 2" xfId="3548"/>
    <cellStyle name="Milliers 3 2 4 3 2 2 2 2 2" xfId="7868"/>
    <cellStyle name="Milliers 3 2 4 3 2 2 2 3" xfId="5708"/>
    <cellStyle name="Milliers 3 2 4 3 2 2 3" xfId="2108"/>
    <cellStyle name="Milliers 3 2 4 3 2 2 3 2" xfId="4268"/>
    <cellStyle name="Milliers 3 2 4 3 2 2 3 2 2" xfId="8588"/>
    <cellStyle name="Milliers 3 2 4 3 2 2 3 3" xfId="6428"/>
    <cellStyle name="Milliers 3 2 4 3 2 2 4" xfId="2828"/>
    <cellStyle name="Milliers 3 2 4 3 2 2 4 2" xfId="7148"/>
    <cellStyle name="Milliers 3 2 4 3 2 2 5" xfId="4988"/>
    <cellStyle name="Milliers 3 2 4 3 2 3" xfId="1028"/>
    <cellStyle name="Milliers 3 2 4 3 2 3 2" xfId="3188"/>
    <cellStyle name="Milliers 3 2 4 3 2 3 2 2" xfId="7508"/>
    <cellStyle name="Milliers 3 2 4 3 2 3 3" xfId="5348"/>
    <cellStyle name="Milliers 3 2 4 3 2 4" xfId="1748"/>
    <cellStyle name="Milliers 3 2 4 3 2 4 2" xfId="3908"/>
    <cellStyle name="Milliers 3 2 4 3 2 4 2 2" xfId="8228"/>
    <cellStyle name="Milliers 3 2 4 3 2 4 3" xfId="6068"/>
    <cellStyle name="Milliers 3 2 4 3 2 5" xfId="2468"/>
    <cellStyle name="Milliers 3 2 4 3 2 5 2" xfId="6788"/>
    <cellStyle name="Milliers 3 2 4 3 2 6" xfId="4628"/>
    <cellStyle name="Milliers 3 2 4 3 3" xfId="488"/>
    <cellStyle name="Milliers 3 2 4 3 3 2" xfId="1208"/>
    <cellStyle name="Milliers 3 2 4 3 3 2 2" xfId="3368"/>
    <cellStyle name="Milliers 3 2 4 3 3 2 2 2" xfId="7688"/>
    <cellStyle name="Milliers 3 2 4 3 3 2 3" xfId="5528"/>
    <cellStyle name="Milliers 3 2 4 3 3 3" xfId="1928"/>
    <cellStyle name="Milliers 3 2 4 3 3 3 2" xfId="4088"/>
    <cellStyle name="Milliers 3 2 4 3 3 3 2 2" xfId="8408"/>
    <cellStyle name="Milliers 3 2 4 3 3 3 3" xfId="6248"/>
    <cellStyle name="Milliers 3 2 4 3 3 4" xfId="2648"/>
    <cellStyle name="Milliers 3 2 4 3 3 4 2" xfId="6968"/>
    <cellStyle name="Milliers 3 2 4 3 3 5" xfId="4808"/>
    <cellStyle name="Milliers 3 2 4 3 4" xfId="848"/>
    <cellStyle name="Milliers 3 2 4 3 4 2" xfId="3008"/>
    <cellStyle name="Milliers 3 2 4 3 4 2 2" xfId="7328"/>
    <cellStyle name="Milliers 3 2 4 3 4 3" xfId="5168"/>
    <cellStyle name="Milliers 3 2 4 3 5" xfId="1568"/>
    <cellStyle name="Milliers 3 2 4 3 5 2" xfId="3728"/>
    <cellStyle name="Milliers 3 2 4 3 5 2 2" xfId="8048"/>
    <cellStyle name="Milliers 3 2 4 3 5 3" xfId="5888"/>
    <cellStyle name="Milliers 3 2 4 3 6" xfId="2288"/>
    <cellStyle name="Milliers 3 2 4 3 6 2" xfId="6608"/>
    <cellStyle name="Milliers 3 2 4 3 7" xfId="4448"/>
    <cellStyle name="Milliers 3 2 4 4" xfId="218"/>
    <cellStyle name="Milliers 3 2 4 4 2" xfId="578"/>
    <cellStyle name="Milliers 3 2 4 4 2 2" xfId="1298"/>
    <cellStyle name="Milliers 3 2 4 4 2 2 2" xfId="3458"/>
    <cellStyle name="Milliers 3 2 4 4 2 2 2 2" xfId="7778"/>
    <cellStyle name="Milliers 3 2 4 4 2 2 3" xfId="5618"/>
    <cellStyle name="Milliers 3 2 4 4 2 3" xfId="2018"/>
    <cellStyle name="Milliers 3 2 4 4 2 3 2" xfId="4178"/>
    <cellStyle name="Milliers 3 2 4 4 2 3 2 2" xfId="8498"/>
    <cellStyle name="Milliers 3 2 4 4 2 3 3" xfId="6338"/>
    <cellStyle name="Milliers 3 2 4 4 2 4" xfId="2738"/>
    <cellStyle name="Milliers 3 2 4 4 2 4 2" xfId="7058"/>
    <cellStyle name="Milliers 3 2 4 4 2 5" xfId="4898"/>
    <cellStyle name="Milliers 3 2 4 4 3" xfId="938"/>
    <cellStyle name="Milliers 3 2 4 4 3 2" xfId="3098"/>
    <cellStyle name="Milliers 3 2 4 4 3 2 2" xfId="7418"/>
    <cellStyle name="Milliers 3 2 4 4 3 3" xfId="5258"/>
    <cellStyle name="Milliers 3 2 4 4 4" xfId="1658"/>
    <cellStyle name="Milliers 3 2 4 4 4 2" xfId="3818"/>
    <cellStyle name="Milliers 3 2 4 4 4 2 2" xfId="8138"/>
    <cellStyle name="Milliers 3 2 4 4 4 3" xfId="5978"/>
    <cellStyle name="Milliers 3 2 4 4 5" xfId="2378"/>
    <cellStyle name="Milliers 3 2 4 4 5 2" xfId="6698"/>
    <cellStyle name="Milliers 3 2 4 4 6" xfId="4538"/>
    <cellStyle name="Milliers 3 2 4 5" xfId="398"/>
    <cellStyle name="Milliers 3 2 4 5 2" xfId="1118"/>
    <cellStyle name="Milliers 3 2 4 5 2 2" xfId="3278"/>
    <cellStyle name="Milliers 3 2 4 5 2 2 2" xfId="7598"/>
    <cellStyle name="Milliers 3 2 4 5 2 3" xfId="5438"/>
    <cellStyle name="Milliers 3 2 4 5 3" xfId="1838"/>
    <cellStyle name="Milliers 3 2 4 5 3 2" xfId="3998"/>
    <cellStyle name="Milliers 3 2 4 5 3 2 2" xfId="8318"/>
    <cellStyle name="Milliers 3 2 4 5 3 3" xfId="6158"/>
    <cellStyle name="Milliers 3 2 4 5 4" xfId="2558"/>
    <cellStyle name="Milliers 3 2 4 5 4 2" xfId="6878"/>
    <cellStyle name="Milliers 3 2 4 5 5" xfId="4718"/>
    <cellStyle name="Milliers 3 2 4 6" xfId="758"/>
    <cellStyle name="Milliers 3 2 4 6 2" xfId="2918"/>
    <cellStyle name="Milliers 3 2 4 6 2 2" xfId="7238"/>
    <cellStyle name="Milliers 3 2 4 6 3" xfId="5078"/>
    <cellStyle name="Milliers 3 2 4 7" xfId="1478"/>
    <cellStyle name="Milliers 3 2 4 7 2" xfId="3638"/>
    <cellStyle name="Milliers 3 2 4 7 2 2" xfId="7958"/>
    <cellStyle name="Milliers 3 2 4 7 3" xfId="5798"/>
    <cellStyle name="Milliers 3 2 4 8" xfId="2198"/>
    <cellStyle name="Milliers 3 2 4 8 2" xfId="6518"/>
    <cellStyle name="Milliers 3 2 4 9" xfId="4358"/>
    <cellStyle name="Milliers 3 2 5" xfId="53"/>
    <cellStyle name="Milliers 3 2 5 2" xfId="143"/>
    <cellStyle name="Milliers 3 2 5 2 2" xfId="323"/>
    <cellStyle name="Milliers 3 2 5 2 2 2" xfId="683"/>
    <cellStyle name="Milliers 3 2 5 2 2 2 2" xfId="1403"/>
    <cellStyle name="Milliers 3 2 5 2 2 2 2 2" xfId="3563"/>
    <cellStyle name="Milliers 3 2 5 2 2 2 2 2 2" xfId="7883"/>
    <cellStyle name="Milliers 3 2 5 2 2 2 2 3" xfId="5723"/>
    <cellStyle name="Milliers 3 2 5 2 2 2 3" xfId="2123"/>
    <cellStyle name="Milliers 3 2 5 2 2 2 3 2" xfId="4283"/>
    <cellStyle name="Milliers 3 2 5 2 2 2 3 2 2" xfId="8603"/>
    <cellStyle name="Milliers 3 2 5 2 2 2 3 3" xfId="6443"/>
    <cellStyle name="Milliers 3 2 5 2 2 2 4" xfId="2843"/>
    <cellStyle name="Milliers 3 2 5 2 2 2 4 2" xfId="7163"/>
    <cellStyle name="Milliers 3 2 5 2 2 2 5" xfId="5003"/>
    <cellStyle name="Milliers 3 2 5 2 2 3" xfId="1043"/>
    <cellStyle name="Milliers 3 2 5 2 2 3 2" xfId="3203"/>
    <cellStyle name="Milliers 3 2 5 2 2 3 2 2" xfId="7523"/>
    <cellStyle name="Milliers 3 2 5 2 2 3 3" xfId="5363"/>
    <cellStyle name="Milliers 3 2 5 2 2 4" xfId="1763"/>
    <cellStyle name="Milliers 3 2 5 2 2 4 2" xfId="3923"/>
    <cellStyle name="Milliers 3 2 5 2 2 4 2 2" xfId="8243"/>
    <cellStyle name="Milliers 3 2 5 2 2 4 3" xfId="6083"/>
    <cellStyle name="Milliers 3 2 5 2 2 5" xfId="2483"/>
    <cellStyle name="Milliers 3 2 5 2 2 5 2" xfId="6803"/>
    <cellStyle name="Milliers 3 2 5 2 2 6" xfId="4643"/>
    <cellStyle name="Milliers 3 2 5 2 3" xfId="503"/>
    <cellStyle name="Milliers 3 2 5 2 3 2" xfId="1223"/>
    <cellStyle name="Milliers 3 2 5 2 3 2 2" xfId="3383"/>
    <cellStyle name="Milliers 3 2 5 2 3 2 2 2" xfId="7703"/>
    <cellStyle name="Milliers 3 2 5 2 3 2 3" xfId="5543"/>
    <cellStyle name="Milliers 3 2 5 2 3 3" xfId="1943"/>
    <cellStyle name="Milliers 3 2 5 2 3 3 2" xfId="4103"/>
    <cellStyle name="Milliers 3 2 5 2 3 3 2 2" xfId="8423"/>
    <cellStyle name="Milliers 3 2 5 2 3 3 3" xfId="6263"/>
    <cellStyle name="Milliers 3 2 5 2 3 4" xfId="2663"/>
    <cellStyle name="Milliers 3 2 5 2 3 4 2" xfId="6983"/>
    <cellStyle name="Milliers 3 2 5 2 3 5" xfId="4823"/>
    <cellStyle name="Milliers 3 2 5 2 4" xfId="863"/>
    <cellStyle name="Milliers 3 2 5 2 4 2" xfId="3023"/>
    <cellStyle name="Milliers 3 2 5 2 4 2 2" xfId="7343"/>
    <cellStyle name="Milliers 3 2 5 2 4 3" xfId="5183"/>
    <cellStyle name="Milliers 3 2 5 2 5" xfId="1583"/>
    <cellStyle name="Milliers 3 2 5 2 5 2" xfId="3743"/>
    <cellStyle name="Milliers 3 2 5 2 5 2 2" xfId="8063"/>
    <cellStyle name="Milliers 3 2 5 2 5 3" xfId="5903"/>
    <cellStyle name="Milliers 3 2 5 2 6" xfId="2303"/>
    <cellStyle name="Milliers 3 2 5 2 6 2" xfId="6623"/>
    <cellStyle name="Milliers 3 2 5 2 7" xfId="4463"/>
    <cellStyle name="Milliers 3 2 5 3" xfId="233"/>
    <cellStyle name="Milliers 3 2 5 3 2" xfId="593"/>
    <cellStyle name="Milliers 3 2 5 3 2 2" xfId="1313"/>
    <cellStyle name="Milliers 3 2 5 3 2 2 2" xfId="3473"/>
    <cellStyle name="Milliers 3 2 5 3 2 2 2 2" xfId="7793"/>
    <cellStyle name="Milliers 3 2 5 3 2 2 3" xfId="5633"/>
    <cellStyle name="Milliers 3 2 5 3 2 3" xfId="2033"/>
    <cellStyle name="Milliers 3 2 5 3 2 3 2" xfId="4193"/>
    <cellStyle name="Milliers 3 2 5 3 2 3 2 2" xfId="8513"/>
    <cellStyle name="Milliers 3 2 5 3 2 3 3" xfId="6353"/>
    <cellStyle name="Milliers 3 2 5 3 2 4" xfId="2753"/>
    <cellStyle name="Milliers 3 2 5 3 2 4 2" xfId="7073"/>
    <cellStyle name="Milliers 3 2 5 3 2 5" xfId="4913"/>
    <cellStyle name="Milliers 3 2 5 3 3" xfId="953"/>
    <cellStyle name="Milliers 3 2 5 3 3 2" xfId="3113"/>
    <cellStyle name="Milliers 3 2 5 3 3 2 2" xfId="7433"/>
    <cellStyle name="Milliers 3 2 5 3 3 3" xfId="5273"/>
    <cellStyle name="Milliers 3 2 5 3 4" xfId="1673"/>
    <cellStyle name="Milliers 3 2 5 3 4 2" xfId="3833"/>
    <cellStyle name="Milliers 3 2 5 3 4 2 2" xfId="8153"/>
    <cellStyle name="Milliers 3 2 5 3 4 3" xfId="5993"/>
    <cellStyle name="Milliers 3 2 5 3 5" xfId="2393"/>
    <cellStyle name="Milliers 3 2 5 3 5 2" xfId="6713"/>
    <cellStyle name="Milliers 3 2 5 3 6" xfId="4553"/>
    <cellStyle name="Milliers 3 2 5 4" xfId="413"/>
    <cellStyle name="Milliers 3 2 5 4 2" xfId="1133"/>
    <cellStyle name="Milliers 3 2 5 4 2 2" xfId="3293"/>
    <cellStyle name="Milliers 3 2 5 4 2 2 2" xfId="7613"/>
    <cellStyle name="Milliers 3 2 5 4 2 3" xfId="5453"/>
    <cellStyle name="Milliers 3 2 5 4 3" xfId="1853"/>
    <cellStyle name="Milliers 3 2 5 4 3 2" xfId="4013"/>
    <cellStyle name="Milliers 3 2 5 4 3 2 2" xfId="8333"/>
    <cellStyle name="Milliers 3 2 5 4 3 3" xfId="6173"/>
    <cellStyle name="Milliers 3 2 5 4 4" xfId="2573"/>
    <cellStyle name="Milliers 3 2 5 4 4 2" xfId="6893"/>
    <cellStyle name="Milliers 3 2 5 4 5" xfId="4733"/>
    <cellStyle name="Milliers 3 2 5 5" xfId="773"/>
    <cellStyle name="Milliers 3 2 5 5 2" xfId="2933"/>
    <cellStyle name="Milliers 3 2 5 5 2 2" xfId="7253"/>
    <cellStyle name="Milliers 3 2 5 5 3" xfId="5093"/>
    <cellStyle name="Milliers 3 2 5 6" xfId="1493"/>
    <cellStyle name="Milliers 3 2 5 6 2" xfId="3653"/>
    <cellStyle name="Milliers 3 2 5 6 2 2" xfId="7973"/>
    <cellStyle name="Milliers 3 2 5 6 3" xfId="5813"/>
    <cellStyle name="Milliers 3 2 5 7" xfId="2213"/>
    <cellStyle name="Milliers 3 2 5 7 2" xfId="6533"/>
    <cellStyle name="Milliers 3 2 5 8" xfId="4373"/>
    <cellStyle name="Milliers 3 2 6" xfId="98"/>
    <cellStyle name="Milliers 3 2 6 2" xfId="278"/>
    <cellStyle name="Milliers 3 2 6 2 2" xfId="638"/>
    <cellStyle name="Milliers 3 2 6 2 2 2" xfId="1358"/>
    <cellStyle name="Milliers 3 2 6 2 2 2 2" xfId="3518"/>
    <cellStyle name="Milliers 3 2 6 2 2 2 2 2" xfId="7838"/>
    <cellStyle name="Milliers 3 2 6 2 2 2 3" xfId="5678"/>
    <cellStyle name="Milliers 3 2 6 2 2 3" xfId="2078"/>
    <cellStyle name="Milliers 3 2 6 2 2 3 2" xfId="4238"/>
    <cellStyle name="Milliers 3 2 6 2 2 3 2 2" xfId="8558"/>
    <cellStyle name="Milliers 3 2 6 2 2 3 3" xfId="6398"/>
    <cellStyle name="Milliers 3 2 6 2 2 4" xfId="2798"/>
    <cellStyle name="Milliers 3 2 6 2 2 4 2" xfId="7118"/>
    <cellStyle name="Milliers 3 2 6 2 2 5" xfId="4958"/>
    <cellStyle name="Milliers 3 2 6 2 3" xfId="998"/>
    <cellStyle name="Milliers 3 2 6 2 3 2" xfId="3158"/>
    <cellStyle name="Milliers 3 2 6 2 3 2 2" xfId="7478"/>
    <cellStyle name="Milliers 3 2 6 2 3 3" xfId="5318"/>
    <cellStyle name="Milliers 3 2 6 2 4" xfId="1718"/>
    <cellStyle name="Milliers 3 2 6 2 4 2" xfId="3878"/>
    <cellStyle name="Milliers 3 2 6 2 4 2 2" xfId="8198"/>
    <cellStyle name="Milliers 3 2 6 2 4 3" xfId="6038"/>
    <cellStyle name="Milliers 3 2 6 2 5" xfId="2438"/>
    <cellStyle name="Milliers 3 2 6 2 5 2" xfId="6758"/>
    <cellStyle name="Milliers 3 2 6 2 6" xfId="4598"/>
    <cellStyle name="Milliers 3 2 6 3" xfId="458"/>
    <cellStyle name="Milliers 3 2 6 3 2" xfId="1178"/>
    <cellStyle name="Milliers 3 2 6 3 2 2" xfId="3338"/>
    <cellStyle name="Milliers 3 2 6 3 2 2 2" xfId="7658"/>
    <cellStyle name="Milliers 3 2 6 3 2 3" xfId="5498"/>
    <cellStyle name="Milliers 3 2 6 3 3" xfId="1898"/>
    <cellStyle name="Milliers 3 2 6 3 3 2" xfId="4058"/>
    <cellStyle name="Milliers 3 2 6 3 3 2 2" xfId="8378"/>
    <cellStyle name="Milliers 3 2 6 3 3 3" xfId="6218"/>
    <cellStyle name="Milliers 3 2 6 3 4" xfId="2618"/>
    <cellStyle name="Milliers 3 2 6 3 4 2" xfId="6938"/>
    <cellStyle name="Milliers 3 2 6 3 5" xfId="4778"/>
    <cellStyle name="Milliers 3 2 6 4" xfId="818"/>
    <cellStyle name="Milliers 3 2 6 4 2" xfId="2978"/>
    <cellStyle name="Milliers 3 2 6 4 2 2" xfId="7298"/>
    <cellStyle name="Milliers 3 2 6 4 3" xfId="5138"/>
    <cellStyle name="Milliers 3 2 6 5" xfId="1538"/>
    <cellStyle name="Milliers 3 2 6 5 2" xfId="3698"/>
    <cellStyle name="Milliers 3 2 6 5 2 2" xfId="8018"/>
    <cellStyle name="Milliers 3 2 6 5 3" xfId="5858"/>
    <cellStyle name="Milliers 3 2 6 6" xfId="2258"/>
    <cellStyle name="Milliers 3 2 6 6 2" xfId="6578"/>
    <cellStyle name="Milliers 3 2 6 7" xfId="4418"/>
    <cellStyle name="Milliers 3 2 7" xfId="188"/>
    <cellStyle name="Milliers 3 2 7 2" xfId="548"/>
    <cellStyle name="Milliers 3 2 7 2 2" xfId="1268"/>
    <cellStyle name="Milliers 3 2 7 2 2 2" xfId="3428"/>
    <cellStyle name="Milliers 3 2 7 2 2 2 2" xfId="7748"/>
    <cellStyle name="Milliers 3 2 7 2 2 3" xfId="5588"/>
    <cellStyle name="Milliers 3 2 7 2 3" xfId="1988"/>
    <cellStyle name="Milliers 3 2 7 2 3 2" xfId="4148"/>
    <cellStyle name="Milliers 3 2 7 2 3 2 2" xfId="8468"/>
    <cellStyle name="Milliers 3 2 7 2 3 3" xfId="6308"/>
    <cellStyle name="Milliers 3 2 7 2 4" xfId="2708"/>
    <cellStyle name="Milliers 3 2 7 2 4 2" xfId="7028"/>
    <cellStyle name="Milliers 3 2 7 2 5" xfId="4868"/>
    <cellStyle name="Milliers 3 2 7 3" xfId="908"/>
    <cellStyle name="Milliers 3 2 7 3 2" xfId="3068"/>
    <cellStyle name="Milliers 3 2 7 3 2 2" xfId="7388"/>
    <cellStyle name="Milliers 3 2 7 3 3" xfId="5228"/>
    <cellStyle name="Milliers 3 2 7 4" xfId="1628"/>
    <cellStyle name="Milliers 3 2 7 4 2" xfId="3788"/>
    <cellStyle name="Milliers 3 2 7 4 2 2" xfId="8108"/>
    <cellStyle name="Milliers 3 2 7 4 3" xfId="5948"/>
    <cellStyle name="Milliers 3 2 7 5" xfId="2348"/>
    <cellStyle name="Milliers 3 2 7 5 2" xfId="6668"/>
    <cellStyle name="Milliers 3 2 7 6" xfId="4508"/>
    <cellStyle name="Milliers 3 2 8" xfId="368"/>
    <cellStyle name="Milliers 3 2 8 2" xfId="1088"/>
    <cellStyle name="Milliers 3 2 8 2 2" xfId="3248"/>
    <cellStyle name="Milliers 3 2 8 2 2 2" xfId="7568"/>
    <cellStyle name="Milliers 3 2 8 2 3" xfId="5408"/>
    <cellStyle name="Milliers 3 2 8 3" xfId="1808"/>
    <cellStyle name="Milliers 3 2 8 3 2" xfId="3968"/>
    <cellStyle name="Milliers 3 2 8 3 2 2" xfId="8288"/>
    <cellStyle name="Milliers 3 2 8 3 3" xfId="6128"/>
    <cellStyle name="Milliers 3 2 8 4" xfId="2528"/>
    <cellStyle name="Milliers 3 2 8 4 2" xfId="6848"/>
    <cellStyle name="Milliers 3 2 8 5" xfId="4688"/>
    <cellStyle name="Milliers 3 2 9" xfId="728"/>
    <cellStyle name="Milliers 3 2 9 2" xfId="2888"/>
    <cellStyle name="Milliers 3 2 9 2 2" xfId="7208"/>
    <cellStyle name="Milliers 3 2 9 3" xfId="5048"/>
    <cellStyle name="Milliers 3 3" xfId="11"/>
    <cellStyle name="Milliers 3 3 10" xfId="2171"/>
    <cellStyle name="Milliers 3 3 10 2" xfId="6491"/>
    <cellStyle name="Milliers 3 3 11" xfId="4331"/>
    <cellStyle name="Milliers 3 3 2" xfId="26"/>
    <cellStyle name="Milliers 3 3 2 2" xfId="71"/>
    <cellStyle name="Milliers 3 3 2 2 2" xfId="161"/>
    <cellStyle name="Milliers 3 3 2 2 2 2" xfId="341"/>
    <cellStyle name="Milliers 3 3 2 2 2 2 2" xfId="701"/>
    <cellStyle name="Milliers 3 3 2 2 2 2 2 2" xfId="1421"/>
    <cellStyle name="Milliers 3 3 2 2 2 2 2 2 2" xfId="3581"/>
    <cellStyle name="Milliers 3 3 2 2 2 2 2 2 2 2" xfId="7901"/>
    <cellStyle name="Milliers 3 3 2 2 2 2 2 2 3" xfId="5741"/>
    <cellStyle name="Milliers 3 3 2 2 2 2 2 3" xfId="2141"/>
    <cellStyle name="Milliers 3 3 2 2 2 2 2 3 2" xfId="4301"/>
    <cellStyle name="Milliers 3 3 2 2 2 2 2 3 2 2" xfId="8621"/>
    <cellStyle name="Milliers 3 3 2 2 2 2 2 3 3" xfId="6461"/>
    <cellStyle name="Milliers 3 3 2 2 2 2 2 4" xfId="2861"/>
    <cellStyle name="Milliers 3 3 2 2 2 2 2 4 2" xfId="7181"/>
    <cellStyle name="Milliers 3 3 2 2 2 2 2 5" xfId="5021"/>
    <cellStyle name="Milliers 3 3 2 2 2 2 3" xfId="1061"/>
    <cellStyle name="Milliers 3 3 2 2 2 2 3 2" xfId="3221"/>
    <cellStyle name="Milliers 3 3 2 2 2 2 3 2 2" xfId="7541"/>
    <cellStyle name="Milliers 3 3 2 2 2 2 3 3" xfId="5381"/>
    <cellStyle name="Milliers 3 3 2 2 2 2 4" xfId="1781"/>
    <cellStyle name="Milliers 3 3 2 2 2 2 4 2" xfId="3941"/>
    <cellStyle name="Milliers 3 3 2 2 2 2 4 2 2" xfId="8261"/>
    <cellStyle name="Milliers 3 3 2 2 2 2 4 3" xfId="6101"/>
    <cellStyle name="Milliers 3 3 2 2 2 2 5" xfId="2501"/>
    <cellStyle name="Milliers 3 3 2 2 2 2 5 2" xfId="6821"/>
    <cellStyle name="Milliers 3 3 2 2 2 2 6" xfId="4661"/>
    <cellStyle name="Milliers 3 3 2 2 2 3" xfId="521"/>
    <cellStyle name="Milliers 3 3 2 2 2 3 2" xfId="1241"/>
    <cellStyle name="Milliers 3 3 2 2 2 3 2 2" xfId="3401"/>
    <cellStyle name="Milliers 3 3 2 2 2 3 2 2 2" xfId="7721"/>
    <cellStyle name="Milliers 3 3 2 2 2 3 2 3" xfId="5561"/>
    <cellStyle name="Milliers 3 3 2 2 2 3 3" xfId="1961"/>
    <cellStyle name="Milliers 3 3 2 2 2 3 3 2" xfId="4121"/>
    <cellStyle name="Milliers 3 3 2 2 2 3 3 2 2" xfId="8441"/>
    <cellStyle name="Milliers 3 3 2 2 2 3 3 3" xfId="6281"/>
    <cellStyle name="Milliers 3 3 2 2 2 3 4" xfId="2681"/>
    <cellStyle name="Milliers 3 3 2 2 2 3 4 2" xfId="7001"/>
    <cellStyle name="Milliers 3 3 2 2 2 3 5" xfId="4841"/>
    <cellStyle name="Milliers 3 3 2 2 2 4" xfId="881"/>
    <cellStyle name="Milliers 3 3 2 2 2 4 2" xfId="3041"/>
    <cellStyle name="Milliers 3 3 2 2 2 4 2 2" xfId="7361"/>
    <cellStyle name="Milliers 3 3 2 2 2 4 3" xfId="5201"/>
    <cellStyle name="Milliers 3 3 2 2 2 5" xfId="1601"/>
    <cellStyle name="Milliers 3 3 2 2 2 5 2" xfId="3761"/>
    <cellStyle name="Milliers 3 3 2 2 2 5 2 2" xfId="8081"/>
    <cellStyle name="Milliers 3 3 2 2 2 5 3" xfId="5921"/>
    <cellStyle name="Milliers 3 3 2 2 2 6" xfId="2321"/>
    <cellStyle name="Milliers 3 3 2 2 2 6 2" xfId="6641"/>
    <cellStyle name="Milliers 3 3 2 2 2 7" xfId="4481"/>
    <cellStyle name="Milliers 3 3 2 2 3" xfId="251"/>
    <cellStyle name="Milliers 3 3 2 2 3 2" xfId="611"/>
    <cellStyle name="Milliers 3 3 2 2 3 2 2" xfId="1331"/>
    <cellStyle name="Milliers 3 3 2 2 3 2 2 2" xfId="3491"/>
    <cellStyle name="Milliers 3 3 2 2 3 2 2 2 2" xfId="7811"/>
    <cellStyle name="Milliers 3 3 2 2 3 2 2 3" xfId="5651"/>
    <cellStyle name="Milliers 3 3 2 2 3 2 3" xfId="2051"/>
    <cellStyle name="Milliers 3 3 2 2 3 2 3 2" xfId="4211"/>
    <cellStyle name="Milliers 3 3 2 2 3 2 3 2 2" xfId="8531"/>
    <cellStyle name="Milliers 3 3 2 2 3 2 3 3" xfId="6371"/>
    <cellStyle name="Milliers 3 3 2 2 3 2 4" xfId="2771"/>
    <cellStyle name="Milliers 3 3 2 2 3 2 4 2" xfId="7091"/>
    <cellStyle name="Milliers 3 3 2 2 3 2 5" xfId="4931"/>
    <cellStyle name="Milliers 3 3 2 2 3 3" xfId="971"/>
    <cellStyle name="Milliers 3 3 2 2 3 3 2" xfId="3131"/>
    <cellStyle name="Milliers 3 3 2 2 3 3 2 2" xfId="7451"/>
    <cellStyle name="Milliers 3 3 2 2 3 3 3" xfId="5291"/>
    <cellStyle name="Milliers 3 3 2 2 3 4" xfId="1691"/>
    <cellStyle name="Milliers 3 3 2 2 3 4 2" xfId="3851"/>
    <cellStyle name="Milliers 3 3 2 2 3 4 2 2" xfId="8171"/>
    <cellStyle name="Milliers 3 3 2 2 3 4 3" xfId="6011"/>
    <cellStyle name="Milliers 3 3 2 2 3 5" xfId="2411"/>
    <cellStyle name="Milliers 3 3 2 2 3 5 2" xfId="6731"/>
    <cellStyle name="Milliers 3 3 2 2 3 6" xfId="4571"/>
    <cellStyle name="Milliers 3 3 2 2 4" xfId="431"/>
    <cellStyle name="Milliers 3 3 2 2 4 2" xfId="1151"/>
    <cellStyle name="Milliers 3 3 2 2 4 2 2" xfId="3311"/>
    <cellStyle name="Milliers 3 3 2 2 4 2 2 2" xfId="7631"/>
    <cellStyle name="Milliers 3 3 2 2 4 2 3" xfId="5471"/>
    <cellStyle name="Milliers 3 3 2 2 4 3" xfId="1871"/>
    <cellStyle name="Milliers 3 3 2 2 4 3 2" xfId="4031"/>
    <cellStyle name="Milliers 3 3 2 2 4 3 2 2" xfId="8351"/>
    <cellStyle name="Milliers 3 3 2 2 4 3 3" xfId="6191"/>
    <cellStyle name="Milliers 3 3 2 2 4 4" xfId="2591"/>
    <cellStyle name="Milliers 3 3 2 2 4 4 2" xfId="6911"/>
    <cellStyle name="Milliers 3 3 2 2 4 5" xfId="4751"/>
    <cellStyle name="Milliers 3 3 2 2 5" xfId="791"/>
    <cellStyle name="Milliers 3 3 2 2 5 2" xfId="2951"/>
    <cellStyle name="Milliers 3 3 2 2 5 2 2" xfId="7271"/>
    <cellStyle name="Milliers 3 3 2 2 5 3" xfId="5111"/>
    <cellStyle name="Milliers 3 3 2 2 6" xfId="1511"/>
    <cellStyle name="Milliers 3 3 2 2 6 2" xfId="3671"/>
    <cellStyle name="Milliers 3 3 2 2 6 2 2" xfId="7991"/>
    <cellStyle name="Milliers 3 3 2 2 6 3" xfId="5831"/>
    <cellStyle name="Milliers 3 3 2 2 7" xfId="2231"/>
    <cellStyle name="Milliers 3 3 2 2 7 2" xfId="6551"/>
    <cellStyle name="Milliers 3 3 2 2 8" xfId="4391"/>
    <cellStyle name="Milliers 3 3 2 3" xfId="116"/>
    <cellStyle name="Milliers 3 3 2 3 2" xfId="296"/>
    <cellStyle name="Milliers 3 3 2 3 2 2" xfId="656"/>
    <cellStyle name="Milliers 3 3 2 3 2 2 2" xfId="1376"/>
    <cellStyle name="Milliers 3 3 2 3 2 2 2 2" xfId="3536"/>
    <cellStyle name="Milliers 3 3 2 3 2 2 2 2 2" xfId="7856"/>
    <cellStyle name="Milliers 3 3 2 3 2 2 2 3" xfId="5696"/>
    <cellStyle name="Milliers 3 3 2 3 2 2 3" xfId="2096"/>
    <cellStyle name="Milliers 3 3 2 3 2 2 3 2" xfId="4256"/>
    <cellStyle name="Milliers 3 3 2 3 2 2 3 2 2" xfId="8576"/>
    <cellStyle name="Milliers 3 3 2 3 2 2 3 3" xfId="6416"/>
    <cellStyle name="Milliers 3 3 2 3 2 2 4" xfId="2816"/>
    <cellStyle name="Milliers 3 3 2 3 2 2 4 2" xfId="7136"/>
    <cellStyle name="Milliers 3 3 2 3 2 2 5" xfId="4976"/>
    <cellStyle name="Milliers 3 3 2 3 2 3" xfId="1016"/>
    <cellStyle name="Milliers 3 3 2 3 2 3 2" xfId="3176"/>
    <cellStyle name="Milliers 3 3 2 3 2 3 2 2" xfId="7496"/>
    <cellStyle name="Milliers 3 3 2 3 2 3 3" xfId="5336"/>
    <cellStyle name="Milliers 3 3 2 3 2 4" xfId="1736"/>
    <cellStyle name="Milliers 3 3 2 3 2 4 2" xfId="3896"/>
    <cellStyle name="Milliers 3 3 2 3 2 4 2 2" xfId="8216"/>
    <cellStyle name="Milliers 3 3 2 3 2 4 3" xfId="6056"/>
    <cellStyle name="Milliers 3 3 2 3 2 5" xfId="2456"/>
    <cellStyle name="Milliers 3 3 2 3 2 5 2" xfId="6776"/>
    <cellStyle name="Milliers 3 3 2 3 2 6" xfId="4616"/>
    <cellStyle name="Milliers 3 3 2 3 3" xfId="476"/>
    <cellStyle name="Milliers 3 3 2 3 3 2" xfId="1196"/>
    <cellStyle name="Milliers 3 3 2 3 3 2 2" xfId="3356"/>
    <cellStyle name="Milliers 3 3 2 3 3 2 2 2" xfId="7676"/>
    <cellStyle name="Milliers 3 3 2 3 3 2 3" xfId="5516"/>
    <cellStyle name="Milliers 3 3 2 3 3 3" xfId="1916"/>
    <cellStyle name="Milliers 3 3 2 3 3 3 2" xfId="4076"/>
    <cellStyle name="Milliers 3 3 2 3 3 3 2 2" xfId="8396"/>
    <cellStyle name="Milliers 3 3 2 3 3 3 3" xfId="6236"/>
    <cellStyle name="Milliers 3 3 2 3 3 4" xfId="2636"/>
    <cellStyle name="Milliers 3 3 2 3 3 4 2" xfId="6956"/>
    <cellStyle name="Milliers 3 3 2 3 3 5" xfId="4796"/>
    <cellStyle name="Milliers 3 3 2 3 4" xfId="836"/>
    <cellStyle name="Milliers 3 3 2 3 4 2" xfId="2996"/>
    <cellStyle name="Milliers 3 3 2 3 4 2 2" xfId="7316"/>
    <cellStyle name="Milliers 3 3 2 3 4 3" xfId="5156"/>
    <cellStyle name="Milliers 3 3 2 3 5" xfId="1556"/>
    <cellStyle name="Milliers 3 3 2 3 5 2" xfId="3716"/>
    <cellStyle name="Milliers 3 3 2 3 5 2 2" xfId="8036"/>
    <cellStyle name="Milliers 3 3 2 3 5 3" xfId="5876"/>
    <cellStyle name="Milliers 3 3 2 3 6" xfId="2276"/>
    <cellStyle name="Milliers 3 3 2 3 6 2" xfId="6596"/>
    <cellStyle name="Milliers 3 3 2 3 7" xfId="4436"/>
    <cellStyle name="Milliers 3 3 2 4" xfId="206"/>
    <cellStyle name="Milliers 3 3 2 4 2" xfId="566"/>
    <cellStyle name="Milliers 3 3 2 4 2 2" xfId="1286"/>
    <cellStyle name="Milliers 3 3 2 4 2 2 2" xfId="3446"/>
    <cellStyle name="Milliers 3 3 2 4 2 2 2 2" xfId="7766"/>
    <cellStyle name="Milliers 3 3 2 4 2 2 3" xfId="5606"/>
    <cellStyle name="Milliers 3 3 2 4 2 3" xfId="2006"/>
    <cellStyle name="Milliers 3 3 2 4 2 3 2" xfId="4166"/>
    <cellStyle name="Milliers 3 3 2 4 2 3 2 2" xfId="8486"/>
    <cellStyle name="Milliers 3 3 2 4 2 3 3" xfId="6326"/>
    <cellStyle name="Milliers 3 3 2 4 2 4" xfId="2726"/>
    <cellStyle name="Milliers 3 3 2 4 2 4 2" xfId="7046"/>
    <cellStyle name="Milliers 3 3 2 4 2 5" xfId="4886"/>
    <cellStyle name="Milliers 3 3 2 4 3" xfId="926"/>
    <cellStyle name="Milliers 3 3 2 4 3 2" xfId="3086"/>
    <cellStyle name="Milliers 3 3 2 4 3 2 2" xfId="7406"/>
    <cellStyle name="Milliers 3 3 2 4 3 3" xfId="5246"/>
    <cellStyle name="Milliers 3 3 2 4 4" xfId="1646"/>
    <cellStyle name="Milliers 3 3 2 4 4 2" xfId="3806"/>
    <cellStyle name="Milliers 3 3 2 4 4 2 2" xfId="8126"/>
    <cellStyle name="Milliers 3 3 2 4 4 3" xfId="5966"/>
    <cellStyle name="Milliers 3 3 2 4 5" xfId="2366"/>
    <cellStyle name="Milliers 3 3 2 4 5 2" xfId="6686"/>
    <cellStyle name="Milliers 3 3 2 4 6" xfId="4526"/>
    <cellStyle name="Milliers 3 3 2 5" xfId="386"/>
    <cellStyle name="Milliers 3 3 2 5 2" xfId="1106"/>
    <cellStyle name="Milliers 3 3 2 5 2 2" xfId="3266"/>
    <cellStyle name="Milliers 3 3 2 5 2 2 2" xfId="7586"/>
    <cellStyle name="Milliers 3 3 2 5 2 3" xfId="5426"/>
    <cellStyle name="Milliers 3 3 2 5 3" xfId="1826"/>
    <cellStyle name="Milliers 3 3 2 5 3 2" xfId="3986"/>
    <cellStyle name="Milliers 3 3 2 5 3 2 2" xfId="8306"/>
    <cellStyle name="Milliers 3 3 2 5 3 3" xfId="6146"/>
    <cellStyle name="Milliers 3 3 2 5 4" xfId="2546"/>
    <cellStyle name="Milliers 3 3 2 5 4 2" xfId="6866"/>
    <cellStyle name="Milliers 3 3 2 5 5" xfId="4706"/>
    <cellStyle name="Milliers 3 3 2 6" xfId="746"/>
    <cellStyle name="Milliers 3 3 2 6 2" xfId="2906"/>
    <cellStyle name="Milliers 3 3 2 6 2 2" xfId="7226"/>
    <cellStyle name="Milliers 3 3 2 6 3" xfId="5066"/>
    <cellStyle name="Milliers 3 3 2 7" xfId="1466"/>
    <cellStyle name="Milliers 3 3 2 7 2" xfId="3626"/>
    <cellStyle name="Milliers 3 3 2 7 2 2" xfId="7946"/>
    <cellStyle name="Milliers 3 3 2 7 3" xfId="5786"/>
    <cellStyle name="Milliers 3 3 2 8" xfId="2186"/>
    <cellStyle name="Milliers 3 3 2 8 2" xfId="6506"/>
    <cellStyle name="Milliers 3 3 2 9" xfId="4346"/>
    <cellStyle name="Milliers 3 3 3" xfId="41"/>
    <cellStyle name="Milliers 3 3 3 2" xfId="86"/>
    <cellStyle name="Milliers 3 3 3 2 2" xfId="176"/>
    <cellStyle name="Milliers 3 3 3 2 2 2" xfId="356"/>
    <cellStyle name="Milliers 3 3 3 2 2 2 2" xfId="716"/>
    <cellStyle name="Milliers 3 3 3 2 2 2 2 2" xfId="1436"/>
    <cellStyle name="Milliers 3 3 3 2 2 2 2 2 2" xfId="3596"/>
    <cellStyle name="Milliers 3 3 3 2 2 2 2 2 2 2" xfId="7916"/>
    <cellStyle name="Milliers 3 3 3 2 2 2 2 2 3" xfId="5756"/>
    <cellStyle name="Milliers 3 3 3 2 2 2 2 3" xfId="2156"/>
    <cellStyle name="Milliers 3 3 3 2 2 2 2 3 2" xfId="4316"/>
    <cellStyle name="Milliers 3 3 3 2 2 2 2 3 2 2" xfId="8636"/>
    <cellStyle name="Milliers 3 3 3 2 2 2 2 3 3" xfId="6476"/>
    <cellStyle name="Milliers 3 3 3 2 2 2 2 4" xfId="2876"/>
    <cellStyle name="Milliers 3 3 3 2 2 2 2 4 2" xfId="7196"/>
    <cellStyle name="Milliers 3 3 3 2 2 2 2 5" xfId="5036"/>
    <cellStyle name="Milliers 3 3 3 2 2 2 3" xfId="1076"/>
    <cellStyle name="Milliers 3 3 3 2 2 2 3 2" xfId="3236"/>
    <cellStyle name="Milliers 3 3 3 2 2 2 3 2 2" xfId="7556"/>
    <cellStyle name="Milliers 3 3 3 2 2 2 3 3" xfId="5396"/>
    <cellStyle name="Milliers 3 3 3 2 2 2 4" xfId="1796"/>
    <cellStyle name="Milliers 3 3 3 2 2 2 4 2" xfId="3956"/>
    <cellStyle name="Milliers 3 3 3 2 2 2 4 2 2" xfId="8276"/>
    <cellStyle name="Milliers 3 3 3 2 2 2 4 3" xfId="6116"/>
    <cellStyle name="Milliers 3 3 3 2 2 2 5" xfId="2516"/>
    <cellStyle name="Milliers 3 3 3 2 2 2 5 2" xfId="6836"/>
    <cellStyle name="Milliers 3 3 3 2 2 2 6" xfId="4676"/>
    <cellStyle name="Milliers 3 3 3 2 2 3" xfId="536"/>
    <cellStyle name="Milliers 3 3 3 2 2 3 2" xfId="1256"/>
    <cellStyle name="Milliers 3 3 3 2 2 3 2 2" xfId="3416"/>
    <cellStyle name="Milliers 3 3 3 2 2 3 2 2 2" xfId="7736"/>
    <cellStyle name="Milliers 3 3 3 2 2 3 2 3" xfId="5576"/>
    <cellStyle name="Milliers 3 3 3 2 2 3 3" xfId="1976"/>
    <cellStyle name="Milliers 3 3 3 2 2 3 3 2" xfId="4136"/>
    <cellStyle name="Milliers 3 3 3 2 2 3 3 2 2" xfId="8456"/>
    <cellStyle name="Milliers 3 3 3 2 2 3 3 3" xfId="6296"/>
    <cellStyle name="Milliers 3 3 3 2 2 3 4" xfId="2696"/>
    <cellStyle name="Milliers 3 3 3 2 2 3 4 2" xfId="7016"/>
    <cellStyle name="Milliers 3 3 3 2 2 3 5" xfId="4856"/>
    <cellStyle name="Milliers 3 3 3 2 2 4" xfId="896"/>
    <cellStyle name="Milliers 3 3 3 2 2 4 2" xfId="3056"/>
    <cellStyle name="Milliers 3 3 3 2 2 4 2 2" xfId="7376"/>
    <cellStyle name="Milliers 3 3 3 2 2 4 3" xfId="5216"/>
    <cellStyle name="Milliers 3 3 3 2 2 5" xfId="1616"/>
    <cellStyle name="Milliers 3 3 3 2 2 5 2" xfId="3776"/>
    <cellStyle name="Milliers 3 3 3 2 2 5 2 2" xfId="8096"/>
    <cellStyle name="Milliers 3 3 3 2 2 5 3" xfId="5936"/>
    <cellStyle name="Milliers 3 3 3 2 2 6" xfId="2336"/>
    <cellStyle name="Milliers 3 3 3 2 2 6 2" xfId="6656"/>
    <cellStyle name="Milliers 3 3 3 2 2 7" xfId="4496"/>
    <cellStyle name="Milliers 3 3 3 2 3" xfId="266"/>
    <cellStyle name="Milliers 3 3 3 2 3 2" xfId="626"/>
    <cellStyle name="Milliers 3 3 3 2 3 2 2" xfId="1346"/>
    <cellStyle name="Milliers 3 3 3 2 3 2 2 2" xfId="3506"/>
    <cellStyle name="Milliers 3 3 3 2 3 2 2 2 2" xfId="7826"/>
    <cellStyle name="Milliers 3 3 3 2 3 2 2 3" xfId="5666"/>
    <cellStyle name="Milliers 3 3 3 2 3 2 3" xfId="2066"/>
    <cellStyle name="Milliers 3 3 3 2 3 2 3 2" xfId="4226"/>
    <cellStyle name="Milliers 3 3 3 2 3 2 3 2 2" xfId="8546"/>
    <cellStyle name="Milliers 3 3 3 2 3 2 3 3" xfId="6386"/>
    <cellStyle name="Milliers 3 3 3 2 3 2 4" xfId="2786"/>
    <cellStyle name="Milliers 3 3 3 2 3 2 4 2" xfId="7106"/>
    <cellStyle name="Milliers 3 3 3 2 3 2 5" xfId="4946"/>
    <cellStyle name="Milliers 3 3 3 2 3 3" xfId="986"/>
    <cellStyle name="Milliers 3 3 3 2 3 3 2" xfId="3146"/>
    <cellStyle name="Milliers 3 3 3 2 3 3 2 2" xfId="7466"/>
    <cellStyle name="Milliers 3 3 3 2 3 3 3" xfId="5306"/>
    <cellStyle name="Milliers 3 3 3 2 3 4" xfId="1706"/>
    <cellStyle name="Milliers 3 3 3 2 3 4 2" xfId="3866"/>
    <cellStyle name="Milliers 3 3 3 2 3 4 2 2" xfId="8186"/>
    <cellStyle name="Milliers 3 3 3 2 3 4 3" xfId="6026"/>
    <cellStyle name="Milliers 3 3 3 2 3 5" xfId="2426"/>
    <cellStyle name="Milliers 3 3 3 2 3 5 2" xfId="6746"/>
    <cellStyle name="Milliers 3 3 3 2 3 6" xfId="4586"/>
    <cellStyle name="Milliers 3 3 3 2 4" xfId="446"/>
    <cellStyle name="Milliers 3 3 3 2 4 2" xfId="1166"/>
    <cellStyle name="Milliers 3 3 3 2 4 2 2" xfId="3326"/>
    <cellStyle name="Milliers 3 3 3 2 4 2 2 2" xfId="7646"/>
    <cellStyle name="Milliers 3 3 3 2 4 2 3" xfId="5486"/>
    <cellStyle name="Milliers 3 3 3 2 4 3" xfId="1886"/>
    <cellStyle name="Milliers 3 3 3 2 4 3 2" xfId="4046"/>
    <cellStyle name="Milliers 3 3 3 2 4 3 2 2" xfId="8366"/>
    <cellStyle name="Milliers 3 3 3 2 4 3 3" xfId="6206"/>
    <cellStyle name="Milliers 3 3 3 2 4 4" xfId="2606"/>
    <cellStyle name="Milliers 3 3 3 2 4 4 2" xfId="6926"/>
    <cellStyle name="Milliers 3 3 3 2 4 5" xfId="4766"/>
    <cellStyle name="Milliers 3 3 3 2 5" xfId="806"/>
    <cellStyle name="Milliers 3 3 3 2 5 2" xfId="2966"/>
    <cellStyle name="Milliers 3 3 3 2 5 2 2" xfId="7286"/>
    <cellStyle name="Milliers 3 3 3 2 5 3" xfId="5126"/>
    <cellStyle name="Milliers 3 3 3 2 6" xfId="1526"/>
    <cellStyle name="Milliers 3 3 3 2 6 2" xfId="3686"/>
    <cellStyle name="Milliers 3 3 3 2 6 2 2" xfId="8006"/>
    <cellStyle name="Milliers 3 3 3 2 6 3" xfId="5846"/>
    <cellStyle name="Milliers 3 3 3 2 7" xfId="2246"/>
    <cellStyle name="Milliers 3 3 3 2 7 2" xfId="6566"/>
    <cellStyle name="Milliers 3 3 3 2 8" xfId="4406"/>
    <cellStyle name="Milliers 3 3 3 3" xfId="131"/>
    <cellStyle name="Milliers 3 3 3 3 2" xfId="311"/>
    <cellStyle name="Milliers 3 3 3 3 2 2" xfId="671"/>
    <cellStyle name="Milliers 3 3 3 3 2 2 2" xfId="1391"/>
    <cellStyle name="Milliers 3 3 3 3 2 2 2 2" xfId="3551"/>
    <cellStyle name="Milliers 3 3 3 3 2 2 2 2 2" xfId="7871"/>
    <cellStyle name="Milliers 3 3 3 3 2 2 2 3" xfId="5711"/>
    <cellStyle name="Milliers 3 3 3 3 2 2 3" xfId="2111"/>
    <cellStyle name="Milliers 3 3 3 3 2 2 3 2" xfId="4271"/>
    <cellStyle name="Milliers 3 3 3 3 2 2 3 2 2" xfId="8591"/>
    <cellStyle name="Milliers 3 3 3 3 2 2 3 3" xfId="6431"/>
    <cellStyle name="Milliers 3 3 3 3 2 2 4" xfId="2831"/>
    <cellStyle name="Milliers 3 3 3 3 2 2 4 2" xfId="7151"/>
    <cellStyle name="Milliers 3 3 3 3 2 2 5" xfId="4991"/>
    <cellStyle name="Milliers 3 3 3 3 2 3" xfId="1031"/>
    <cellStyle name="Milliers 3 3 3 3 2 3 2" xfId="3191"/>
    <cellStyle name="Milliers 3 3 3 3 2 3 2 2" xfId="7511"/>
    <cellStyle name="Milliers 3 3 3 3 2 3 3" xfId="5351"/>
    <cellStyle name="Milliers 3 3 3 3 2 4" xfId="1751"/>
    <cellStyle name="Milliers 3 3 3 3 2 4 2" xfId="3911"/>
    <cellStyle name="Milliers 3 3 3 3 2 4 2 2" xfId="8231"/>
    <cellStyle name="Milliers 3 3 3 3 2 4 3" xfId="6071"/>
    <cellStyle name="Milliers 3 3 3 3 2 5" xfId="2471"/>
    <cellStyle name="Milliers 3 3 3 3 2 5 2" xfId="6791"/>
    <cellStyle name="Milliers 3 3 3 3 2 6" xfId="4631"/>
    <cellStyle name="Milliers 3 3 3 3 3" xfId="491"/>
    <cellStyle name="Milliers 3 3 3 3 3 2" xfId="1211"/>
    <cellStyle name="Milliers 3 3 3 3 3 2 2" xfId="3371"/>
    <cellStyle name="Milliers 3 3 3 3 3 2 2 2" xfId="7691"/>
    <cellStyle name="Milliers 3 3 3 3 3 2 3" xfId="5531"/>
    <cellStyle name="Milliers 3 3 3 3 3 3" xfId="1931"/>
    <cellStyle name="Milliers 3 3 3 3 3 3 2" xfId="4091"/>
    <cellStyle name="Milliers 3 3 3 3 3 3 2 2" xfId="8411"/>
    <cellStyle name="Milliers 3 3 3 3 3 3 3" xfId="6251"/>
    <cellStyle name="Milliers 3 3 3 3 3 4" xfId="2651"/>
    <cellStyle name="Milliers 3 3 3 3 3 4 2" xfId="6971"/>
    <cellStyle name="Milliers 3 3 3 3 3 5" xfId="4811"/>
    <cellStyle name="Milliers 3 3 3 3 4" xfId="851"/>
    <cellStyle name="Milliers 3 3 3 3 4 2" xfId="3011"/>
    <cellStyle name="Milliers 3 3 3 3 4 2 2" xfId="7331"/>
    <cellStyle name="Milliers 3 3 3 3 4 3" xfId="5171"/>
    <cellStyle name="Milliers 3 3 3 3 5" xfId="1571"/>
    <cellStyle name="Milliers 3 3 3 3 5 2" xfId="3731"/>
    <cellStyle name="Milliers 3 3 3 3 5 2 2" xfId="8051"/>
    <cellStyle name="Milliers 3 3 3 3 5 3" xfId="5891"/>
    <cellStyle name="Milliers 3 3 3 3 6" xfId="2291"/>
    <cellStyle name="Milliers 3 3 3 3 6 2" xfId="6611"/>
    <cellStyle name="Milliers 3 3 3 3 7" xfId="4451"/>
    <cellStyle name="Milliers 3 3 3 4" xfId="221"/>
    <cellStyle name="Milliers 3 3 3 4 2" xfId="581"/>
    <cellStyle name="Milliers 3 3 3 4 2 2" xfId="1301"/>
    <cellStyle name="Milliers 3 3 3 4 2 2 2" xfId="3461"/>
    <cellStyle name="Milliers 3 3 3 4 2 2 2 2" xfId="7781"/>
    <cellStyle name="Milliers 3 3 3 4 2 2 3" xfId="5621"/>
    <cellStyle name="Milliers 3 3 3 4 2 3" xfId="2021"/>
    <cellStyle name="Milliers 3 3 3 4 2 3 2" xfId="4181"/>
    <cellStyle name="Milliers 3 3 3 4 2 3 2 2" xfId="8501"/>
    <cellStyle name="Milliers 3 3 3 4 2 3 3" xfId="6341"/>
    <cellStyle name="Milliers 3 3 3 4 2 4" xfId="2741"/>
    <cellStyle name="Milliers 3 3 3 4 2 4 2" xfId="7061"/>
    <cellStyle name="Milliers 3 3 3 4 2 5" xfId="4901"/>
    <cellStyle name="Milliers 3 3 3 4 3" xfId="941"/>
    <cellStyle name="Milliers 3 3 3 4 3 2" xfId="3101"/>
    <cellStyle name="Milliers 3 3 3 4 3 2 2" xfId="7421"/>
    <cellStyle name="Milliers 3 3 3 4 3 3" xfId="5261"/>
    <cellStyle name="Milliers 3 3 3 4 4" xfId="1661"/>
    <cellStyle name="Milliers 3 3 3 4 4 2" xfId="3821"/>
    <cellStyle name="Milliers 3 3 3 4 4 2 2" xfId="8141"/>
    <cellStyle name="Milliers 3 3 3 4 4 3" xfId="5981"/>
    <cellStyle name="Milliers 3 3 3 4 5" xfId="2381"/>
    <cellStyle name="Milliers 3 3 3 4 5 2" xfId="6701"/>
    <cellStyle name="Milliers 3 3 3 4 6" xfId="4541"/>
    <cellStyle name="Milliers 3 3 3 5" xfId="401"/>
    <cellStyle name="Milliers 3 3 3 5 2" xfId="1121"/>
    <cellStyle name="Milliers 3 3 3 5 2 2" xfId="3281"/>
    <cellStyle name="Milliers 3 3 3 5 2 2 2" xfId="7601"/>
    <cellStyle name="Milliers 3 3 3 5 2 3" xfId="5441"/>
    <cellStyle name="Milliers 3 3 3 5 3" xfId="1841"/>
    <cellStyle name="Milliers 3 3 3 5 3 2" xfId="4001"/>
    <cellStyle name="Milliers 3 3 3 5 3 2 2" xfId="8321"/>
    <cellStyle name="Milliers 3 3 3 5 3 3" xfId="6161"/>
    <cellStyle name="Milliers 3 3 3 5 4" xfId="2561"/>
    <cellStyle name="Milliers 3 3 3 5 4 2" xfId="6881"/>
    <cellStyle name="Milliers 3 3 3 5 5" xfId="4721"/>
    <cellStyle name="Milliers 3 3 3 6" xfId="761"/>
    <cellStyle name="Milliers 3 3 3 6 2" xfId="2921"/>
    <cellStyle name="Milliers 3 3 3 6 2 2" xfId="7241"/>
    <cellStyle name="Milliers 3 3 3 6 3" xfId="5081"/>
    <cellStyle name="Milliers 3 3 3 7" xfId="1481"/>
    <cellStyle name="Milliers 3 3 3 7 2" xfId="3641"/>
    <cellStyle name="Milliers 3 3 3 7 2 2" xfId="7961"/>
    <cellStyle name="Milliers 3 3 3 7 3" xfId="5801"/>
    <cellStyle name="Milliers 3 3 3 8" xfId="2201"/>
    <cellStyle name="Milliers 3 3 3 8 2" xfId="6521"/>
    <cellStyle name="Milliers 3 3 3 9" xfId="4361"/>
    <cellStyle name="Milliers 3 3 4" xfId="56"/>
    <cellStyle name="Milliers 3 3 4 2" xfId="146"/>
    <cellStyle name="Milliers 3 3 4 2 2" xfId="326"/>
    <cellStyle name="Milliers 3 3 4 2 2 2" xfId="686"/>
    <cellStyle name="Milliers 3 3 4 2 2 2 2" xfId="1406"/>
    <cellStyle name="Milliers 3 3 4 2 2 2 2 2" xfId="3566"/>
    <cellStyle name="Milliers 3 3 4 2 2 2 2 2 2" xfId="7886"/>
    <cellStyle name="Milliers 3 3 4 2 2 2 2 3" xfId="5726"/>
    <cellStyle name="Milliers 3 3 4 2 2 2 3" xfId="2126"/>
    <cellStyle name="Milliers 3 3 4 2 2 2 3 2" xfId="4286"/>
    <cellStyle name="Milliers 3 3 4 2 2 2 3 2 2" xfId="8606"/>
    <cellStyle name="Milliers 3 3 4 2 2 2 3 3" xfId="6446"/>
    <cellStyle name="Milliers 3 3 4 2 2 2 4" xfId="2846"/>
    <cellStyle name="Milliers 3 3 4 2 2 2 4 2" xfId="7166"/>
    <cellStyle name="Milliers 3 3 4 2 2 2 5" xfId="5006"/>
    <cellStyle name="Milliers 3 3 4 2 2 3" xfId="1046"/>
    <cellStyle name="Milliers 3 3 4 2 2 3 2" xfId="3206"/>
    <cellStyle name="Milliers 3 3 4 2 2 3 2 2" xfId="7526"/>
    <cellStyle name="Milliers 3 3 4 2 2 3 3" xfId="5366"/>
    <cellStyle name="Milliers 3 3 4 2 2 4" xfId="1766"/>
    <cellStyle name="Milliers 3 3 4 2 2 4 2" xfId="3926"/>
    <cellStyle name="Milliers 3 3 4 2 2 4 2 2" xfId="8246"/>
    <cellStyle name="Milliers 3 3 4 2 2 4 3" xfId="6086"/>
    <cellStyle name="Milliers 3 3 4 2 2 5" xfId="2486"/>
    <cellStyle name="Milliers 3 3 4 2 2 5 2" xfId="6806"/>
    <cellStyle name="Milliers 3 3 4 2 2 6" xfId="4646"/>
    <cellStyle name="Milliers 3 3 4 2 3" xfId="506"/>
    <cellStyle name="Milliers 3 3 4 2 3 2" xfId="1226"/>
    <cellStyle name="Milliers 3 3 4 2 3 2 2" xfId="3386"/>
    <cellStyle name="Milliers 3 3 4 2 3 2 2 2" xfId="7706"/>
    <cellStyle name="Milliers 3 3 4 2 3 2 3" xfId="5546"/>
    <cellStyle name="Milliers 3 3 4 2 3 3" xfId="1946"/>
    <cellStyle name="Milliers 3 3 4 2 3 3 2" xfId="4106"/>
    <cellStyle name="Milliers 3 3 4 2 3 3 2 2" xfId="8426"/>
    <cellStyle name="Milliers 3 3 4 2 3 3 3" xfId="6266"/>
    <cellStyle name="Milliers 3 3 4 2 3 4" xfId="2666"/>
    <cellStyle name="Milliers 3 3 4 2 3 4 2" xfId="6986"/>
    <cellStyle name="Milliers 3 3 4 2 3 5" xfId="4826"/>
    <cellStyle name="Milliers 3 3 4 2 4" xfId="866"/>
    <cellStyle name="Milliers 3 3 4 2 4 2" xfId="3026"/>
    <cellStyle name="Milliers 3 3 4 2 4 2 2" xfId="7346"/>
    <cellStyle name="Milliers 3 3 4 2 4 3" xfId="5186"/>
    <cellStyle name="Milliers 3 3 4 2 5" xfId="1586"/>
    <cellStyle name="Milliers 3 3 4 2 5 2" xfId="3746"/>
    <cellStyle name="Milliers 3 3 4 2 5 2 2" xfId="8066"/>
    <cellStyle name="Milliers 3 3 4 2 5 3" xfId="5906"/>
    <cellStyle name="Milliers 3 3 4 2 6" xfId="2306"/>
    <cellStyle name="Milliers 3 3 4 2 6 2" xfId="6626"/>
    <cellStyle name="Milliers 3 3 4 2 7" xfId="4466"/>
    <cellStyle name="Milliers 3 3 4 3" xfId="236"/>
    <cellStyle name="Milliers 3 3 4 3 2" xfId="596"/>
    <cellStyle name="Milliers 3 3 4 3 2 2" xfId="1316"/>
    <cellStyle name="Milliers 3 3 4 3 2 2 2" xfId="3476"/>
    <cellStyle name="Milliers 3 3 4 3 2 2 2 2" xfId="7796"/>
    <cellStyle name="Milliers 3 3 4 3 2 2 3" xfId="5636"/>
    <cellStyle name="Milliers 3 3 4 3 2 3" xfId="2036"/>
    <cellStyle name="Milliers 3 3 4 3 2 3 2" xfId="4196"/>
    <cellStyle name="Milliers 3 3 4 3 2 3 2 2" xfId="8516"/>
    <cellStyle name="Milliers 3 3 4 3 2 3 3" xfId="6356"/>
    <cellStyle name="Milliers 3 3 4 3 2 4" xfId="2756"/>
    <cellStyle name="Milliers 3 3 4 3 2 4 2" xfId="7076"/>
    <cellStyle name="Milliers 3 3 4 3 2 5" xfId="4916"/>
    <cellStyle name="Milliers 3 3 4 3 3" xfId="956"/>
    <cellStyle name="Milliers 3 3 4 3 3 2" xfId="3116"/>
    <cellStyle name="Milliers 3 3 4 3 3 2 2" xfId="7436"/>
    <cellStyle name="Milliers 3 3 4 3 3 3" xfId="5276"/>
    <cellStyle name="Milliers 3 3 4 3 4" xfId="1676"/>
    <cellStyle name="Milliers 3 3 4 3 4 2" xfId="3836"/>
    <cellStyle name="Milliers 3 3 4 3 4 2 2" xfId="8156"/>
    <cellStyle name="Milliers 3 3 4 3 4 3" xfId="5996"/>
    <cellStyle name="Milliers 3 3 4 3 5" xfId="2396"/>
    <cellStyle name="Milliers 3 3 4 3 5 2" xfId="6716"/>
    <cellStyle name="Milliers 3 3 4 3 6" xfId="4556"/>
    <cellStyle name="Milliers 3 3 4 4" xfId="416"/>
    <cellStyle name="Milliers 3 3 4 4 2" xfId="1136"/>
    <cellStyle name="Milliers 3 3 4 4 2 2" xfId="3296"/>
    <cellStyle name="Milliers 3 3 4 4 2 2 2" xfId="7616"/>
    <cellStyle name="Milliers 3 3 4 4 2 3" xfId="5456"/>
    <cellStyle name="Milliers 3 3 4 4 3" xfId="1856"/>
    <cellStyle name="Milliers 3 3 4 4 3 2" xfId="4016"/>
    <cellStyle name="Milliers 3 3 4 4 3 2 2" xfId="8336"/>
    <cellStyle name="Milliers 3 3 4 4 3 3" xfId="6176"/>
    <cellStyle name="Milliers 3 3 4 4 4" xfId="2576"/>
    <cellStyle name="Milliers 3 3 4 4 4 2" xfId="6896"/>
    <cellStyle name="Milliers 3 3 4 4 5" xfId="4736"/>
    <cellStyle name="Milliers 3 3 4 5" xfId="776"/>
    <cellStyle name="Milliers 3 3 4 5 2" xfId="2936"/>
    <cellStyle name="Milliers 3 3 4 5 2 2" xfId="7256"/>
    <cellStyle name="Milliers 3 3 4 5 3" xfId="5096"/>
    <cellStyle name="Milliers 3 3 4 6" xfId="1496"/>
    <cellStyle name="Milliers 3 3 4 6 2" xfId="3656"/>
    <cellStyle name="Milliers 3 3 4 6 2 2" xfId="7976"/>
    <cellStyle name="Milliers 3 3 4 6 3" xfId="5816"/>
    <cellStyle name="Milliers 3 3 4 7" xfId="2216"/>
    <cellStyle name="Milliers 3 3 4 7 2" xfId="6536"/>
    <cellStyle name="Milliers 3 3 4 8" xfId="4376"/>
    <cellStyle name="Milliers 3 3 5" xfId="101"/>
    <cellStyle name="Milliers 3 3 5 2" xfId="281"/>
    <cellStyle name="Milliers 3 3 5 2 2" xfId="641"/>
    <cellStyle name="Milliers 3 3 5 2 2 2" xfId="1361"/>
    <cellStyle name="Milliers 3 3 5 2 2 2 2" xfId="3521"/>
    <cellStyle name="Milliers 3 3 5 2 2 2 2 2" xfId="7841"/>
    <cellStyle name="Milliers 3 3 5 2 2 2 3" xfId="5681"/>
    <cellStyle name="Milliers 3 3 5 2 2 3" xfId="2081"/>
    <cellStyle name="Milliers 3 3 5 2 2 3 2" xfId="4241"/>
    <cellStyle name="Milliers 3 3 5 2 2 3 2 2" xfId="8561"/>
    <cellStyle name="Milliers 3 3 5 2 2 3 3" xfId="6401"/>
    <cellStyle name="Milliers 3 3 5 2 2 4" xfId="2801"/>
    <cellStyle name="Milliers 3 3 5 2 2 4 2" xfId="7121"/>
    <cellStyle name="Milliers 3 3 5 2 2 5" xfId="4961"/>
    <cellStyle name="Milliers 3 3 5 2 3" xfId="1001"/>
    <cellStyle name="Milliers 3 3 5 2 3 2" xfId="3161"/>
    <cellStyle name="Milliers 3 3 5 2 3 2 2" xfId="7481"/>
    <cellStyle name="Milliers 3 3 5 2 3 3" xfId="5321"/>
    <cellStyle name="Milliers 3 3 5 2 4" xfId="1721"/>
    <cellStyle name="Milliers 3 3 5 2 4 2" xfId="3881"/>
    <cellStyle name="Milliers 3 3 5 2 4 2 2" xfId="8201"/>
    <cellStyle name="Milliers 3 3 5 2 4 3" xfId="6041"/>
    <cellStyle name="Milliers 3 3 5 2 5" xfId="2441"/>
    <cellStyle name="Milliers 3 3 5 2 5 2" xfId="6761"/>
    <cellStyle name="Milliers 3 3 5 2 6" xfId="4601"/>
    <cellStyle name="Milliers 3 3 5 3" xfId="461"/>
    <cellStyle name="Milliers 3 3 5 3 2" xfId="1181"/>
    <cellStyle name="Milliers 3 3 5 3 2 2" xfId="3341"/>
    <cellStyle name="Milliers 3 3 5 3 2 2 2" xfId="7661"/>
    <cellStyle name="Milliers 3 3 5 3 2 3" xfId="5501"/>
    <cellStyle name="Milliers 3 3 5 3 3" xfId="1901"/>
    <cellStyle name="Milliers 3 3 5 3 3 2" xfId="4061"/>
    <cellStyle name="Milliers 3 3 5 3 3 2 2" xfId="8381"/>
    <cellStyle name="Milliers 3 3 5 3 3 3" xfId="6221"/>
    <cellStyle name="Milliers 3 3 5 3 4" xfId="2621"/>
    <cellStyle name="Milliers 3 3 5 3 4 2" xfId="6941"/>
    <cellStyle name="Milliers 3 3 5 3 5" xfId="4781"/>
    <cellStyle name="Milliers 3 3 5 4" xfId="821"/>
    <cellStyle name="Milliers 3 3 5 4 2" xfId="2981"/>
    <cellStyle name="Milliers 3 3 5 4 2 2" xfId="7301"/>
    <cellStyle name="Milliers 3 3 5 4 3" xfId="5141"/>
    <cellStyle name="Milliers 3 3 5 5" xfId="1541"/>
    <cellStyle name="Milliers 3 3 5 5 2" xfId="3701"/>
    <cellStyle name="Milliers 3 3 5 5 2 2" xfId="8021"/>
    <cellStyle name="Milliers 3 3 5 5 3" xfId="5861"/>
    <cellStyle name="Milliers 3 3 5 6" xfId="2261"/>
    <cellStyle name="Milliers 3 3 5 6 2" xfId="6581"/>
    <cellStyle name="Milliers 3 3 5 7" xfId="4421"/>
    <cellStyle name="Milliers 3 3 6" xfId="191"/>
    <cellStyle name="Milliers 3 3 6 2" xfId="551"/>
    <cellStyle name="Milliers 3 3 6 2 2" xfId="1271"/>
    <cellStyle name="Milliers 3 3 6 2 2 2" xfId="3431"/>
    <cellStyle name="Milliers 3 3 6 2 2 2 2" xfId="7751"/>
    <cellStyle name="Milliers 3 3 6 2 2 3" xfId="5591"/>
    <cellStyle name="Milliers 3 3 6 2 3" xfId="1991"/>
    <cellStyle name="Milliers 3 3 6 2 3 2" xfId="4151"/>
    <cellStyle name="Milliers 3 3 6 2 3 2 2" xfId="8471"/>
    <cellStyle name="Milliers 3 3 6 2 3 3" xfId="6311"/>
    <cellStyle name="Milliers 3 3 6 2 4" xfId="2711"/>
    <cellStyle name="Milliers 3 3 6 2 4 2" xfId="7031"/>
    <cellStyle name="Milliers 3 3 6 2 5" xfId="4871"/>
    <cellStyle name="Milliers 3 3 6 3" xfId="911"/>
    <cellStyle name="Milliers 3 3 6 3 2" xfId="3071"/>
    <cellStyle name="Milliers 3 3 6 3 2 2" xfId="7391"/>
    <cellStyle name="Milliers 3 3 6 3 3" xfId="5231"/>
    <cellStyle name="Milliers 3 3 6 4" xfId="1631"/>
    <cellStyle name="Milliers 3 3 6 4 2" xfId="3791"/>
    <cellStyle name="Milliers 3 3 6 4 2 2" xfId="8111"/>
    <cellStyle name="Milliers 3 3 6 4 3" xfId="5951"/>
    <cellStyle name="Milliers 3 3 6 5" xfId="2351"/>
    <cellStyle name="Milliers 3 3 6 5 2" xfId="6671"/>
    <cellStyle name="Milliers 3 3 6 6" xfId="4511"/>
    <cellStyle name="Milliers 3 3 7" xfId="371"/>
    <cellStyle name="Milliers 3 3 7 2" xfId="1091"/>
    <cellStyle name="Milliers 3 3 7 2 2" xfId="3251"/>
    <cellStyle name="Milliers 3 3 7 2 2 2" xfId="7571"/>
    <cellStyle name="Milliers 3 3 7 2 3" xfId="5411"/>
    <cellStyle name="Milliers 3 3 7 3" xfId="1811"/>
    <cellStyle name="Milliers 3 3 7 3 2" xfId="3971"/>
    <cellStyle name="Milliers 3 3 7 3 2 2" xfId="8291"/>
    <cellStyle name="Milliers 3 3 7 3 3" xfId="6131"/>
    <cellStyle name="Milliers 3 3 7 4" xfId="2531"/>
    <cellStyle name="Milliers 3 3 7 4 2" xfId="6851"/>
    <cellStyle name="Milliers 3 3 7 5" xfId="4691"/>
    <cellStyle name="Milliers 3 3 8" xfId="731"/>
    <cellStyle name="Milliers 3 3 8 2" xfId="2891"/>
    <cellStyle name="Milliers 3 3 8 2 2" xfId="7211"/>
    <cellStyle name="Milliers 3 3 8 3" xfId="5051"/>
    <cellStyle name="Milliers 3 3 9" xfId="1451"/>
    <cellStyle name="Milliers 3 3 9 2" xfId="3611"/>
    <cellStyle name="Milliers 3 3 9 2 2" xfId="7931"/>
    <cellStyle name="Milliers 3 3 9 3" xfId="5771"/>
    <cellStyle name="Milliers 3 4" xfId="17"/>
    <cellStyle name="Milliers 3 4 10" xfId="2177"/>
    <cellStyle name="Milliers 3 4 10 2" xfId="6497"/>
    <cellStyle name="Milliers 3 4 11" xfId="4337"/>
    <cellStyle name="Milliers 3 4 2" xfId="32"/>
    <cellStyle name="Milliers 3 4 2 2" xfId="77"/>
    <cellStyle name="Milliers 3 4 2 2 2" xfId="167"/>
    <cellStyle name="Milliers 3 4 2 2 2 2" xfId="347"/>
    <cellStyle name="Milliers 3 4 2 2 2 2 2" xfId="707"/>
    <cellStyle name="Milliers 3 4 2 2 2 2 2 2" xfId="1427"/>
    <cellStyle name="Milliers 3 4 2 2 2 2 2 2 2" xfId="3587"/>
    <cellStyle name="Milliers 3 4 2 2 2 2 2 2 2 2" xfId="7907"/>
    <cellStyle name="Milliers 3 4 2 2 2 2 2 2 3" xfId="5747"/>
    <cellStyle name="Milliers 3 4 2 2 2 2 2 3" xfId="2147"/>
    <cellStyle name="Milliers 3 4 2 2 2 2 2 3 2" xfId="4307"/>
    <cellStyle name="Milliers 3 4 2 2 2 2 2 3 2 2" xfId="8627"/>
    <cellStyle name="Milliers 3 4 2 2 2 2 2 3 3" xfId="6467"/>
    <cellStyle name="Milliers 3 4 2 2 2 2 2 4" xfId="2867"/>
    <cellStyle name="Milliers 3 4 2 2 2 2 2 4 2" xfId="7187"/>
    <cellStyle name="Milliers 3 4 2 2 2 2 2 5" xfId="5027"/>
    <cellStyle name="Milliers 3 4 2 2 2 2 3" xfId="1067"/>
    <cellStyle name="Milliers 3 4 2 2 2 2 3 2" xfId="3227"/>
    <cellStyle name="Milliers 3 4 2 2 2 2 3 2 2" xfId="7547"/>
    <cellStyle name="Milliers 3 4 2 2 2 2 3 3" xfId="5387"/>
    <cellStyle name="Milliers 3 4 2 2 2 2 4" xfId="1787"/>
    <cellStyle name="Milliers 3 4 2 2 2 2 4 2" xfId="3947"/>
    <cellStyle name="Milliers 3 4 2 2 2 2 4 2 2" xfId="8267"/>
    <cellStyle name="Milliers 3 4 2 2 2 2 4 3" xfId="6107"/>
    <cellStyle name="Milliers 3 4 2 2 2 2 5" xfId="2507"/>
    <cellStyle name="Milliers 3 4 2 2 2 2 5 2" xfId="6827"/>
    <cellStyle name="Milliers 3 4 2 2 2 2 6" xfId="4667"/>
    <cellStyle name="Milliers 3 4 2 2 2 3" xfId="527"/>
    <cellStyle name="Milliers 3 4 2 2 2 3 2" xfId="1247"/>
    <cellStyle name="Milliers 3 4 2 2 2 3 2 2" xfId="3407"/>
    <cellStyle name="Milliers 3 4 2 2 2 3 2 2 2" xfId="7727"/>
    <cellStyle name="Milliers 3 4 2 2 2 3 2 3" xfId="5567"/>
    <cellStyle name="Milliers 3 4 2 2 2 3 3" xfId="1967"/>
    <cellStyle name="Milliers 3 4 2 2 2 3 3 2" xfId="4127"/>
    <cellStyle name="Milliers 3 4 2 2 2 3 3 2 2" xfId="8447"/>
    <cellStyle name="Milliers 3 4 2 2 2 3 3 3" xfId="6287"/>
    <cellStyle name="Milliers 3 4 2 2 2 3 4" xfId="2687"/>
    <cellStyle name="Milliers 3 4 2 2 2 3 4 2" xfId="7007"/>
    <cellStyle name="Milliers 3 4 2 2 2 3 5" xfId="4847"/>
    <cellStyle name="Milliers 3 4 2 2 2 4" xfId="887"/>
    <cellStyle name="Milliers 3 4 2 2 2 4 2" xfId="3047"/>
    <cellStyle name="Milliers 3 4 2 2 2 4 2 2" xfId="7367"/>
    <cellStyle name="Milliers 3 4 2 2 2 4 3" xfId="5207"/>
    <cellStyle name="Milliers 3 4 2 2 2 5" xfId="1607"/>
    <cellStyle name="Milliers 3 4 2 2 2 5 2" xfId="3767"/>
    <cellStyle name="Milliers 3 4 2 2 2 5 2 2" xfId="8087"/>
    <cellStyle name="Milliers 3 4 2 2 2 5 3" xfId="5927"/>
    <cellStyle name="Milliers 3 4 2 2 2 6" xfId="2327"/>
    <cellStyle name="Milliers 3 4 2 2 2 6 2" xfId="6647"/>
    <cellStyle name="Milliers 3 4 2 2 2 7" xfId="4487"/>
    <cellStyle name="Milliers 3 4 2 2 3" xfId="257"/>
    <cellStyle name="Milliers 3 4 2 2 3 2" xfId="617"/>
    <cellStyle name="Milliers 3 4 2 2 3 2 2" xfId="1337"/>
    <cellStyle name="Milliers 3 4 2 2 3 2 2 2" xfId="3497"/>
    <cellStyle name="Milliers 3 4 2 2 3 2 2 2 2" xfId="7817"/>
    <cellStyle name="Milliers 3 4 2 2 3 2 2 3" xfId="5657"/>
    <cellStyle name="Milliers 3 4 2 2 3 2 3" xfId="2057"/>
    <cellStyle name="Milliers 3 4 2 2 3 2 3 2" xfId="4217"/>
    <cellStyle name="Milliers 3 4 2 2 3 2 3 2 2" xfId="8537"/>
    <cellStyle name="Milliers 3 4 2 2 3 2 3 3" xfId="6377"/>
    <cellStyle name="Milliers 3 4 2 2 3 2 4" xfId="2777"/>
    <cellStyle name="Milliers 3 4 2 2 3 2 4 2" xfId="7097"/>
    <cellStyle name="Milliers 3 4 2 2 3 2 5" xfId="4937"/>
    <cellStyle name="Milliers 3 4 2 2 3 3" xfId="977"/>
    <cellStyle name="Milliers 3 4 2 2 3 3 2" xfId="3137"/>
    <cellStyle name="Milliers 3 4 2 2 3 3 2 2" xfId="7457"/>
    <cellStyle name="Milliers 3 4 2 2 3 3 3" xfId="5297"/>
    <cellStyle name="Milliers 3 4 2 2 3 4" xfId="1697"/>
    <cellStyle name="Milliers 3 4 2 2 3 4 2" xfId="3857"/>
    <cellStyle name="Milliers 3 4 2 2 3 4 2 2" xfId="8177"/>
    <cellStyle name="Milliers 3 4 2 2 3 4 3" xfId="6017"/>
    <cellStyle name="Milliers 3 4 2 2 3 5" xfId="2417"/>
    <cellStyle name="Milliers 3 4 2 2 3 5 2" xfId="6737"/>
    <cellStyle name="Milliers 3 4 2 2 3 6" xfId="4577"/>
    <cellStyle name="Milliers 3 4 2 2 4" xfId="437"/>
    <cellStyle name="Milliers 3 4 2 2 4 2" xfId="1157"/>
    <cellStyle name="Milliers 3 4 2 2 4 2 2" xfId="3317"/>
    <cellStyle name="Milliers 3 4 2 2 4 2 2 2" xfId="7637"/>
    <cellStyle name="Milliers 3 4 2 2 4 2 3" xfId="5477"/>
    <cellStyle name="Milliers 3 4 2 2 4 3" xfId="1877"/>
    <cellStyle name="Milliers 3 4 2 2 4 3 2" xfId="4037"/>
    <cellStyle name="Milliers 3 4 2 2 4 3 2 2" xfId="8357"/>
    <cellStyle name="Milliers 3 4 2 2 4 3 3" xfId="6197"/>
    <cellStyle name="Milliers 3 4 2 2 4 4" xfId="2597"/>
    <cellStyle name="Milliers 3 4 2 2 4 4 2" xfId="6917"/>
    <cellStyle name="Milliers 3 4 2 2 4 5" xfId="4757"/>
    <cellStyle name="Milliers 3 4 2 2 5" xfId="797"/>
    <cellStyle name="Milliers 3 4 2 2 5 2" xfId="2957"/>
    <cellStyle name="Milliers 3 4 2 2 5 2 2" xfId="7277"/>
    <cellStyle name="Milliers 3 4 2 2 5 3" xfId="5117"/>
    <cellStyle name="Milliers 3 4 2 2 6" xfId="1517"/>
    <cellStyle name="Milliers 3 4 2 2 6 2" xfId="3677"/>
    <cellStyle name="Milliers 3 4 2 2 6 2 2" xfId="7997"/>
    <cellStyle name="Milliers 3 4 2 2 6 3" xfId="5837"/>
    <cellStyle name="Milliers 3 4 2 2 7" xfId="2237"/>
    <cellStyle name="Milliers 3 4 2 2 7 2" xfId="6557"/>
    <cellStyle name="Milliers 3 4 2 2 8" xfId="4397"/>
    <cellStyle name="Milliers 3 4 2 3" xfId="122"/>
    <cellStyle name="Milliers 3 4 2 3 2" xfId="302"/>
    <cellStyle name="Milliers 3 4 2 3 2 2" xfId="662"/>
    <cellStyle name="Milliers 3 4 2 3 2 2 2" xfId="1382"/>
    <cellStyle name="Milliers 3 4 2 3 2 2 2 2" xfId="3542"/>
    <cellStyle name="Milliers 3 4 2 3 2 2 2 2 2" xfId="7862"/>
    <cellStyle name="Milliers 3 4 2 3 2 2 2 3" xfId="5702"/>
    <cellStyle name="Milliers 3 4 2 3 2 2 3" xfId="2102"/>
    <cellStyle name="Milliers 3 4 2 3 2 2 3 2" xfId="4262"/>
    <cellStyle name="Milliers 3 4 2 3 2 2 3 2 2" xfId="8582"/>
    <cellStyle name="Milliers 3 4 2 3 2 2 3 3" xfId="6422"/>
    <cellStyle name="Milliers 3 4 2 3 2 2 4" xfId="2822"/>
    <cellStyle name="Milliers 3 4 2 3 2 2 4 2" xfId="7142"/>
    <cellStyle name="Milliers 3 4 2 3 2 2 5" xfId="4982"/>
    <cellStyle name="Milliers 3 4 2 3 2 3" xfId="1022"/>
    <cellStyle name="Milliers 3 4 2 3 2 3 2" xfId="3182"/>
    <cellStyle name="Milliers 3 4 2 3 2 3 2 2" xfId="7502"/>
    <cellStyle name="Milliers 3 4 2 3 2 3 3" xfId="5342"/>
    <cellStyle name="Milliers 3 4 2 3 2 4" xfId="1742"/>
    <cellStyle name="Milliers 3 4 2 3 2 4 2" xfId="3902"/>
    <cellStyle name="Milliers 3 4 2 3 2 4 2 2" xfId="8222"/>
    <cellStyle name="Milliers 3 4 2 3 2 4 3" xfId="6062"/>
    <cellStyle name="Milliers 3 4 2 3 2 5" xfId="2462"/>
    <cellStyle name="Milliers 3 4 2 3 2 5 2" xfId="6782"/>
    <cellStyle name="Milliers 3 4 2 3 2 6" xfId="4622"/>
    <cellStyle name="Milliers 3 4 2 3 3" xfId="482"/>
    <cellStyle name="Milliers 3 4 2 3 3 2" xfId="1202"/>
    <cellStyle name="Milliers 3 4 2 3 3 2 2" xfId="3362"/>
    <cellStyle name="Milliers 3 4 2 3 3 2 2 2" xfId="7682"/>
    <cellStyle name="Milliers 3 4 2 3 3 2 3" xfId="5522"/>
    <cellStyle name="Milliers 3 4 2 3 3 3" xfId="1922"/>
    <cellStyle name="Milliers 3 4 2 3 3 3 2" xfId="4082"/>
    <cellStyle name="Milliers 3 4 2 3 3 3 2 2" xfId="8402"/>
    <cellStyle name="Milliers 3 4 2 3 3 3 3" xfId="6242"/>
    <cellStyle name="Milliers 3 4 2 3 3 4" xfId="2642"/>
    <cellStyle name="Milliers 3 4 2 3 3 4 2" xfId="6962"/>
    <cellStyle name="Milliers 3 4 2 3 3 5" xfId="4802"/>
    <cellStyle name="Milliers 3 4 2 3 4" xfId="842"/>
    <cellStyle name="Milliers 3 4 2 3 4 2" xfId="3002"/>
    <cellStyle name="Milliers 3 4 2 3 4 2 2" xfId="7322"/>
    <cellStyle name="Milliers 3 4 2 3 4 3" xfId="5162"/>
    <cellStyle name="Milliers 3 4 2 3 5" xfId="1562"/>
    <cellStyle name="Milliers 3 4 2 3 5 2" xfId="3722"/>
    <cellStyle name="Milliers 3 4 2 3 5 2 2" xfId="8042"/>
    <cellStyle name="Milliers 3 4 2 3 5 3" xfId="5882"/>
    <cellStyle name="Milliers 3 4 2 3 6" xfId="2282"/>
    <cellStyle name="Milliers 3 4 2 3 6 2" xfId="6602"/>
    <cellStyle name="Milliers 3 4 2 3 7" xfId="4442"/>
    <cellStyle name="Milliers 3 4 2 4" xfId="212"/>
    <cellStyle name="Milliers 3 4 2 4 2" xfId="572"/>
    <cellStyle name="Milliers 3 4 2 4 2 2" xfId="1292"/>
    <cellStyle name="Milliers 3 4 2 4 2 2 2" xfId="3452"/>
    <cellStyle name="Milliers 3 4 2 4 2 2 2 2" xfId="7772"/>
    <cellStyle name="Milliers 3 4 2 4 2 2 3" xfId="5612"/>
    <cellStyle name="Milliers 3 4 2 4 2 3" xfId="2012"/>
    <cellStyle name="Milliers 3 4 2 4 2 3 2" xfId="4172"/>
    <cellStyle name="Milliers 3 4 2 4 2 3 2 2" xfId="8492"/>
    <cellStyle name="Milliers 3 4 2 4 2 3 3" xfId="6332"/>
    <cellStyle name="Milliers 3 4 2 4 2 4" xfId="2732"/>
    <cellStyle name="Milliers 3 4 2 4 2 4 2" xfId="7052"/>
    <cellStyle name="Milliers 3 4 2 4 2 5" xfId="4892"/>
    <cellStyle name="Milliers 3 4 2 4 3" xfId="932"/>
    <cellStyle name="Milliers 3 4 2 4 3 2" xfId="3092"/>
    <cellStyle name="Milliers 3 4 2 4 3 2 2" xfId="7412"/>
    <cellStyle name="Milliers 3 4 2 4 3 3" xfId="5252"/>
    <cellStyle name="Milliers 3 4 2 4 4" xfId="1652"/>
    <cellStyle name="Milliers 3 4 2 4 4 2" xfId="3812"/>
    <cellStyle name="Milliers 3 4 2 4 4 2 2" xfId="8132"/>
    <cellStyle name="Milliers 3 4 2 4 4 3" xfId="5972"/>
    <cellStyle name="Milliers 3 4 2 4 5" xfId="2372"/>
    <cellStyle name="Milliers 3 4 2 4 5 2" xfId="6692"/>
    <cellStyle name="Milliers 3 4 2 4 6" xfId="4532"/>
    <cellStyle name="Milliers 3 4 2 5" xfId="392"/>
    <cellStyle name="Milliers 3 4 2 5 2" xfId="1112"/>
    <cellStyle name="Milliers 3 4 2 5 2 2" xfId="3272"/>
    <cellStyle name="Milliers 3 4 2 5 2 2 2" xfId="7592"/>
    <cellStyle name="Milliers 3 4 2 5 2 3" xfId="5432"/>
    <cellStyle name="Milliers 3 4 2 5 3" xfId="1832"/>
    <cellStyle name="Milliers 3 4 2 5 3 2" xfId="3992"/>
    <cellStyle name="Milliers 3 4 2 5 3 2 2" xfId="8312"/>
    <cellStyle name="Milliers 3 4 2 5 3 3" xfId="6152"/>
    <cellStyle name="Milliers 3 4 2 5 4" xfId="2552"/>
    <cellStyle name="Milliers 3 4 2 5 4 2" xfId="6872"/>
    <cellStyle name="Milliers 3 4 2 5 5" xfId="4712"/>
    <cellStyle name="Milliers 3 4 2 6" xfId="752"/>
    <cellStyle name="Milliers 3 4 2 6 2" xfId="2912"/>
    <cellStyle name="Milliers 3 4 2 6 2 2" xfId="7232"/>
    <cellStyle name="Milliers 3 4 2 6 3" xfId="5072"/>
    <cellStyle name="Milliers 3 4 2 7" xfId="1472"/>
    <cellStyle name="Milliers 3 4 2 7 2" xfId="3632"/>
    <cellStyle name="Milliers 3 4 2 7 2 2" xfId="7952"/>
    <cellStyle name="Milliers 3 4 2 7 3" xfId="5792"/>
    <cellStyle name="Milliers 3 4 2 8" xfId="2192"/>
    <cellStyle name="Milliers 3 4 2 8 2" xfId="6512"/>
    <cellStyle name="Milliers 3 4 2 9" xfId="4352"/>
    <cellStyle name="Milliers 3 4 3" xfId="47"/>
    <cellStyle name="Milliers 3 4 3 2" xfId="92"/>
    <cellStyle name="Milliers 3 4 3 2 2" xfId="182"/>
    <cellStyle name="Milliers 3 4 3 2 2 2" xfId="362"/>
    <cellStyle name="Milliers 3 4 3 2 2 2 2" xfId="722"/>
    <cellStyle name="Milliers 3 4 3 2 2 2 2 2" xfId="1442"/>
    <cellStyle name="Milliers 3 4 3 2 2 2 2 2 2" xfId="3602"/>
    <cellStyle name="Milliers 3 4 3 2 2 2 2 2 2 2" xfId="7922"/>
    <cellStyle name="Milliers 3 4 3 2 2 2 2 2 3" xfId="5762"/>
    <cellStyle name="Milliers 3 4 3 2 2 2 2 3" xfId="2162"/>
    <cellStyle name="Milliers 3 4 3 2 2 2 2 3 2" xfId="4322"/>
    <cellStyle name="Milliers 3 4 3 2 2 2 2 3 2 2" xfId="8642"/>
    <cellStyle name="Milliers 3 4 3 2 2 2 2 3 3" xfId="6482"/>
    <cellStyle name="Milliers 3 4 3 2 2 2 2 4" xfId="2882"/>
    <cellStyle name="Milliers 3 4 3 2 2 2 2 4 2" xfId="7202"/>
    <cellStyle name="Milliers 3 4 3 2 2 2 2 5" xfId="5042"/>
    <cellStyle name="Milliers 3 4 3 2 2 2 3" xfId="1082"/>
    <cellStyle name="Milliers 3 4 3 2 2 2 3 2" xfId="3242"/>
    <cellStyle name="Milliers 3 4 3 2 2 2 3 2 2" xfId="7562"/>
    <cellStyle name="Milliers 3 4 3 2 2 2 3 3" xfId="5402"/>
    <cellStyle name="Milliers 3 4 3 2 2 2 4" xfId="1802"/>
    <cellStyle name="Milliers 3 4 3 2 2 2 4 2" xfId="3962"/>
    <cellStyle name="Milliers 3 4 3 2 2 2 4 2 2" xfId="8282"/>
    <cellStyle name="Milliers 3 4 3 2 2 2 4 3" xfId="6122"/>
    <cellStyle name="Milliers 3 4 3 2 2 2 5" xfId="2522"/>
    <cellStyle name="Milliers 3 4 3 2 2 2 5 2" xfId="6842"/>
    <cellStyle name="Milliers 3 4 3 2 2 2 6" xfId="4682"/>
    <cellStyle name="Milliers 3 4 3 2 2 3" xfId="542"/>
    <cellStyle name="Milliers 3 4 3 2 2 3 2" xfId="1262"/>
    <cellStyle name="Milliers 3 4 3 2 2 3 2 2" xfId="3422"/>
    <cellStyle name="Milliers 3 4 3 2 2 3 2 2 2" xfId="7742"/>
    <cellStyle name="Milliers 3 4 3 2 2 3 2 3" xfId="5582"/>
    <cellStyle name="Milliers 3 4 3 2 2 3 3" xfId="1982"/>
    <cellStyle name="Milliers 3 4 3 2 2 3 3 2" xfId="4142"/>
    <cellStyle name="Milliers 3 4 3 2 2 3 3 2 2" xfId="8462"/>
    <cellStyle name="Milliers 3 4 3 2 2 3 3 3" xfId="6302"/>
    <cellStyle name="Milliers 3 4 3 2 2 3 4" xfId="2702"/>
    <cellStyle name="Milliers 3 4 3 2 2 3 4 2" xfId="7022"/>
    <cellStyle name="Milliers 3 4 3 2 2 3 5" xfId="4862"/>
    <cellStyle name="Milliers 3 4 3 2 2 4" xfId="902"/>
    <cellStyle name="Milliers 3 4 3 2 2 4 2" xfId="3062"/>
    <cellStyle name="Milliers 3 4 3 2 2 4 2 2" xfId="7382"/>
    <cellStyle name="Milliers 3 4 3 2 2 4 3" xfId="5222"/>
    <cellStyle name="Milliers 3 4 3 2 2 5" xfId="1622"/>
    <cellStyle name="Milliers 3 4 3 2 2 5 2" xfId="3782"/>
    <cellStyle name="Milliers 3 4 3 2 2 5 2 2" xfId="8102"/>
    <cellStyle name="Milliers 3 4 3 2 2 5 3" xfId="5942"/>
    <cellStyle name="Milliers 3 4 3 2 2 6" xfId="2342"/>
    <cellStyle name="Milliers 3 4 3 2 2 6 2" xfId="6662"/>
    <cellStyle name="Milliers 3 4 3 2 2 7" xfId="4502"/>
    <cellStyle name="Milliers 3 4 3 2 3" xfId="272"/>
    <cellStyle name="Milliers 3 4 3 2 3 2" xfId="632"/>
    <cellStyle name="Milliers 3 4 3 2 3 2 2" xfId="1352"/>
    <cellStyle name="Milliers 3 4 3 2 3 2 2 2" xfId="3512"/>
    <cellStyle name="Milliers 3 4 3 2 3 2 2 2 2" xfId="7832"/>
    <cellStyle name="Milliers 3 4 3 2 3 2 2 3" xfId="5672"/>
    <cellStyle name="Milliers 3 4 3 2 3 2 3" xfId="2072"/>
    <cellStyle name="Milliers 3 4 3 2 3 2 3 2" xfId="4232"/>
    <cellStyle name="Milliers 3 4 3 2 3 2 3 2 2" xfId="8552"/>
    <cellStyle name="Milliers 3 4 3 2 3 2 3 3" xfId="6392"/>
    <cellStyle name="Milliers 3 4 3 2 3 2 4" xfId="2792"/>
    <cellStyle name="Milliers 3 4 3 2 3 2 4 2" xfId="7112"/>
    <cellStyle name="Milliers 3 4 3 2 3 2 5" xfId="4952"/>
    <cellStyle name="Milliers 3 4 3 2 3 3" xfId="992"/>
    <cellStyle name="Milliers 3 4 3 2 3 3 2" xfId="3152"/>
    <cellStyle name="Milliers 3 4 3 2 3 3 2 2" xfId="7472"/>
    <cellStyle name="Milliers 3 4 3 2 3 3 3" xfId="5312"/>
    <cellStyle name="Milliers 3 4 3 2 3 4" xfId="1712"/>
    <cellStyle name="Milliers 3 4 3 2 3 4 2" xfId="3872"/>
    <cellStyle name="Milliers 3 4 3 2 3 4 2 2" xfId="8192"/>
    <cellStyle name="Milliers 3 4 3 2 3 4 3" xfId="6032"/>
    <cellStyle name="Milliers 3 4 3 2 3 5" xfId="2432"/>
    <cellStyle name="Milliers 3 4 3 2 3 5 2" xfId="6752"/>
    <cellStyle name="Milliers 3 4 3 2 3 6" xfId="4592"/>
    <cellStyle name="Milliers 3 4 3 2 4" xfId="452"/>
    <cellStyle name="Milliers 3 4 3 2 4 2" xfId="1172"/>
    <cellStyle name="Milliers 3 4 3 2 4 2 2" xfId="3332"/>
    <cellStyle name="Milliers 3 4 3 2 4 2 2 2" xfId="7652"/>
    <cellStyle name="Milliers 3 4 3 2 4 2 3" xfId="5492"/>
    <cellStyle name="Milliers 3 4 3 2 4 3" xfId="1892"/>
    <cellStyle name="Milliers 3 4 3 2 4 3 2" xfId="4052"/>
    <cellStyle name="Milliers 3 4 3 2 4 3 2 2" xfId="8372"/>
    <cellStyle name="Milliers 3 4 3 2 4 3 3" xfId="6212"/>
    <cellStyle name="Milliers 3 4 3 2 4 4" xfId="2612"/>
    <cellStyle name="Milliers 3 4 3 2 4 4 2" xfId="6932"/>
    <cellStyle name="Milliers 3 4 3 2 4 5" xfId="4772"/>
    <cellStyle name="Milliers 3 4 3 2 5" xfId="812"/>
    <cellStyle name="Milliers 3 4 3 2 5 2" xfId="2972"/>
    <cellStyle name="Milliers 3 4 3 2 5 2 2" xfId="7292"/>
    <cellStyle name="Milliers 3 4 3 2 5 3" xfId="5132"/>
    <cellStyle name="Milliers 3 4 3 2 6" xfId="1532"/>
    <cellStyle name="Milliers 3 4 3 2 6 2" xfId="3692"/>
    <cellStyle name="Milliers 3 4 3 2 6 2 2" xfId="8012"/>
    <cellStyle name="Milliers 3 4 3 2 6 3" xfId="5852"/>
    <cellStyle name="Milliers 3 4 3 2 7" xfId="2252"/>
    <cellStyle name="Milliers 3 4 3 2 7 2" xfId="6572"/>
    <cellStyle name="Milliers 3 4 3 2 8" xfId="4412"/>
    <cellStyle name="Milliers 3 4 3 3" xfId="137"/>
    <cellStyle name="Milliers 3 4 3 3 2" xfId="317"/>
    <cellStyle name="Milliers 3 4 3 3 2 2" xfId="677"/>
    <cellStyle name="Milliers 3 4 3 3 2 2 2" xfId="1397"/>
    <cellStyle name="Milliers 3 4 3 3 2 2 2 2" xfId="3557"/>
    <cellStyle name="Milliers 3 4 3 3 2 2 2 2 2" xfId="7877"/>
    <cellStyle name="Milliers 3 4 3 3 2 2 2 3" xfId="5717"/>
    <cellStyle name="Milliers 3 4 3 3 2 2 3" xfId="2117"/>
    <cellStyle name="Milliers 3 4 3 3 2 2 3 2" xfId="4277"/>
    <cellStyle name="Milliers 3 4 3 3 2 2 3 2 2" xfId="8597"/>
    <cellStyle name="Milliers 3 4 3 3 2 2 3 3" xfId="6437"/>
    <cellStyle name="Milliers 3 4 3 3 2 2 4" xfId="2837"/>
    <cellStyle name="Milliers 3 4 3 3 2 2 4 2" xfId="7157"/>
    <cellStyle name="Milliers 3 4 3 3 2 2 5" xfId="4997"/>
    <cellStyle name="Milliers 3 4 3 3 2 3" xfId="1037"/>
    <cellStyle name="Milliers 3 4 3 3 2 3 2" xfId="3197"/>
    <cellStyle name="Milliers 3 4 3 3 2 3 2 2" xfId="7517"/>
    <cellStyle name="Milliers 3 4 3 3 2 3 3" xfId="5357"/>
    <cellStyle name="Milliers 3 4 3 3 2 4" xfId="1757"/>
    <cellStyle name="Milliers 3 4 3 3 2 4 2" xfId="3917"/>
    <cellStyle name="Milliers 3 4 3 3 2 4 2 2" xfId="8237"/>
    <cellStyle name="Milliers 3 4 3 3 2 4 3" xfId="6077"/>
    <cellStyle name="Milliers 3 4 3 3 2 5" xfId="2477"/>
    <cellStyle name="Milliers 3 4 3 3 2 5 2" xfId="6797"/>
    <cellStyle name="Milliers 3 4 3 3 2 6" xfId="4637"/>
    <cellStyle name="Milliers 3 4 3 3 3" xfId="497"/>
    <cellStyle name="Milliers 3 4 3 3 3 2" xfId="1217"/>
    <cellStyle name="Milliers 3 4 3 3 3 2 2" xfId="3377"/>
    <cellStyle name="Milliers 3 4 3 3 3 2 2 2" xfId="7697"/>
    <cellStyle name="Milliers 3 4 3 3 3 2 3" xfId="5537"/>
    <cellStyle name="Milliers 3 4 3 3 3 3" xfId="1937"/>
    <cellStyle name="Milliers 3 4 3 3 3 3 2" xfId="4097"/>
    <cellStyle name="Milliers 3 4 3 3 3 3 2 2" xfId="8417"/>
    <cellStyle name="Milliers 3 4 3 3 3 3 3" xfId="6257"/>
    <cellStyle name="Milliers 3 4 3 3 3 4" xfId="2657"/>
    <cellStyle name="Milliers 3 4 3 3 3 4 2" xfId="6977"/>
    <cellStyle name="Milliers 3 4 3 3 3 5" xfId="4817"/>
    <cellStyle name="Milliers 3 4 3 3 4" xfId="857"/>
    <cellStyle name="Milliers 3 4 3 3 4 2" xfId="3017"/>
    <cellStyle name="Milliers 3 4 3 3 4 2 2" xfId="7337"/>
    <cellStyle name="Milliers 3 4 3 3 4 3" xfId="5177"/>
    <cellStyle name="Milliers 3 4 3 3 5" xfId="1577"/>
    <cellStyle name="Milliers 3 4 3 3 5 2" xfId="3737"/>
    <cellStyle name="Milliers 3 4 3 3 5 2 2" xfId="8057"/>
    <cellStyle name="Milliers 3 4 3 3 5 3" xfId="5897"/>
    <cellStyle name="Milliers 3 4 3 3 6" xfId="2297"/>
    <cellStyle name="Milliers 3 4 3 3 6 2" xfId="6617"/>
    <cellStyle name="Milliers 3 4 3 3 7" xfId="4457"/>
    <cellStyle name="Milliers 3 4 3 4" xfId="227"/>
    <cellStyle name="Milliers 3 4 3 4 2" xfId="587"/>
    <cellStyle name="Milliers 3 4 3 4 2 2" xfId="1307"/>
    <cellStyle name="Milliers 3 4 3 4 2 2 2" xfId="3467"/>
    <cellStyle name="Milliers 3 4 3 4 2 2 2 2" xfId="7787"/>
    <cellStyle name="Milliers 3 4 3 4 2 2 3" xfId="5627"/>
    <cellStyle name="Milliers 3 4 3 4 2 3" xfId="2027"/>
    <cellStyle name="Milliers 3 4 3 4 2 3 2" xfId="4187"/>
    <cellStyle name="Milliers 3 4 3 4 2 3 2 2" xfId="8507"/>
    <cellStyle name="Milliers 3 4 3 4 2 3 3" xfId="6347"/>
    <cellStyle name="Milliers 3 4 3 4 2 4" xfId="2747"/>
    <cellStyle name="Milliers 3 4 3 4 2 4 2" xfId="7067"/>
    <cellStyle name="Milliers 3 4 3 4 2 5" xfId="4907"/>
    <cellStyle name="Milliers 3 4 3 4 3" xfId="947"/>
    <cellStyle name="Milliers 3 4 3 4 3 2" xfId="3107"/>
    <cellStyle name="Milliers 3 4 3 4 3 2 2" xfId="7427"/>
    <cellStyle name="Milliers 3 4 3 4 3 3" xfId="5267"/>
    <cellStyle name="Milliers 3 4 3 4 4" xfId="1667"/>
    <cellStyle name="Milliers 3 4 3 4 4 2" xfId="3827"/>
    <cellStyle name="Milliers 3 4 3 4 4 2 2" xfId="8147"/>
    <cellStyle name="Milliers 3 4 3 4 4 3" xfId="5987"/>
    <cellStyle name="Milliers 3 4 3 4 5" xfId="2387"/>
    <cellStyle name="Milliers 3 4 3 4 5 2" xfId="6707"/>
    <cellStyle name="Milliers 3 4 3 4 6" xfId="4547"/>
    <cellStyle name="Milliers 3 4 3 5" xfId="407"/>
    <cellStyle name="Milliers 3 4 3 5 2" xfId="1127"/>
    <cellStyle name="Milliers 3 4 3 5 2 2" xfId="3287"/>
    <cellStyle name="Milliers 3 4 3 5 2 2 2" xfId="7607"/>
    <cellStyle name="Milliers 3 4 3 5 2 3" xfId="5447"/>
    <cellStyle name="Milliers 3 4 3 5 3" xfId="1847"/>
    <cellStyle name="Milliers 3 4 3 5 3 2" xfId="4007"/>
    <cellStyle name="Milliers 3 4 3 5 3 2 2" xfId="8327"/>
    <cellStyle name="Milliers 3 4 3 5 3 3" xfId="6167"/>
    <cellStyle name="Milliers 3 4 3 5 4" xfId="2567"/>
    <cellStyle name="Milliers 3 4 3 5 4 2" xfId="6887"/>
    <cellStyle name="Milliers 3 4 3 5 5" xfId="4727"/>
    <cellStyle name="Milliers 3 4 3 6" xfId="767"/>
    <cellStyle name="Milliers 3 4 3 6 2" xfId="2927"/>
    <cellStyle name="Milliers 3 4 3 6 2 2" xfId="7247"/>
    <cellStyle name="Milliers 3 4 3 6 3" xfId="5087"/>
    <cellStyle name="Milliers 3 4 3 7" xfId="1487"/>
    <cellStyle name="Milliers 3 4 3 7 2" xfId="3647"/>
    <cellStyle name="Milliers 3 4 3 7 2 2" xfId="7967"/>
    <cellStyle name="Milliers 3 4 3 7 3" xfId="5807"/>
    <cellStyle name="Milliers 3 4 3 8" xfId="2207"/>
    <cellStyle name="Milliers 3 4 3 8 2" xfId="6527"/>
    <cellStyle name="Milliers 3 4 3 9" xfId="4367"/>
    <cellStyle name="Milliers 3 4 4" xfId="62"/>
    <cellStyle name="Milliers 3 4 4 2" xfId="152"/>
    <cellStyle name="Milliers 3 4 4 2 2" xfId="332"/>
    <cellStyle name="Milliers 3 4 4 2 2 2" xfId="692"/>
    <cellStyle name="Milliers 3 4 4 2 2 2 2" xfId="1412"/>
    <cellStyle name="Milliers 3 4 4 2 2 2 2 2" xfId="3572"/>
    <cellStyle name="Milliers 3 4 4 2 2 2 2 2 2" xfId="7892"/>
    <cellStyle name="Milliers 3 4 4 2 2 2 2 3" xfId="5732"/>
    <cellStyle name="Milliers 3 4 4 2 2 2 3" xfId="2132"/>
    <cellStyle name="Milliers 3 4 4 2 2 2 3 2" xfId="4292"/>
    <cellStyle name="Milliers 3 4 4 2 2 2 3 2 2" xfId="8612"/>
    <cellStyle name="Milliers 3 4 4 2 2 2 3 3" xfId="6452"/>
    <cellStyle name="Milliers 3 4 4 2 2 2 4" xfId="2852"/>
    <cellStyle name="Milliers 3 4 4 2 2 2 4 2" xfId="7172"/>
    <cellStyle name="Milliers 3 4 4 2 2 2 5" xfId="5012"/>
    <cellStyle name="Milliers 3 4 4 2 2 3" xfId="1052"/>
    <cellStyle name="Milliers 3 4 4 2 2 3 2" xfId="3212"/>
    <cellStyle name="Milliers 3 4 4 2 2 3 2 2" xfId="7532"/>
    <cellStyle name="Milliers 3 4 4 2 2 3 3" xfId="5372"/>
    <cellStyle name="Milliers 3 4 4 2 2 4" xfId="1772"/>
    <cellStyle name="Milliers 3 4 4 2 2 4 2" xfId="3932"/>
    <cellStyle name="Milliers 3 4 4 2 2 4 2 2" xfId="8252"/>
    <cellStyle name="Milliers 3 4 4 2 2 4 3" xfId="6092"/>
    <cellStyle name="Milliers 3 4 4 2 2 5" xfId="2492"/>
    <cellStyle name="Milliers 3 4 4 2 2 5 2" xfId="6812"/>
    <cellStyle name="Milliers 3 4 4 2 2 6" xfId="4652"/>
    <cellStyle name="Milliers 3 4 4 2 3" xfId="512"/>
    <cellStyle name="Milliers 3 4 4 2 3 2" xfId="1232"/>
    <cellStyle name="Milliers 3 4 4 2 3 2 2" xfId="3392"/>
    <cellStyle name="Milliers 3 4 4 2 3 2 2 2" xfId="7712"/>
    <cellStyle name="Milliers 3 4 4 2 3 2 3" xfId="5552"/>
    <cellStyle name="Milliers 3 4 4 2 3 3" xfId="1952"/>
    <cellStyle name="Milliers 3 4 4 2 3 3 2" xfId="4112"/>
    <cellStyle name="Milliers 3 4 4 2 3 3 2 2" xfId="8432"/>
    <cellStyle name="Milliers 3 4 4 2 3 3 3" xfId="6272"/>
    <cellStyle name="Milliers 3 4 4 2 3 4" xfId="2672"/>
    <cellStyle name="Milliers 3 4 4 2 3 4 2" xfId="6992"/>
    <cellStyle name="Milliers 3 4 4 2 3 5" xfId="4832"/>
    <cellStyle name="Milliers 3 4 4 2 4" xfId="872"/>
    <cellStyle name="Milliers 3 4 4 2 4 2" xfId="3032"/>
    <cellStyle name="Milliers 3 4 4 2 4 2 2" xfId="7352"/>
    <cellStyle name="Milliers 3 4 4 2 4 3" xfId="5192"/>
    <cellStyle name="Milliers 3 4 4 2 5" xfId="1592"/>
    <cellStyle name="Milliers 3 4 4 2 5 2" xfId="3752"/>
    <cellStyle name="Milliers 3 4 4 2 5 2 2" xfId="8072"/>
    <cellStyle name="Milliers 3 4 4 2 5 3" xfId="5912"/>
    <cellStyle name="Milliers 3 4 4 2 6" xfId="2312"/>
    <cellStyle name="Milliers 3 4 4 2 6 2" xfId="6632"/>
    <cellStyle name="Milliers 3 4 4 2 7" xfId="4472"/>
    <cellStyle name="Milliers 3 4 4 3" xfId="242"/>
    <cellStyle name="Milliers 3 4 4 3 2" xfId="602"/>
    <cellStyle name="Milliers 3 4 4 3 2 2" xfId="1322"/>
    <cellStyle name="Milliers 3 4 4 3 2 2 2" xfId="3482"/>
    <cellStyle name="Milliers 3 4 4 3 2 2 2 2" xfId="7802"/>
    <cellStyle name="Milliers 3 4 4 3 2 2 3" xfId="5642"/>
    <cellStyle name="Milliers 3 4 4 3 2 3" xfId="2042"/>
    <cellStyle name="Milliers 3 4 4 3 2 3 2" xfId="4202"/>
    <cellStyle name="Milliers 3 4 4 3 2 3 2 2" xfId="8522"/>
    <cellStyle name="Milliers 3 4 4 3 2 3 3" xfId="6362"/>
    <cellStyle name="Milliers 3 4 4 3 2 4" xfId="2762"/>
    <cellStyle name="Milliers 3 4 4 3 2 4 2" xfId="7082"/>
    <cellStyle name="Milliers 3 4 4 3 2 5" xfId="4922"/>
    <cellStyle name="Milliers 3 4 4 3 3" xfId="962"/>
    <cellStyle name="Milliers 3 4 4 3 3 2" xfId="3122"/>
    <cellStyle name="Milliers 3 4 4 3 3 2 2" xfId="7442"/>
    <cellStyle name="Milliers 3 4 4 3 3 3" xfId="5282"/>
    <cellStyle name="Milliers 3 4 4 3 4" xfId="1682"/>
    <cellStyle name="Milliers 3 4 4 3 4 2" xfId="3842"/>
    <cellStyle name="Milliers 3 4 4 3 4 2 2" xfId="8162"/>
    <cellStyle name="Milliers 3 4 4 3 4 3" xfId="6002"/>
    <cellStyle name="Milliers 3 4 4 3 5" xfId="2402"/>
    <cellStyle name="Milliers 3 4 4 3 5 2" xfId="6722"/>
    <cellStyle name="Milliers 3 4 4 3 6" xfId="4562"/>
    <cellStyle name="Milliers 3 4 4 4" xfId="422"/>
    <cellStyle name="Milliers 3 4 4 4 2" xfId="1142"/>
    <cellStyle name="Milliers 3 4 4 4 2 2" xfId="3302"/>
    <cellStyle name="Milliers 3 4 4 4 2 2 2" xfId="7622"/>
    <cellStyle name="Milliers 3 4 4 4 2 3" xfId="5462"/>
    <cellStyle name="Milliers 3 4 4 4 3" xfId="1862"/>
    <cellStyle name="Milliers 3 4 4 4 3 2" xfId="4022"/>
    <cellStyle name="Milliers 3 4 4 4 3 2 2" xfId="8342"/>
    <cellStyle name="Milliers 3 4 4 4 3 3" xfId="6182"/>
    <cellStyle name="Milliers 3 4 4 4 4" xfId="2582"/>
    <cellStyle name="Milliers 3 4 4 4 4 2" xfId="6902"/>
    <cellStyle name="Milliers 3 4 4 4 5" xfId="4742"/>
    <cellStyle name="Milliers 3 4 4 5" xfId="782"/>
    <cellStyle name="Milliers 3 4 4 5 2" xfId="2942"/>
    <cellStyle name="Milliers 3 4 4 5 2 2" xfId="7262"/>
    <cellStyle name="Milliers 3 4 4 5 3" xfId="5102"/>
    <cellStyle name="Milliers 3 4 4 6" xfId="1502"/>
    <cellStyle name="Milliers 3 4 4 6 2" xfId="3662"/>
    <cellStyle name="Milliers 3 4 4 6 2 2" xfId="7982"/>
    <cellStyle name="Milliers 3 4 4 6 3" xfId="5822"/>
    <cellStyle name="Milliers 3 4 4 7" xfId="2222"/>
    <cellStyle name="Milliers 3 4 4 7 2" xfId="6542"/>
    <cellStyle name="Milliers 3 4 4 8" xfId="4382"/>
    <cellStyle name="Milliers 3 4 5" xfId="107"/>
    <cellStyle name="Milliers 3 4 5 2" xfId="287"/>
    <cellStyle name="Milliers 3 4 5 2 2" xfId="647"/>
    <cellStyle name="Milliers 3 4 5 2 2 2" xfId="1367"/>
    <cellStyle name="Milliers 3 4 5 2 2 2 2" xfId="3527"/>
    <cellStyle name="Milliers 3 4 5 2 2 2 2 2" xfId="7847"/>
    <cellStyle name="Milliers 3 4 5 2 2 2 3" xfId="5687"/>
    <cellStyle name="Milliers 3 4 5 2 2 3" xfId="2087"/>
    <cellStyle name="Milliers 3 4 5 2 2 3 2" xfId="4247"/>
    <cellStyle name="Milliers 3 4 5 2 2 3 2 2" xfId="8567"/>
    <cellStyle name="Milliers 3 4 5 2 2 3 3" xfId="6407"/>
    <cellStyle name="Milliers 3 4 5 2 2 4" xfId="2807"/>
    <cellStyle name="Milliers 3 4 5 2 2 4 2" xfId="7127"/>
    <cellStyle name="Milliers 3 4 5 2 2 5" xfId="4967"/>
    <cellStyle name="Milliers 3 4 5 2 3" xfId="1007"/>
    <cellStyle name="Milliers 3 4 5 2 3 2" xfId="3167"/>
    <cellStyle name="Milliers 3 4 5 2 3 2 2" xfId="7487"/>
    <cellStyle name="Milliers 3 4 5 2 3 3" xfId="5327"/>
    <cellStyle name="Milliers 3 4 5 2 4" xfId="1727"/>
    <cellStyle name="Milliers 3 4 5 2 4 2" xfId="3887"/>
    <cellStyle name="Milliers 3 4 5 2 4 2 2" xfId="8207"/>
    <cellStyle name="Milliers 3 4 5 2 4 3" xfId="6047"/>
    <cellStyle name="Milliers 3 4 5 2 5" xfId="2447"/>
    <cellStyle name="Milliers 3 4 5 2 5 2" xfId="6767"/>
    <cellStyle name="Milliers 3 4 5 2 6" xfId="4607"/>
    <cellStyle name="Milliers 3 4 5 3" xfId="467"/>
    <cellStyle name="Milliers 3 4 5 3 2" xfId="1187"/>
    <cellStyle name="Milliers 3 4 5 3 2 2" xfId="3347"/>
    <cellStyle name="Milliers 3 4 5 3 2 2 2" xfId="7667"/>
    <cellStyle name="Milliers 3 4 5 3 2 3" xfId="5507"/>
    <cellStyle name="Milliers 3 4 5 3 3" xfId="1907"/>
    <cellStyle name="Milliers 3 4 5 3 3 2" xfId="4067"/>
    <cellStyle name="Milliers 3 4 5 3 3 2 2" xfId="8387"/>
    <cellStyle name="Milliers 3 4 5 3 3 3" xfId="6227"/>
    <cellStyle name="Milliers 3 4 5 3 4" xfId="2627"/>
    <cellStyle name="Milliers 3 4 5 3 4 2" xfId="6947"/>
    <cellStyle name="Milliers 3 4 5 3 5" xfId="4787"/>
    <cellStyle name="Milliers 3 4 5 4" xfId="827"/>
    <cellStyle name="Milliers 3 4 5 4 2" xfId="2987"/>
    <cellStyle name="Milliers 3 4 5 4 2 2" xfId="7307"/>
    <cellStyle name="Milliers 3 4 5 4 3" xfId="5147"/>
    <cellStyle name="Milliers 3 4 5 5" xfId="1547"/>
    <cellStyle name="Milliers 3 4 5 5 2" xfId="3707"/>
    <cellStyle name="Milliers 3 4 5 5 2 2" xfId="8027"/>
    <cellStyle name="Milliers 3 4 5 5 3" xfId="5867"/>
    <cellStyle name="Milliers 3 4 5 6" xfId="2267"/>
    <cellStyle name="Milliers 3 4 5 6 2" xfId="6587"/>
    <cellStyle name="Milliers 3 4 5 7" xfId="4427"/>
    <cellStyle name="Milliers 3 4 6" xfId="197"/>
    <cellStyle name="Milliers 3 4 6 2" xfId="557"/>
    <cellStyle name="Milliers 3 4 6 2 2" xfId="1277"/>
    <cellStyle name="Milliers 3 4 6 2 2 2" xfId="3437"/>
    <cellStyle name="Milliers 3 4 6 2 2 2 2" xfId="7757"/>
    <cellStyle name="Milliers 3 4 6 2 2 3" xfId="5597"/>
    <cellStyle name="Milliers 3 4 6 2 3" xfId="1997"/>
    <cellStyle name="Milliers 3 4 6 2 3 2" xfId="4157"/>
    <cellStyle name="Milliers 3 4 6 2 3 2 2" xfId="8477"/>
    <cellStyle name="Milliers 3 4 6 2 3 3" xfId="6317"/>
    <cellStyle name="Milliers 3 4 6 2 4" xfId="2717"/>
    <cellStyle name="Milliers 3 4 6 2 4 2" xfId="7037"/>
    <cellStyle name="Milliers 3 4 6 2 5" xfId="4877"/>
    <cellStyle name="Milliers 3 4 6 3" xfId="917"/>
    <cellStyle name="Milliers 3 4 6 3 2" xfId="3077"/>
    <cellStyle name="Milliers 3 4 6 3 2 2" xfId="7397"/>
    <cellStyle name="Milliers 3 4 6 3 3" xfId="5237"/>
    <cellStyle name="Milliers 3 4 6 4" xfId="1637"/>
    <cellStyle name="Milliers 3 4 6 4 2" xfId="3797"/>
    <cellStyle name="Milliers 3 4 6 4 2 2" xfId="8117"/>
    <cellStyle name="Milliers 3 4 6 4 3" xfId="5957"/>
    <cellStyle name="Milliers 3 4 6 5" xfId="2357"/>
    <cellStyle name="Milliers 3 4 6 5 2" xfId="6677"/>
    <cellStyle name="Milliers 3 4 6 6" xfId="4517"/>
    <cellStyle name="Milliers 3 4 7" xfId="377"/>
    <cellStyle name="Milliers 3 4 7 2" xfId="1097"/>
    <cellStyle name="Milliers 3 4 7 2 2" xfId="3257"/>
    <cellStyle name="Milliers 3 4 7 2 2 2" xfId="7577"/>
    <cellStyle name="Milliers 3 4 7 2 3" xfId="5417"/>
    <cellStyle name="Milliers 3 4 7 3" xfId="1817"/>
    <cellStyle name="Milliers 3 4 7 3 2" xfId="3977"/>
    <cellStyle name="Milliers 3 4 7 3 2 2" xfId="8297"/>
    <cellStyle name="Milliers 3 4 7 3 3" xfId="6137"/>
    <cellStyle name="Milliers 3 4 7 4" xfId="2537"/>
    <cellStyle name="Milliers 3 4 7 4 2" xfId="6857"/>
    <cellStyle name="Milliers 3 4 7 5" xfId="4697"/>
    <cellStyle name="Milliers 3 4 8" xfId="737"/>
    <cellStyle name="Milliers 3 4 8 2" xfId="2897"/>
    <cellStyle name="Milliers 3 4 8 2 2" xfId="7217"/>
    <cellStyle name="Milliers 3 4 8 3" xfId="5057"/>
    <cellStyle name="Milliers 3 4 9" xfId="1457"/>
    <cellStyle name="Milliers 3 4 9 2" xfId="3617"/>
    <cellStyle name="Milliers 3 4 9 2 2" xfId="7937"/>
    <cellStyle name="Milliers 3 4 9 3" xfId="5777"/>
    <cellStyle name="Milliers 3 5" xfId="20"/>
    <cellStyle name="Milliers 3 5 2" xfId="65"/>
    <cellStyle name="Milliers 3 5 2 2" xfId="155"/>
    <cellStyle name="Milliers 3 5 2 2 2" xfId="335"/>
    <cellStyle name="Milliers 3 5 2 2 2 2" xfId="695"/>
    <cellStyle name="Milliers 3 5 2 2 2 2 2" xfId="1415"/>
    <cellStyle name="Milliers 3 5 2 2 2 2 2 2" xfId="3575"/>
    <cellStyle name="Milliers 3 5 2 2 2 2 2 2 2" xfId="7895"/>
    <cellStyle name="Milliers 3 5 2 2 2 2 2 3" xfId="5735"/>
    <cellStyle name="Milliers 3 5 2 2 2 2 3" xfId="2135"/>
    <cellStyle name="Milliers 3 5 2 2 2 2 3 2" xfId="4295"/>
    <cellStyle name="Milliers 3 5 2 2 2 2 3 2 2" xfId="8615"/>
    <cellStyle name="Milliers 3 5 2 2 2 2 3 3" xfId="6455"/>
    <cellStyle name="Milliers 3 5 2 2 2 2 4" xfId="2855"/>
    <cellStyle name="Milliers 3 5 2 2 2 2 4 2" xfId="7175"/>
    <cellStyle name="Milliers 3 5 2 2 2 2 5" xfId="5015"/>
    <cellStyle name="Milliers 3 5 2 2 2 3" xfId="1055"/>
    <cellStyle name="Milliers 3 5 2 2 2 3 2" xfId="3215"/>
    <cellStyle name="Milliers 3 5 2 2 2 3 2 2" xfId="7535"/>
    <cellStyle name="Milliers 3 5 2 2 2 3 3" xfId="5375"/>
    <cellStyle name="Milliers 3 5 2 2 2 4" xfId="1775"/>
    <cellStyle name="Milliers 3 5 2 2 2 4 2" xfId="3935"/>
    <cellStyle name="Milliers 3 5 2 2 2 4 2 2" xfId="8255"/>
    <cellStyle name="Milliers 3 5 2 2 2 4 3" xfId="6095"/>
    <cellStyle name="Milliers 3 5 2 2 2 5" xfId="2495"/>
    <cellStyle name="Milliers 3 5 2 2 2 5 2" xfId="6815"/>
    <cellStyle name="Milliers 3 5 2 2 2 6" xfId="4655"/>
    <cellStyle name="Milliers 3 5 2 2 3" xfId="515"/>
    <cellStyle name="Milliers 3 5 2 2 3 2" xfId="1235"/>
    <cellStyle name="Milliers 3 5 2 2 3 2 2" xfId="3395"/>
    <cellStyle name="Milliers 3 5 2 2 3 2 2 2" xfId="7715"/>
    <cellStyle name="Milliers 3 5 2 2 3 2 3" xfId="5555"/>
    <cellStyle name="Milliers 3 5 2 2 3 3" xfId="1955"/>
    <cellStyle name="Milliers 3 5 2 2 3 3 2" xfId="4115"/>
    <cellStyle name="Milliers 3 5 2 2 3 3 2 2" xfId="8435"/>
    <cellStyle name="Milliers 3 5 2 2 3 3 3" xfId="6275"/>
    <cellStyle name="Milliers 3 5 2 2 3 4" xfId="2675"/>
    <cellStyle name="Milliers 3 5 2 2 3 4 2" xfId="6995"/>
    <cellStyle name="Milliers 3 5 2 2 3 5" xfId="4835"/>
    <cellStyle name="Milliers 3 5 2 2 4" xfId="875"/>
    <cellStyle name="Milliers 3 5 2 2 4 2" xfId="3035"/>
    <cellStyle name="Milliers 3 5 2 2 4 2 2" xfId="7355"/>
    <cellStyle name="Milliers 3 5 2 2 4 3" xfId="5195"/>
    <cellStyle name="Milliers 3 5 2 2 5" xfId="1595"/>
    <cellStyle name="Milliers 3 5 2 2 5 2" xfId="3755"/>
    <cellStyle name="Milliers 3 5 2 2 5 2 2" xfId="8075"/>
    <cellStyle name="Milliers 3 5 2 2 5 3" xfId="5915"/>
    <cellStyle name="Milliers 3 5 2 2 6" xfId="2315"/>
    <cellStyle name="Milliers 3 5 2 2 6 2" xfId="6635"/>
    <cellStyle name="Milliers 3 5 2 2 7" xfId="4475"/>
    <cellStyle name="Milliers 3 5 2 3" xfId="245"/>
    <cellStyle name="Milliers 3 5 2 3 2" xfId="605"/>
    <cellStyle name="Milliers 3 5 2 3 2 2" xfId="1325"/>
    <cellStyle name="Milliers 3 5 2 3 2 2 2" xfId="3485"/>
    <cellStyle name="Milliers 3 5 2 3 2 2 2 2" xfId="7805"/>
    <cellStyle name="Milliers 3 5 2 3 2 2 3" xfId="5645"/>
    <cellStyle name="Milliers 3 5 2 3 2 3" xfId="2045"/>
    <cellStyle name="Milliers 3 5 2 3 2 3 2" xfId="4205"/>
    <cellStyle name="Milliers 3 5 2 3 2 3 2 2" xfId="8525"/>
    <cellStyle name="Milliers 3 5 2 3 2 3 3" xfId="6365"/>
    <cellStyle name="Milliers 3 5 2 3 2 4" xfId="2765"/>
    <cellStyle name="Milliers 3 5 2 3 2 4 2" xfId="7085"/>
    <cellStyle name="Milliers 3 5 2 3 2 5" xfId="4925"/>
    <cellStyle name="Milliers 3 5 2 3 3" xfId="965"/>
    <cellStyle name="Milliers 3 5 2 3 3 2" xfId="3125"/>
    <cellStyle name="Milliers 3 5 2 3 3 2 2" xfId="7445"/>
    <cellStyle name="Milliers 3 5 2 3 3 3" xfId="5285"/>
    <cellStyle name="Milliers 3 5 2 3 4" xfId="1685"/>
    <cellStyle name="Milliers 3 5 2 3 4 2" xfId="3845"/>
    <cellStyle name="Milliers 3 5 2 3 4 2 2" xfId="8165"/>
    <cellStyle name="Milliers 3 5 2 3 4 3" xfId="6005"/>
    <cellStyle name="Milliers 3 5 2 3 5" xfId="2405"/>
    <cellStyle name="Milliers 3 5 2 3 5 2" xfId="6725"/>
    <cellStyle name="Milliers 3 5 2 3 6" xfId="4565"/>
    <cellStyle name="Milliers 3 5 2 4" xfId="425"/>
    <cellStyle name="Milliers 3 5 2 4 2" xfId="1145"/>
    <cellStyle name="Milliers 3 5 2 4 2 2" xfId="3305"/>
    <cellStyle name="Milliers 3 5 2 4 2 2 2" xfId="7625"/>
    <cellStyle name="Milliers 3 5 2 4 2 3" xfId="5465"/>
    <cellStyle name="Milliers 3 5 2 4 3" xfId="1865"/>
    <cellStyle name="Milliers 3 5 2 4 3 2" xfId="4025"/>
    <cellStyle name="Milliers 3 5 2 4 3 2 2" xfId="8345"/>
    <cellStyle name="Milliers 3 5 2 4 3 3" xfId="6185"/>
    <cellStyle name="Milliers 3 5 2 4 4" xfId="2585"/>
    <cellStyle name="Milliers 3 5 2 4 4 2" xfId="6905"/>
    <cellStyle name="Milliers 3 5 2 4 5" xfId="4745"/>
    <cellStyle name="Milliers 3 5 2 5" xfId="785"/>
    <cellStyle name="Milliers 3 5 2 5 2" xfId="2945"/>
    <cellStyle name="Milliers 3 5 2 5 2 2" xfId="7265"/>
    <cellStyle name="Milliers 3 5 2 5 3" xfId="5105"/>
    <cellStyle name="Milliers 3 5 2 6" xfId="1505"/>
    <cellStyle name="Milliers 3 5 2 6 2" xfId="3665"/>
    <cellStyle name="Milliers 3 5 2 6 2 2" xfId="7985"/>
    <cellStyle name="Milliers 3 5 2 6 3" xfId="5825"/>
    <cellStyle name="Milliers 3 5 2 7" xfId="2225"/>
    <cellStyle name="Milliers 3 5 2 7 2" xfId="6545"/>
    <cellStyle name="Milliers 3 5 2 8" xfId="4385"/>
    <cellStyle name="Milliers 3 5 3" xfId="110"/>
    <cellStyle name="Milliers 3 5 3 2" xfId="290"/>
    <cellStyle name="Milliers 3 5 3 2 2" xfId="650"/>
    <cellStyle name="Milliers 3 5 3 2 2 2" xfId="1370"/>
    <cellStyle name="Milliers 3 5 3 2 2 2 2" xfId="3530"/>
    <cellStyle name="Milliers 3 5 3 2 2 2 2 2" xfId="7850"/>
    <cellStyle name="Milliers 3 5 3 2 2 2 3" xfId="5690"/>
    <cellStyle name="Milliers 3 5 3 2 2 3" xfId="2090"/>
    <cellStyle name="Milliers 3 5 3 2 2 3 2" xfId="4250"/>
    <cellStyle name="Milliers 3 5 3 2 2 3 2 2" xfId="8570"/>
    <cellStyle name="Milliers 3 5 3 2 2 3 3" xfId="6410"/>
    <cellStyle name="Milliers 3 5 3 2 2 4" xfId="2810"/>
    <cellStyle name="Milliers 3 5 3 2 2 4 2" xfId="7130"/>
    <cellStyle name="Milliers 3 5 3 2 2 5" xfId="4970"/>
    <cellStyle name="Milliers 3 5 3 2 3" xfId="1010"/>
    <cellStyle name="Milliers 3 5 3 2 3 2" xfId="3170"/>
    <cellStyle name="Milliers 3 5 3 2 3 2 2" xfId="7490"/>
    <cellStyle name="Milliers 3 5 3 2 3 3" xfId="5330"/>
    <cellStyle name="Milliers 3 5 3 2 4" xfId="1730"/>
    <cellStyle name="Milliers 3 5 3 2 4 2" xfId="3890"/>
    <cellStyle name="Milliers 3 5 3 2 4 2 2" xfId="8210"/>
    <cellStyle name="Milliers 3 5 3 2 4 3" xfId="6050"/>
    <cellStyle name="Milliers 3 5 3 2 5" xfId="2450"/>
    <cellStyle name="Milliers 3 5 3 2 5 2" xfId="6770"/>
    <cellStyle name="Milliers 3 5 3 2 6" xfId="4610"/>
    <cellStyle name="Milliers 3 5 3 3" xfId="470"/>
    <cellStyle name="Milliers 3 5 3 3 2" xfId="1190"/>
    <cellStyle name="Milliers 3 5 3 3 2 2" xfId="3350"/>
    <cellStyle name="Milliers 3 5 3 3 2 2 2" xfId="7670"/>
    <cellStyle name="Milliers 3 5 3 3 2 3" xfId="5510"/>
    <cellStyle name="Milliers 3 5 3 3 3" xfId="1910"/>
    <cellStyle name="Milliers 3 5 3 3 3 2" xfId="4070"/>
    <cellStyle name="Milliers 3 5 3 3 3 2 2" xfId="8390"/>
    <cellStyle name="Milliers 3 5 3 3 3 3" xfId="6230"/>
    <cellStyle name="Milliers 3 5 3 3 4" xfId="2630"/>
    <cellStyle name="Milliers 3 5 3 3 4 2" xfId="6950"/>
    <cellStyle name="Milliers 3 5 3 3 5" xfId="4790"/>
    <cellStyle name="Milliers 3 5 3 4" xfId="830"/>
    <cellStyle name="Milliers 3 5 3 4 2" xfId="2990"/>
    <cellStyle name="Milliers 3 5 3 4 2 2" xfId="7310"/>
    <cellStyle name="Milliers 3 5 3 4 3" xfId="5150"/>
    <cellStyle name="Milliers 3 5 3 5" xfId="1550"/>
    <cellStyle name="Milliers 3 5 3 5 2" xfId="3710"/>
    <cellStyle name="Milliers 3 5 3 5 2 2" xfId="8030"/>
    <cellStyle name="Milliers 3 5 3 5 3" xfId="5870"/>
    <cellStyle name="Milliers 3 5 3 6" xfId="2270"/>
    <cellStyle name="Milliers 3 5 3 6 2" xfId="6590"/>
    <cellStyle name="Milliers 3 5 3 7" xfId="4430"/>
    <cellStyle name="Milliers 3 5 4" xfId="200"/>
    <cellStyle name="Milliers 3 5 4 2" xfId="560"/>
    <cellStyle name="Milliers 3 5 4 2 2" xfId="1280"/>
    <cellStyle name="Milliers 3 5 4 2 2 2" xfId="3440"/>
    <cellStyle name="Milliers 3 5 4 2 2 2 2" xfId="7760"/>
    <cellStyle name="Milliers 3 5 4 2 2 3" xfId="5600"/>
    <cellStyle name="Milliers 3 5 4 2 3" xfId="2000"/>
    <cellStyle name="Milliers 3 5 4 2 3 2" xfId="4160"/>
    <cellStyle name="Milliers 3 5 4 2 3 2 2" xfId="8480"/>
    <cellStyle name="Milliers 3 5 4 2 3 3" xfId="6320"/>
    <cellStyle name="Milliers 3 5 4 2 4" xfId="2720"/>
    <cellStyle name="Milliers 3 5 4 2 4 2" xfId="7040"/>
    <cellStyle name="Milliers 3 5 4 2 5" xfId="4880"/>
    <cellStyle name="Milliers 3 5 4 3" xfId="920"/>
    <cellStyle name="Milliers 3 5 4 3 2" xfId="3080"/>
    <cellStyle name="Milliers 3 5 4 3 2 2" xfId="7400"/>
    <cellStyle name="Milliers 3 5 4 3 3" xfId="5240"/>
    <cellStyle name="Milliers 3 5 4 4" xfId="1640"/>
    <cellStyle name="Milliers 3 5 4 4 2" xfId="3800"/>
    <cellStyle name="Milliers 3 5 4 4 2 2" xfId="8120"/>
    <cellStyle name="Milliers 3 5 4 4 3" xfId="5960"/>
    <cellStyle name="Milliers 3 5 4 5" xfId="2360"/>
    <cellStyle name="Milliers 3 5 4 5 2" xfId="6680"/>
    <cellStyle name="Milliers 3 5 4 6" xfId="4520"/>
    <cellStyle name="Milliers 3 5 5" xfId="380"/>
    <cellStyle name="Milliers 3 5 5 2" xfId="1100"/>
    <cellStyle name="Milliers 3 5 5 2 2" xfId="3260"/>
    <cellStyle name="Milliers 3 5 5 2 2 2" xfId="7580"/>
    <cellStyle name="Milliers 3 5 5 2 3" xfId="5420"/>
    <cellStyle name="Milliers 3 5 5 3" xfId="1820"/>
    <cellStyle name="Milliers 3 5 5 3 2" xfId="3980"/>
    <cellStyle name="Milliers 3 5 5 3 2 2" xfId="8300"/>
    <cellStyle name="Milliers 3 5 5 3 3" xfId="6140"/>
    <cellStyle name="Milliers 3 5 5 4" xfId="2540"/>
    <cellStyle name="Milliers 3 5 5 4 2" xfId="6860"/>
    <cellStyle name="Milliers 3 5 5 5" xfId="4700"/>
    <cellStyle name="Milliers 3 5 6" xfId="740"/>
    <cellStyle name="Milliers 3 5 6 2" xfId="2900"/>
    <cellStyle name="Milliers 3 5 6 2 2" xfId="7220"/>
    <cellStyle name="Milliers 3 5 6 3" xfId="5060"/>
    <cellStyle name="Milliers 3 5 7" xfId="1460"/>
    <cellStyle name="Milliers 3 5 7 2" xfId="3620"/>
    <cellStyle name="Milliers 3 5 7 2 2" xfId="7940"/>
    <cellStyle name="Milliers 3 5 7 3" xfId="5780"/>
    <cellStyle name="Milliers 3 5 8" xfId="2180"/>
    <cellStyle name="Milliers 3 5 8 2" xfId="6500"/>
    <cellStyle name="Milliers 3 5 9" xfId="4340"/>
    <cellStyle name="Milliers 3 6" xfId="35"/>
    <cellStyle name="Milliers 3 6 2" xfId="80"/>
    <cellStyle name="Milliers 3 6 2 2" xfId="170"/>
    <cellStyle name="Milliers 3 6 2 2 2" xfId="350"/>
    <cellStyle name="Milliers 3 6 2 2 2 2" xfId="710"/>
    <cellStyle name="Milliers 3 6 2 2 2 2 2" xfId="1430"/>
    <cellStyle name="Milliers 3 6 2 2 2 2 2 2" xfId="3590"/>
    <cellStyle name="Milliers 3 6 2 2 2 2 2 2 2" xfId="7910"/>
    <cellStyle name="Milliers 3 6 2 2 2 2 2 3" xfId="5750"/>
    <cellStyle name="Milliers 3 6 2 2 2 2 3" xfId="2150"/>
    <cellStyle name="Milliers 3 6 2 2 2 2 3 2" xfId="4310"/>
    <cellStyle name="Milliers 3 6 2 2 2 2 3 2 2" xfId="8630"/>
    <cellStyle name="Milliers 3 6 2 2 2 2 3 3" xfId="6470"/>
    <cellStyle name="Milliers 3 6 2 2 2 2 4" xfId="2870"/>
    <cellStyle name="Milliers 3 6 2 2 2 2 4 2" xfId="7190"/>
    <cellStyle name="Milliers 3 6 2 2 2 2 5" xfId="5030"/>
    <cellStyle name="Milliers 3 6 2 2 2 3" xfId="1070"/>
    <cellStyle name="Milliers 3 6 2 2 2 3 2" xfId="3230"/>
    <cellStyle name="Milliers 3 6 2 2 2 3 2 2" xfId="7550"/>
    <cellStyle name="Milliers 3 6 2 2 2 3 3" xfId="5390"/>
    <cellStyle name="Milliers 3 6 2 2 2 4" xfId="1790"/>
    <cellStyle name="Milliers 3 6 2 2 2 4 2" xfId="3950"/>
    <cellStyle name="Milliers 3 6 2 2 2 4 2 2" xfId="8270"/>
    <cellStyle name="Milliers 3 6 2 2 2 4 3" xfId="6110"/>
    <cellStyle name="Milliers 3 6 2 2 2 5" xfId="2510"/>
    <cellStyle name="Milliers 3 6 2 2 2 5 2" xfId="6830"/>
    <cellStyle name="Milliers 3 6 2 2 2 6" xfId="4670"/>
    <cellStyle name="Milliers 3 6 2 2 3" xfId="530"/>
    <cellStyle name="Milliers 3 6 2 2 3 2" xfId="1250"/>
    <cellStyle name="Milliers 3 6 2 2 3 2 2" xfId="3410"/>
    <cellStyle name="Milliers 3 6 2 2 3 2 2 2" xfId="7730"/>
    <cellStyle name="Milliers 3 6 2 2 3 2 3" xfId="5570"/>
    <cellStyle name="Milliers 3 6 2 2 3 3" xfId="1970"/>
    <cellStyle name="Milliers 3 6 2 2 3 3 2" xfId="4130"/>
    <cellStyle name="Milliers 3 6 2 2 3 3 2 2" xfId="8450"/>
    <cellStyle name="Milliers 3 6 2 2 3 3 3" xfId="6290"/>
    <cellStyle name="Milliers 3 6 2 2 3 4" xfId="2690"/>
    <cellStyle name="Milliers 3 6 2 2 3 4 2" xfId="7010"/>
    <cellStyle name="Milliers 3 6 2 2 3 5" xfId="4850"/>
    <cellStyle name="Milliers 3 6 2 2 4" xfId="890"/>
    <cellStyle name="Milliers 3 6 2 2 4 2" xfId="3050"/>
    <cellStyle name="Milliers 3 6 2 2 4 2 2" xfId="7370"/>
    <cellStyle name="Milliers 3 6 2 2 4 3" xfId="5210"/>
    <cellStyle name="Milliers 3 6 2 2 5" xfId="1610"/>
    <cellStyle name="Milliers 3 6 2 2 5 2" xfId="3770"/>
    <cellStyle name="Milliers 3 6 2 2 5 2 2" xfId="8090"/>
    <cellStyle name="Milliers 3 6 2 2 5 3" xfId="5930"/>
    <cellStyle name="Milliers 3 6 2 2 6" xfId="2330"/>
    <cellStyle name="Milliers 3 6 2 2 6 2" xfId="6650"/>
    <cellStyle name="Milliers 3 6 2 2 7" xfId="4490"/>
    <cellStyle name="Milliers 3 6 2 3" xfId="260"/>
    <cellStyle name="Milliers 3 6 2 3 2" xfId="620"/>
    <cellStyle name="Milliers 3 6 2 3 2 2" xfId="1340"/>
    <cellStyle name="Milliers 3 6 2 3 2 2 2" xfId="3500"/>
    <cellStyle name="Milliers 3 6 2 3 2 2 2 2" xfId="7820"/>
    <cellStyle name="Milliers 3 6 2 3 2 2 3" xfId="5660"/>
    <cellStyle name="Milliers 3 6 2 3 2 3" xfId="2060"/>
    <cellStyle name="Milliers 3 6 2 3 2 3 2" xfId="4220"/>
    <cellStyle name="Milliers 3 6 2 3 2 3 2 2" xfId="8540"/>
    <cellStyle name="Milliers 3 6 2 3 2 3 3" xfId="6380"/>
    <cellStyle name="Milliers 3 6 2 3 2 4" xfId="2780"/>
    <cellStyle name="Milliers 3 6 2 3 2 4 2" xfId="7100"/>
    <cellStyle name="Milliers 3 6 2 3 2 5" xfId="4940"/>
    <cellStyle name="Milliers 3 6 2 3 3" xfId="980"/>
    <cellStyle name="Milliers 3 6 2 3 3 2" xfId="3140"/>
    <cellStyle name="Milliers 3 6 2 3 3 2 2" xfId="7460"/>
    <cellStyle name="Milliers 3 6 2 3 3 3" xfId="5300"/>
    <cellStyle name="Milliers 3 6 2 3 4" xfId="1700"/>
    <cellStyle name="Milliers 3 6 2 3 4 2" xfId="3860"/>
    <cellStyle name="Milliers 3 6 2 3 4 2 2" xfId="8180"/>
    <cellStyle name="Milliers 3 6 2 3 4 3" xfId="6020"/>
    <cellStyle name="Milliers 3 6 2 3 5" xfId="2420"/>
    <cellStyle name="Milliers 3 6 2 3 5 2" xfId="6740"/>
    <cellStyle name="Milliers 3 6 2 3 6" xfId="4580"/>
    <cellStyle name="Milliers 3 6 2 4" xfId="440"/>
    <cellStyle name="Milliers 3 6 2 4 2" xfId="1160"/>
    <cellStyle name="Milliers 3 6 2 4 2 2" xfId="3320"/>
    <cellStyle name="Milliers 3 6 2 4 2 2 2" xfId="7640"/>
    <cellStyle name="Milliers 3 6 2 4 2 3" xfId="5480"/>
    <cellStyle name="Milliers 3 6 2 4 3" xfId="1880"/>
    <cellStyle name="Milliers 3 6 2 4 3 2" xfId="4040"/>
    <cellStyle name="Milliers 3 6 2 4 3 2 2" xfId="8360"/>
    <cellStyle name="Milliers 3 6 2 4 3 3" xfId="6200"/>
    <cellStyle name="Milliers 3 6 2 4 4" xfId="2600"/>
    <cellStyle name="Milliers 3 6 2 4 4 2" xfId="6920"/>
    <cellStyle name="Milliers 3 6 2 4 5" xfId="4760"/>
    <cellStyle name="Milliers 3 6 2 5" xfId="800"/>
    <cellStyle name="Milliers 3 6 2 5 2" xfId="2960"/>
    <cellStyle name="Milliers 3 6 2 5 2 2" xfId="7280"/>
    <cellStyle name="Milliers 3 6 2 5 3" xfId="5120"/>
    <cellStyle name="Milliers 3 6 2 6" xfId="1520"/>
    <cellStyle name="Milliers 3 6 2 6 2" xfId="3680"/>
    <cellStyle name="Milliers 3 6 2 6 2 2" xfId="8000"/>
    <cellStyle name="Milliers 3 6 2 6 3" xfId="5840"/>
    <cellStyle name="Milliers 3 6 2 7" xfId="2240"/>
    <cellStyle name="Milliers 3 6 2 7 2" xfId="6560"/>
    <cellStyle name="Milliers 3 6 2 8" xfId="4400"/>
    <cellStyle name="Milliers 3 6 3" xfId="125"/>
    <cellStyle name="Milliers 3 6 3 2" xfId="305"/>
    <cellStyle name="Milliers 3 6 3 2 2" xfId="665"/>
    <cellStyle name="Milliers 3 6 3 2 2 2" xfId="1385"/>
    <cellStyle name="Milliers 3 6 3 2 2 2 2" xfId="3545"/>
    <cellStyle name="Milliers 3 6 3 2 2 2 2 2" xfId="7865"/>
    <cellStyle name="Milliers 3 6 3 2 2 2 3" xfId="5705"/>
    <cellStyle name="Milliers 3 6 3 2 2 3" xfId="2105"/>
    <cellStyle name="Milliers 3 6 3 2 2 3 2" xfId="4265"/>
    <cellStyle name="Milliers 3 6 3 2 2 3 2 2" xfId="8585"/>
    <cellStyle name="Milliers 3 6 3 2 2 3 3" xfId="6425"/>
    <cellStyle name="Milliers 3 6 3 2 2 4" xfId="2825"/>
    <cellStyle name="Milliers 3 6 3 2 2 4 2" xfId="7145"/>
    <cellStyle name="Milliers 3 6 3 2 2 5" xfId="4985"/>
    <cellStyle name="Milliers 3 6 3 2 3" xfId="1025"/>
    <cellStyle name="Milliers 3 6 3 2 3 2" xfId="3185"/>
    <cellStyle name="Milliers 3 6 3 2 3 2 2" xfId="7505"/>
    <cellStyle name="Milliers 3 6 3 2 3 3" xfId="5345"/>
    <cellStyle name="Milliers 3 6 3 2 4" xfId="1745"/>
    <cellStyle name="Milliers 3 6 3 2 4 2" xfId="3905"/>
    <cellStyle name="Milliers 3 6 3 2 4 2 2" xfId="8225"/>
    <cellStyle name="Milliers 3 6 3 2 4 3" xfId="6065"/>
    <cellStyle name="Milliers 3 6 3 2 5" xfId="2465"/>
    <cellStyle name="Milliers 3 6 3 2 5 2" xfId="6785"/>
    <cellStyle name="Milliers 3 6 3 2 6" xfId="4625"/>
    <cellStyle name="Milliers 3 6 3 3" xfId="485"/>
    <cellStyle name="Milliers 3 6 3 3 2" xfId="1205"/>
    <cellStyle name="Milliers 3 6 3 3 2 2" xfId="3365"/>
    <cellStyle name="Milliers 3 6 3 3 2 2 2" xfId="7685"/>
    <cellStyle name="Milliers 3 6 3 3 2 3" xfId="5525"/>
    <cellStyle name="Milliers 3 6 3 3 3" xfId="1925"/>
    <cellStyle name="Milliers 3 6 3 3 3 2" xfId="4085"/>
    <cellStyle name="Milliers 3 6 3 3 3 2 2" xfId="8405"/>
    <cellStyle name="Milliers 3 6 3 3 3 3" xfId="6245"/>
    <cellStyle name="Milliers 3 6 3 3 4" xfId="2645"/>
    <cellStyle name="Milliers 3 6 3 3 4 2" xfId="6965"/>
    <cellStyle name="Milliers 3 6 3 3 5" xfId="4805"/>
    <cellStyle name="Milliers 3 6 3 4" xfId="845"/>
    <cellStyle name="Milliers 3 6 3 4 2" xfId="3005"/>
    <cellStyle name="Milliers 3 6 3 4 2 2" xfId="7325"/>
    <cellStyle name="Milliers 3 6 3 4 3" xfId="5165"/>
    <cellStyle name="Milliers 3 6 3 5" xfId="1565"/>
    <cellStyle name="Milliers 3 6 3 5 2" xfId="3725"/>
    <cellStyle name="Milliers 3 6 3 5 2 2" xfId="8045"/>
    <cellStyle name="Milliers 3 6 3 5 3" xfId="5885"/>
    <cellStyle name="Milliers 3 6 3 6" xfId="2285"/>
    <cellStyle name="Milliers 3 6 3 6 2" xfId="6605"/>
    <cellStyle name="Milliers 3 6 3 7" xfId="4445"/>
    <cellStyle name="Milliers 3 6 4" xfId="215"/>
    <cellStyle name="Milliers 3 6 4 2" xfId="575"/>
    <cellStyle name="Milliers 3 6 4 2 2" xfId="1295"/>
    <cellStyle name="Milliers 3 6 4 2 2 2" xfId="3455"/>
    <cellStyle name="Milliers 3 6 4 2 2 2 2" xfId="7775"/>
    <cellStyle name="Milliers 3 6 4 2 2 3" xfId="5615"/>
    <cellStyle name="Milliers 3 6 4 2 3" xfId="2015"/>
    <cellStyle name="Milliers 3 6 4 2 3 2" xfId="4175"/>
    <cellStyle name="Milliers 3 6 4 2 3 2 2" xfId="8495"/>
    <cellStyle name="Milliers 3 6 4 2 3 3" xfId="6335"/>
    <cellStyle name="Milliers 3 6 4 2 4" xfId="2735"/>
    <cellStyle name="Milliers 3 6 4 2 4 2" xfId="7055"/>
    <cellStyle name="Milliers 3 6 4 2 5" xfId="4895"/>
    <cellStyle name="Milliers 3 6 4 3" xfId="935"/>
    <cellStyle name="Milliers 3 6 4 3 2" xfId="3095"/>
    <cellStyle name="Milliers 3 6 4 3 2 2" xfId="7415"/>
    <cellStyle name="Milliers 3 6 4 3 3" xfId="5255"/>
    <cellStyle name="Milliers 3 6 4 4" xfId="1655"/>
    <cellStyle name="Milliers 3 6 4 4 2" xfId="3815"/>
    <cellStyle name="Milliers 3 6 4 4 2 2" xfId="8135"/>
    <cellStyle name="Milliers 3 6 4 4 3" xfId="5975"/>
    <cellStyle name="Milliers 3 6 4 5" xfId="2375"/>
    <cellStyle name="Milliers 3 6 4 5 2" xfId="6695"/>
    <cellStyle name="Milliers 3 6 4 6" xfId="4535"/>
    <cellStyle name="Milliers 3 6 5" xfId="395"/>
    <cellStyle name="Milliers 3 6 5 2" xfId="1115"/>
    <cellStyle name="Milliers 3 6 5 2 2" xfId="3275"/>
    <cellStyle name="Milliers 3 6 5 2 2 2" xfId="7595"/>
    <cellStyle name="Milliers 3 6 5 2 3" xfId="5435"/>
    <cellStyle name="Milliers 3 6 5 3" xfId="1835"/>
    <cellStyle name="Milliers 3 6 5 3 2" xfId="3995"/>
    <cellStyle name="Milliers 3 6 5 3 2 2" xfId="8315"/>
    <cellStyle name="Milliers 3 6 5 3 3" xfId="6155"/>
    <cellStyle name="Milliers 3 6 5 4" xfId="2555"/>
    <cellStyle name="Milliers 3 6 5 4 2" xfId="6875"/>
    <cellStyle name="Milliers 3 6 5 5" xfId="4715"/>
    <cellStyle name="Milliers 3 6 6" xfId="755"/>
    <cellStyle name="Milliers 3 6 6 2" xfId="2915"/>
    <cellStyle name="Milliers 3 6 6 2 2" xfId="7235"/>
    <cellStyle name="Milliers 3 6 6 3" xfId="5075"/>
    <cellStyle name="Milliers 3 6 7" xfId="1475"/>
    <cellStyle name="Milliers 3 6 7 2" xfId="3635"/>
    <cellStyle name="Milliers 3 6 7 2 2" xfId="7955"/>
    <cellStyle name="Milliers 3 6 7 3" xfId="5795"/>
    <cellStyle name="Milliers 3 6 8" xfId="2195"/>
    <cellStyle name="Milliers 3 6 8 2" xfId="6515"/>
    <cellStyle name="Milliers 3 6 9" xfId="4355"/>
    <cellStyle name="Milliers 3 7" xfId="50"/>
    <cellStyle name="Milliers 3 7 2" xfId="140"/>
    <cellStyle name="Milliers 3 7 2 2" xfId="320"/>
    <cellStyle name="Milliers 3 7 2 2 2" xfId="680"/>
    <cellStyle name="Milliers 3 7 2 2 2 2" xfId="1400"/>
    <cellStyle name="Milliers 3 7 2 2 2 2 2" xfId="3560"/>
    <cellStyle name="Milliers 3 7 2 2 2 2 2 2" xfId="7880"/>
    <cellStyle name="Milliers 3 7 2 2 2 2 3" xfId="5720"/>
    <cellStyle name="Milliers 3 7 2 2 2 3" xfId="2120"/>
    <cellStyle name="Milliers 3 7 2 2 2 3 2" xfId="4280"/>
    <cellStyle name="Milliers 3 7 2 2 2 3 2 2" xfId="8600"/>
    <cellStyle name="Milliers 3 7 2 2 2 3 3" xfId="6440"/>
    <cellStyle name="Milliers 3 7 2 2 2 4" xfId="2840"/>
    <cellStyle name="Milliers 3 7 2 2 2 4 2" xfId="7160"/>
    <cellStyle name="Milliers 3 7 2 2 2 5" xfId="5000"/>
    <cellStyle name="Milliers 3 7 2 2 3" xfId="1040"/>
    <cellStyle name="Milliers 3 7 2 2 3 2" xfId="3200"/>
    <cellStyle name="Milliers 3 7 2 2 3 2 2" xfId="7520"/>
    <cellStyle name="Milliers 3 7 2 2 3 3" xfId="5360"/>
    <cellStyle name="Milliers 3 7 2 2 4" xfId="1760"/>
    <cellStyle name="Milliers 3 7 2 2 4 2" xfId="3920"/>
    <cellStyle name="Milliers 3 7 2 2 4 2 2" xfId="8240"/>
    <cellStyle name="Milliers 3 7 2 2 4 3" xfId="6080"/>
    <cellStyle name="Milliers 3 7 2 2 5" xfId="2480"/>
    <cellStyle name="Milliers 3 7 2 2 5 2" xfId="6800"/>
    <cellStyle name="Milliers 3 7 2 2 6" xfId="4640"/>
    <cellStyle name="Milliers 3 7 2 3" xfId="500"/>
    <cellStyle name="Milliers 3 7 2 3 2" xfId="1220"/>
    <cellStyle name="Milliers 3 7 2 3 2 2" xfId="3380"/>
    <cellStyle name="Milliers 3 7 2 3 2 2 2" xfId="7700"/>
    <cellStyle name="Milliers 3 7 2 3 2 3" xfId="5540"/>
    <cellStyle name="Milliers 3 7 2 3 3" xfId="1940"/>
    <cellStyle name="Milliers 3 7 2 3 3 2" xfId="4100"/>
    <cellStyle name="Milliers 3 7 2 3 3 2 2" xfId="8420"/>
    <cellStyle name="Milliers 3 7 2 3 3 3" xfId="6260"/>
    <cellStyle name="Milliers 3 7 2 3 4" xfId="2660"/>
    <cellStyle name="Milliers 3 7 2 3 4 2" xfId="6980"/>
    <cellStyle name="Milliers 3 7 2 3 5" xfId="4820"/>
    <cellStyle name="Milliers 3 7 2 4" xfId="860"/>
    <cellStyle name="Milliers 3 7 2 4 2" xfId="3020"/>
    <cellStyle name="Milliers 3 7 2 4 2 2" xfId="7340"/>
    <cellStyle name="Milliers 3 7 2 4 3" xfId="5180"/>
    <cellStyle name="Milliers 3 7 2 5" xfId="1580"/>
    <cellStyle name="Milliers 3 7 2 5 2" xfId="3740"/>
    <cellStyle name="Milliers 3 7 2 5 2 2" xfId="8060"/>
    <cellStyle name="Milliers 3 7 2 5 3" xfId="5900"/>
    <cellStyle name="Milliers 3 7 2 6" xfId="2300"/>
    <cellStyle name="Milliers 3 7 2 6 2" xfId="6620"/>
    <cellStyle name="Milliers 3 7 2 7" xfId="4460"/>
    <cellStyle name="Milliers 3 7 3" xfId="230"/>
    <cellStyle name="Milliers 3 7 3 2" xfId="590"/>
    <cellStyle name="Milliers 3 7 3 2 2" xfId="1310"/>
    <cellStyle name="Milliers 3 7 3 2 2 2" xfId="3470"/>
    <cellStyle name="Milliers 3 7 3 2 2 2 2" xfId="7790"/>
    <cellStyle name="Milliers 3 7 3 2 2 3" xfId="5630"/>
    <cellStyle name="Milliers 3 7 3 2 3" xfId="2030"/>
    <cellStyle name="Milliers 3 7 3 2 3 2" xfId="4190"/>
    <cellStyle name="Milliers 3 7 3 2 3 2 2" xfId="8510"/>
    <cellStyle name="Milliers 3 7 3 2 3 3" xfId="6350"/>
    <cellStyle name="Milliers 3 7 3 2 4" xfId="2750"/>
    <cellStyle name="Milliers 3 7 3 2 4 2" xfId="7070"/>
    <cellStyle name="Milliers 3 7 3 2 5" xfId="4910"/>
    <cellStyle name="Milliers 3 7 3 3" xfId="950"/>
    <cellStyle name="Milliers 3 7 3 3 2" xfId="3110"/>
    <cellStyle name="Milliers 3 7 3 3 2 2" xfId="7430"/>
    <cellStyle name="Milliers 3 7 3 3 3" xfId="5270"/>
    <cellStyle name="Milliers 3 7 3 4" xfId="1670"/>
    <cellStyle name="Milliers 3 7 3 4 2" xfId="3830"/>
    <cellStyle name="Milliers 3 7 3 4 2 2" xfId="8150"/>
    <cellStyle name="Milliers 3 7 3 4 3" xfId="5990"/>
    <cellStyle name="Milliers 3 7 3 5" xfId="2390"/>
    <cellStyle name="Milliers 3 7 3 5 2" xfId="6710"/>
    <cellStyle name="Milliers 3 7 3 6" xfId="4550"/>
    <cellStyle name="Milliers 3 7 4" xfId="410"/>
    <cellStyle name="Milliers 3 7 4 2" xfId="1130"/>
    <cellStyle name="Milliers 3 7 4 2 2" xfId="3290"/>
    <cellStyle name="Milliers 3 7 4 2 2 2" xfId="7610"/>
    <cellStyle name="Milliers 3 7 4 2 3" xfId="5450"/>
    <cellStyle name="Milliers 3 7 4 3" xfId="1850"/>
    <cellStyle name="Milliers 3 7 4 3 2" xfId="4010"/>
    <cellStyle name="Milliers 3 7 4 3 2 2" xfId="8330"/>
    <cellStyle name="Milliers 3 7 4 3 3" xfId="6170"/>
    <cellStyle name="Milliers 3 7 4 4" xfId="2570"/>
    <cellStyle name="Milliers 3 7 4 4 2" xfId="6890"/>
    <cellStyle name="Milliers 3 7 4 5" xfId="4730"/>
    <cellStyle name="Milliers 3 7 5" xfId="770"/>
    <cellStyle name="Milliers 3 7 5 2" xfId="2930"/>
    <cellStyle name="Milliers 3 7 5 2 2" xfId="7250"/>
    <cellStyle name="Milliers 3 7 5 3" xfId="5090"/>
    <cellStyle name="Milliers 3 7 6" xfId="1490"/>
    <cellStyle name="Milliers 3 7 6 2" xfId="3650"/>
    <cellStyle name="Milliers 3 7 6 2 2" xfId="7970"/>
    <cellStyle name="Milliers 3 7 6 3" xfId="5810"/>
    <cellStyle name="Milliers 3 7 7" xfId="2210"/>
    <cellStyle name="Milliers 3 7 7 2" xfId="6530"/>
    <cellStyle name="Milliers 3 7 8" xfId="4370"/>
    <cellStyle name="Milliers 3 8" xfId="95"/>
    <cellStyle name="Milliers 3 8 2" xfId="275"/>
    <cellStyle name="Milliers 3 8 2 2" xfId="635"/>
    <cellStyle name="Milliers 3 8 2 2 2" xfId="1355"/>
    <cellStyle name="Milliers 3 8 2 2 2 2" xfId="3515"/>
    <cellStyle name="Milliers 3 8 2 2 2 2 2" xfId="7835"/>
    <cellStyle name="Milliers 3 8 2 2 2 3" xfId="5675"/>
    <cellStyle name="Milliers 3 8 2 2 3" xfId="2075"/>
    <cellStyle name="Milliers 3 8 2 2 3 2" xfId="4235"/>
    <cellStyle name="Milliers 3 8 2 2 3 2 2" xfId="8555"/>
    <cellStyle name="Milliers 3 8 2 2 3 3" xfId="6395"/>
    <cellStyle name="Milliers 3 8 2 2 4" xfId="2795"/>
    <cellStyle name="Milliers 3 8 2 2 4 2" xfId="7115"/>
    <cellStyle name="Milliers 3 8 2 2 5" xfId="4955"/>
    <cellStyle name="Milliers 3 8 2 3" xfId="995"/>
    <cellStyle name="Milliers 3 8 2 3 2" xfId="3155"/>
    <cellStyle name="Milliers 3 8 2 3 2 2" xfId="7475"/>
    <cellStyle name="Milliers 3 8 2 3 3" xfId="5315"/>
    <cellStyle name="Milliers 3 8 2 4" xfId="1715"/>
    <cellStyle name="Milliers 3 8 2 4 2" xfId="3875"/>
    <cellStyle name="Milliers 3 8 2 4 2 2" xfId="8195"/>
    <cellStyle name="Milliers 3 8 2 4 3" xfId="6035"/>
    <cellStyle name="Milliers 3 8 2 5" xfId="2435"/>
    <cellStyle name="Milliers 3 8 2 5 2" xfId="6755"/>
    <cellStyle name="Milliers 3 8 2 6" xfId="4595"/>
    <cellStyle name="Milliers 3 8 3" xfId="455"/>
    <cellStyle name="Milliers 3 8 3 2" xfId="1175"/>
    <cellStyle name="Milliers 3 8 3 2 2" xfId="3335"/>
    <cellStyle name="Milliers 3 8 3 2 2 2" xfId="7655"/>
    <cellStyle name="Milliers 3 8 3 2 3" xfId="5495"/>
    <cellStyle name="Milliers 3 8 3 3" xfId="1895"/>
    <cellStyle name="Milliers 3 8 3 3 2" xfId="4055"/>
    <cellStyle name="Milliers 3 8 3 3 2 2" xfId="8375"/>
    <cellStyle name="Milliers 3 8 3 3 3" xfId="6215"/>
    <cellStyle name="Milliers 3 8 3 4" xfId="2615"/>
    <cellStyle name="Milliers 3 8 3 4 2" xfId="6935"/>
    <cellStyle name="Milliers 3 8 3 5" xfId="4775"/>
    <cellStyle name="Milliers 3 8 4" xfId="815"/>
    <cellStyle name="Milliers 3 8 4 2" xfId="2975"/>
    <cellStyle name="Milliers 3 8 4 2 2" xfId="7295"/>
    <cellStyle name="Milliers 3 8 4 3" xfId="5135"/>
    <cellStyle name="Milliers 3 8 5" xfId="1535"/>
    <cellStyle name="Milliers 3 8 5 2" xfId="3695"/>
    <cellStyle name="Milliers 3 8 5 2 2" xfId="8015"/>
    <cellStyle name="Milliers 3 8 5 3" xfId="5855"/>
    <cellStyle name="Milliers 3 8 6" xfId="2255"/>
    <cellStyle name="Milliers 3 8 6 2" xfId="6575"/>
    <cellStyle name="Milliers 3 8 7" xfId="4415"/>
    <cellStyle name="Milliers 3 9" xfId="185"/>
    <cellStyle name="Milliers 3 9 2" xfId="545"/>
    <cellStyle name="Milliers 3 9 2 2" xfId="1265"/>
    <cellStyle name="Milliers 3 9 2 2 2" xfId="3425"/>
    <cellStyle name="Milliers 3 9 2 2 2 2" xfId="7745"/>
    <cellStyle name="Milliers 3 9 2 2 3" xfId="5585"/>
    <cellStyle name="Milliers 3 9 2 3" xfId="1985"/>
    <cellStyle name="Milliers 3 9 2 3 2" xfId="4145"/>
    <cellStyle name="Milliers 3 9 2 3 2 2" xfId="8465"/>
    <cellStyle name="Milliers 3 9 2 3 3" xfId="6305"/>
    <cellStyle name="Milliers 3 9 2 4" xfId="2705"/>
    <cellStyle name="Milliers 3 9 2 4 2" xfId="7025"/>
    <cellStyle name="Milliers 3 9 2 5" xfId="4865"/>
    <cellStyle name="Milliers 3 9 3" xfId="905"/>
    <cellStyle name="Milliers 3 9 3 2" xfId="3065"/>
    <cellStyle name="Milliers 3 9 3 2 2" xfId="7385"/>
    <cellStyle name="Milliers 3 9 3 3" xfId="5225"/>
    <cellStyle name="Milliers 3 9 4" xfId="1625"/>
    <cellStyle name="Milliers 3 9 4 2" xfId="3785"/>
    <cellStyle name="Milliers 3 9 4 2 2" xfId="8105"/>
    <cellStyle name="Milliers 3 9 4 3" xfId="5945"/>
    <cellStyle name="Milliers 3 9 5" xfId="2345"/>
    <cellStyle name="Milliers 3 9 5 2" xfId="6665"/>
    <cellStyle name="Milliers 3 9 6" xfId="4505"/>
    <cellStyle name="Milliers 4" xfId="6"/>
    <cellStyle name="Milliers 4 10" xfId="1446"/>
    <cellStyle name="Milliers 4 10 2" xfId="3606"/>
    <cellStyle name="Milliers 4 10 2 2" xfId="7926"/>
    <cellStyle name="Milliers 4 10 3" xfId="5766"/>
    <cellStyle name="Milliers 4 11" xfId="2166"/>
    <cellStyle name="Milliers 4 11 2" xfId="6486"/>
    <cellStyle name="Milliers 4 12" xfId="4326"/>
    <cellStyle name="Milliers 4 2" xfId="12"/>
    <cellStyle name="Milliers 4 2 10" xfId="2172"/>
    <cellStyle name="Milliers 4 2 10 2" xfId="6492"/>
    <cellStyle name="Milliers 4 2 11" xfId="4332"/>
    <cellStyle name="Milliers 4 2 2" xfId="27"/>
    <cellStyle name="Milliers 4 2 2 2" xfId="72"/>
    <cellStyle name="Milliers 4 2 2 2 2" xfId="162"/>
    <cellStyle name="Milliers 4 2 2 2 2 2" xfId="342"/>
    <cellStyle name="Milliers 4 2 2 2 2 2 2" xfId="702"/>
    <cellStyle name="Milliers 4 2 2 2 2 2 2 2" xfId="1422"/>
    <cellStyle name="Milliers 4 2 2 2 2 2 2 2 2" xfId="3582"/>
    <cellStyle name="Milliers 4 2 2 2 2 2 2 2 2 2" xfId="7902"/>
    <cellStyle name="Milliers 4 2 2 2 2 2 2 2 3" xfId="5742"/>
    <cellStyle name="Milliers 4 2 2 2 2 2 2 3" xfId="2142"/>
    <cellStyle name="Milliers 4 2 2 2 2 2 2 3 2" xfId="4302"/>
    <cellStyle name="Milliers 4 2 2 2 2 2 2 3 2 2" xfId="8622"/>
    <cellStyle name="Milliers 4 2 2 2 2 2 2 3 3" xfId="6462"/>
    <cellStyle name="Milliers 4 2 2 2 2 2 2 4" xfId="2862"/>
    <cellStyle name="Milliers 4 2 2 2 2 2 2 4 2" xfId="7182"/>
    <cellStyle name="Milliers 4 2 2 2 2 2 2 5" xfId="5022"/>
    <cellStyle name="Milliers 4 2 2 2 2 2 3" xfId="1062"/>
    <cellStyle name="Milliers 4 2 2 2 2 2 3 2" xfId="3222"/>
    <cellStyle name="Milliers 4 2 2 2 2 2 3 2 2" xfId="7542"/>
    <cellStyle name="Milliers 4 2 2 2 2 2 3 3" xfId="5382"/>
    <cellStyle name="Milliers 4 2 2 2 2 2 4" xfId="1782"/>
    <cellStyle name="Milliers 4 2 2 2 2 2 4 2" xfId="3942"/>
    <cellStyle name="Milliers 4 2 2 2 2 2 4 2 2" xfId="8262"/>
    <cellStyle name="Milliers 4 2 2 2 2 2 4 3" xfId="6102"/>
    <cellStyle name="Milliers 4 2 2 2 2 2 5" xfId="2502"/>
    <cellStyle name="Milliers 4 2 2 2 2 2 5 2" xfId="6822"/>
    <cellStyle name="Milliers 4 2 2 2 2 2 6" xfId="4662"/>
    <cellStyle name="Milliers 4 2 2 2 2 3" xfId="522"/>
    <cellStyle name="Milliers 4 2 2 2 2 3 2" xfId="1242"/>
    <cellStyle name="Milliers 4 2 2 2 2 3 2 2" xfId="3402"/>
    <cellStyle name="Milliers 4 2 2 2 2 3 2 2 2" xfId="7722"/>
    <cellStyle name="Milliers 4 2 2 2 2 3 2 3" xfId="5562"/>
    <cellStyle name="Milliers 4 2 2 2 2 3 3" xfId="1962"/>
    <cellStyle name="Milliers 4 2 2 2 2 3 3 2" xfId="4122"/>
    <cellStyle name="Milliers 4 2 2 2 2 3 3 2 2" xfId="8442"/>
    <cellStyle name="Milliers 4 2 2 2 2 3 3 3" xfId="6282"/>
    <cellStyle name="Milliers 4 2 2 2 2 3 4" xfId="2682"/>
    <cellStyle name="Milliers 4 2 2 2 2 3 4 2" xfId="7002"/>
    <cellStyle name="Milliers 4 2 2 2 2 3 5" xfId="4842"/>
    <cellStyle name="Milliers 4 2 2 2 2 4" xfId="882"/>
    <cellStyle name="Milliers 4 2 2 2 2 4 2" xfId="3042"/>
    <cellStyle name="Milliers 4 2 2 2 2 4 2 2" xfId="7362"/>
    <cellStyle name="Milliers 4 2 2 2 2 4 3" xfId="5202"/>
    <cellStyle name="Milliers 4 2 2 2 2 5" xfId="1602"/>
    <cellStyle name="Milliers 4 2 2 2 2 5 2" xfId="3762"/>
    <cellStyle name="Milliers 4 2 2 2 2 5 2 2" xfId="8082"/>
    <cellStyle name="Milliers 4 2 2 2 2 5 3" xfId="5922"/>
    <cellStyle name="Milliers 4 2 2 2 2 6" xfId="2322"/>
    <cellStyle name="Milliers 4 2 2 2 2 6 2" xfId="6642"/>
    <cellStyle name="Milliers 4 2 2 2 2 7" xfId="4482"/>
    <cellStyle name="Milliers 4 2 2 2 3" xfId="252"/>
    <cellStyle name="Milliers 4 2 2 2 3 2" xfId="612"/>
    <cellStyle name="Milliers 4 2 2 2 3 2 2" xfId="1332"/>
    <cellStyle name="Milliers 4 2 2 2 3 2 2 2" xfId="3492"/>
    <cellStyle name="Milliers 4 2 2 2 3 2 2 2 2" xfId="7812"/>
    <cellStyle name="Milliers 4 2 2 2 3 2 2 3" xfId="5652"/>
    <cellStyle name="Milliers 4 2 2 2 3 2 3" xfId="2052"/>
    <cellStyle name="Milliers 4 2 2 2 3 2 3 2" xfId="4212"/>
    <cellStyle name="Milliers 4 2 2 2 3 2 3 2 2" xfId="8532"/>
    <cellStyle name="Milliers 4 2 2 2 3 2 3 3" xfId="6372"/>
    <cellStyle name="Milliers 4 2 2 2 3 2 4" xfId="2772"/>
    <cellStyle name="Milliers 4 2 2 2 3 2 4 2" xfId="7092"/>
    <cellStyle name="Milliers 4 2 2 2 3 2 5" xfId="4932"/>
    <cellStyle name="Milliers 4 2 2 2 3 3" xfId="972"/>
    <cellStyle name="Milliers 4 2 2 2 3 3 2" xfId="3132"/>
    <cellStyle name="Milliers 4 2 2 2 3 3 2 2" xfId="7452"/>
    <cellStyle name="Milliers 4 2 2 2 3 3 3" xfId="5292"/>
    <cellStyle name="Milliers 4 2 2 2 3 4" xfId="1692"/>
    <cellStyle name="Milliers 4 2 2 2 3 4 2" xfId="3852"/>
    <cellStyle name="Milliers 4 2 2 2 3 4 2 2" xfId="8172"/>
    <cellStyle name="Milliers 4 2 2 2 3 4 3" xfId="6012"/>
    <cellStyle name="Milliers 4 2 2 2 3 5" xfId="2412"/>
    <cellStyle name="Milliers 4 2 2 2 3 5 2" xfId="6732"/>
    <cellStyle name="Milliers 4 2 2 2 3 6" xfId="4572"/>
    <cellStyle name="Milliers 4 2 2 2 4" xfId="432"/>
    <cellStyle name="Milliers 4 2 2 2 4 2" xfId="1152"/>
    <cellStyle name="Milliers 4 2 2 2 4 2 2" xfId="3312"/>
    <cellStyle name="Milliers 4 2 2 2 4 2 2 2" xfId="7632"/>
    <cellStyle name="Milliers 4 2 2 2 4 2 3" xfId="5472"/>
    <cellStyle name="Milliers 4 2 2 2 4 3" xfId="1872"/>
    <cellStyle name="Milliers 4 2 2 2 4 3 2" xfId="4032"/>
    <cellStyle name="Milliers 4 2 2 2 4 3 2 2" xfId="8352"/>
    <cellStyle name="Milliers 4 2 2 2 4 3 3" xfId="6192"/>
    <cellStyle name="Milliers 4 2 2 2 4 4" xfId="2592"/>
    <cellStyle name="Milliers 4 2 2 2 4 4 2" xfId="6912"/>
    <cellStyle name="Milliers 4 2 2 2 4 5" xfId="4752"/>
    <cellStyle name="Milliers 4 2 2 2 5" xfId="792"/>
    <cellStyle name="Milliers 4 2 2 2 5 2" xfId="2952"/>
    <cellStyle name="Milliers 4 2 2 2 5 2 2" xfId="7272"/>
    <cellStyle name="Milliers 4 2 2 2 5 3" xfId="5112"/>
    <cellStyle name="Milliers 4 2 2 2 6" xfId="1512"/>
    <cellStyle name="Milliers 4 2 2 2 6 2" xfId="3672"/>
    <cellStyle name="Milliers 4 2 2 2 6 2 2" xfId="7992"/>
    <cellStyle name="Milliers 4 2 2 2 6 3" xfId="5832"/>
    <cellStyle name="Milliers 4 2 2 2 7" xfId="2232"/>
    <cellStyle name="Milliers 4 2 2 2 7 2" xfId="6552"/>
    <cellStyle name="Milliers 4 2 2 2 8" xfId="4392"/>
    <cellStyle name="Milliers 4 2 2 3" xfId="117"/>
    <cellStyle name="Milliers 4 2 2 3 2" xfId="297"/>
    <cellStyle name="Milliers 4 2 2 3 2 2" xfId="657"/>
    <cellStyle name="Milliers 4 2 2 3 2 2 2" xfId="1377"/>
    <cellStyle name="Milliers 4 2 2 3 2 2 2 2" xfId="3537"/>
    <cellStyle name="Milliers 4 2 2 3 2 2 2 2 2" xfId="7857"/>
    <cellStyle name="Milliers 4 2 2 3 2 2 2 3" xfId="5697"/>
    <cellStyle name="Milliers 4 2 2 3 2 2 3" xfId="2097"/>
    <cellStyle name="Milliers 4 2 2 3 2 2 3 2" xfId="4257"/>
    <cellStyle name="Milliers 4 2 2 3 2 2 3 2 2" xfId="8577"/>
    <cellStyle name="Milliers 4 2 2 3 2 2 3 3" xfId="6417"/>
    <cellStyle name="Milliers 4 2 2 3 2 2 4" xfId="2817"/>
    <cellStyle name="Milliers 4 2 2 3 2 2 4 2" xfId="7137"/>
    <cellStyle name="Milliers 4 2 2 3 2 2 5" xfId="4977"/>
    <cellStyle name="Milliers 4 2 2 3 2 3" xfId="1017"/>
    <cellStyle name="Milliers 4 2 2 3 2 3 2" xfId="3177"/>
    <cellStyle name="Milliers 4 2 2 3 2 3 2 2" xfId="7497"/>
    <cellStyle name="Milliers 4 2 2 3 2 3 3" xfId="5337"/>
    <cellStyle name="Milliers 4 2 2 3 2 4" xfId="1737"/>
    <cellStyle name="Milliers 4 2 2 3 2 4 2" xfId="3897"/>
    <cellStyle name="Milliers 4 2 2 3 2 4 2 2" xfId="8217"/>
    <cellStyle name="Milliers 4 2 2 3 2 4 3" xfId="6057"/>
    <cellStyle name="Milliers 4 2 2 3 2 5" xfId="2457"/>
    <cellStyle name="Milliers 4 2 2 3 2 5 2" xfId="6777"/>
    <cellStyle name="Milliers 4 2 2 3 2 6" xfId="4617"/>
    <cellStyle name="Milliers 4 2 2 3 3" xfId="477"/>
    <cellStyle name="Milliers 4 2 2 3 3 2" xfId="1197"/>
    <cellStyle name="Milliers 4 2 2 3 3 2 2" xfId="3357"/>
    <cellStyle name="Milliers 4 2 2 3 3 2 2 2" xfId="7677"/>
    <cellStyle name="Milliers 4 2 2 3 3 2 3" xfId="5517"/>
    <cellStyle name="Milliers 4 2 2 3 3 3" xfId="1917"/>
    <cellStyle name="Milliers 4 2 2 3 3 3 2" xfId="4077"/>
    <cellStyle name="Milliers 4 2 2 3 3 3 2 2" xfId="8397"/>
    <cellStyle name="Milliers 4 2 2 3 3 3 3" xfId="6237"/>
    <cellStyle name="Milliers 4 2 2 3 3 4" xfId="2637"/>
    <cellStyle name="Milliers 4 2 2 3 3 4 2" xfId="6957"/>
    <cellStyle name="Milliers 4 2 2 3 3 5" xfId="4797"/>
    <cellStyle name="Milliers 4 2 2 3 4" xfId="837"/>
    <cellStyle name="Milliers 4 2 2 3 4 2" xfId="2997"/>
    <cellStyle name="Milliers 4 2 2 3 4 2 2" xfId="7317"/>
    <cellStyle name="Milliers 4 2 2 3 4 3" xfId="5157"/>
    <cellStyle name="Milliers 4 2 2 3 5" xfId="1557"/>
    <cellStyle name="Milliers 4 2 2 3 5 2" xfId="3717"/>
    <cellStyle name="Milliers 4 2 2 3 5 2 2" xfId="8037"/>
    <cellStyle name="Milliers 4 2 2 3 5 3" xfId="5877"/>
    <cellStyle name="Milliers 4 2 2 3 6" xfId="2277"/>
    <cellStyle name="Milliers 4 2 2 3 6 2" xfId="6597"/>
    <cellStyle name="Milliers 4 2 2 3 7" xfId="4437"/>
    <cellStyle name="Milliers 4 2 2 4" xfId="207"/>
    <cellStyle name="Milliers 4 2 2 4 2" xfId="567"/>
    <cellStyle name="Milliers 4 2 2 4 2 2" xfId="1287"/>
    <cellStyle name="Milliers 4 2 2 4 2 2 2" xfId="3447"/>
    <cellStyle name="Milliers 4 2 2 4 2 2 2 2" xfId="7767"/>
    <cellStyle name="Milliers 4 2 2 4 2 2 3" xfId="5607"/>
    <cellStyle name="Milliers 4 2 2 4 2 3" xfId="2007"/>
    <cellStyle name="Milliers 4 2 2 4 2 3 2" xfId="4167"/>
    <cellStyle name="Milliers 4 2 2 4 2 3 2 2" xfId="8487"/>
    <cellStyle name="Milliers 4 2 2 4 2 3 3" xfId="6327"/>
    <cellStyle name="Milliers 4 2 2 4 2 4" xfId="2727"/>
    <cellStyle name="Milliers 4 2 2 4 2 4 2" xfId="7047"/>
    <cellStyle name="Milliers 4 2 2 4 2 5" xfId="4887"/>
    <cellStyle name="Milliers 4 2 2 4 3" xfId="927"/>
    <cellStyle name="Milliers 4 2 2 4 3 2" xfId="3087"/>
    <cellStyle name="Milliers 4 2 2 4 3 2 2" xfId="7407"/>
    <cellStyle name="Milliers 4 2 2 4 3 3" xfId="5247"/>
    <cellStyle name="Milliers 4 2 2 4 4" xfId="1647"/>
    <cellStyle name="Milliers 4 2 2 4 4 2" xfId="3807"/>
    <cellStyle name="Milliers 4 2 2 4 4 2 2" xfId="8127"/>
    <cellStyle name="Milliers 4 2 2 4 4 3" xfId="5967"/>
    <cellStyle name="Milliers 4 2 2 4 5" xfId="2367"/>
    <cellStyle name="Milliers 4 2 2 4 5 2" xfId="6687"/>
    <cellStyle name="Milliers 4 2 2 4 6" xfId="4527"/>
    <cellStyle name="Milliers 4 2 2 5" xfId="387"/>
    <cellStyle name="Milliers 4 2 2 5 2" xfId="1107"/>
    <cellStyle name="Milliers 4 2 2 5 2 2" xfId="3267"/>
    <cellStyle name="Milliers 4 2 2 5 2 2 2" xfId="7587"/>
    <cellStyle name="Milliers 4 2 2 5 2 3" xfId="5427"/>
    <cellStyle name="Milliers 4 2 2 5 3" xfId="1827"/>
    <cellStyle name="Milliers 4 2 2 5 3 2" xfId="3987"/>
    <cellStyle name="Milliers 4 2 2 5 3 2 2" xfId="8307"/>
    <cellStyle name="Milliers 4 2 2 5 3 3" xfId="6147"/>
    <cellStyle name="Milliers 4 2 2 5 4" xfId="2547"/>
    <cellStyle name="Milliers 4 2 2 5 4 2" xfId="6867"/>
    <cellStyle name="Milliers 4 2 2 5 5" xfId="4707"/>
    <cellStyle name="Milliers 4 2 2 6" xfId="747"/>
    <cellStyle name="Milliers 4 2 2 6 2" xfId="2907"/>
    <cellStyle name="Milliers 4 2 2 6 2 2" xfId="7227"/>
    <cellStyle name="Milliers 4 2 2 6 3" xfId="5067"/>
    <cellStyle name="Milliers 4 2 2 7" xfId="1467"/>
    <cellStyle name="Milliers 4 2 2 7 2" xfId="3627"/>
    <cellStyle name="Milliers 4 2 2 7 2 2" xfId="7947"/>
    <cellStyle name="Milliers 4 2 2 7 3" xfId="5787"/>
    <cellStyle name="Milliers 4 2 2 8" xfId="2187"/>
    <cellStyle name="Milliers 4 2 2 8 2" xfId="6507"/>
    <cellStyle name="Milliers 4 2 2 9" xfId="4347"/>
    <cellStyle name="Milliers 4 2 3" xfId="42"/>
    <cellStyle name="Milliers 4 2 3 2" xfId="87"/>
    <cellStyle name="Milliers 4 2 3 2 2" xfId="177"/>
    <cellStyle name="Milliers 4 2 3 2 2 2" xfId="357"/>
    <cellStyle name="Milliers 4 2 3 2 2 2 2" xfId="717"/>
    <cellStyle name="Milliers 4 2 3 2 2 2 2 2" xfId="1437"/>
    <cellStyle name="Milliers 4 2 3 2 2 2 2 2 2" xfId="3597"/>
    <cellStyle name="Milliers 4 2 3 2 2 2 2 2 2 2" xfId="7917"/>
    <cellStyle name="Milliers 4 2 3 2 2 2 2 2 3" xfId="5757"/>
    <cellStyle name="Milliers 4 2 3 2 2 2 2 3" xfId="2157"/>
    <cellStyle name="Milliers 4 2 3 2 2 2 2 3 2" xfId="4317"/>
    <cellStyle name="Milliers 4 2 3 2 2 2 2 3 2 2" xfId="8637"/>
    <cellStyle name="Milliers 4 2 3 2 2 2 2 3 3" xfId="6477"/>
    <cellStyle name="Milliers 4 2 3 2 2 2 2 4" xfId="2877"/>
    <cellStyle name="Milliers 4 2 3 2 2 2 2 4 2" xfId="7197"/>
    <cellStyle name="Milliers 4 2 3 2 2 2 2 5" xfId="5037"/>
    <cellStyle name="Milliers 4 2 3 2 2 2 3" xfId="1077"/>
    <cellStyle name="Milliers 4 2 3 2 2 2 3 2" xfId="3237"/>
    <cellStyle name="Milliers 4 2 3 2 2 2 3 2 2" xfId="7557"/>
    <cellStyle name="Milliers 4 2 3 2 2 2 3 3" xfId="5397"/>
    <cellStyle name="Milliers 4 2 3 2 2 2 4" xfId="1797"/>
    <cellStyle name="Milliers 4 2 3 2 2 2 4 2" xfId="3957"/>
    <cellStyle name="Milliers 4 2 3 2 2 2 4 2 2" xfId="8277"/>
    <cellStyle name="Milliers 4 2 3 2 2 2 4 3" xfId="6117"/>
    <cellStyle name="Milliers 4 2 3 2 2 2 5" xfId="2517"/>
    <cellStyle name="Milliers 4 2 3 2 2 2 5 2" xfId="6837"/>
    <cellStyle name="Milliers 4 2 3 2 2 2 6" xfId="4677"/>
    <cellStyle name="Milliers 4 2 3 2 2 3" xfId="537"/>
    <cellStyle name="Milliers 4 2 3 2 2 3 2" xfId="1257"/>
    <cellStyle name="Milliers 4 2 3 2 2 3 2 2" xfId="3417"/>
    <cellStyle name="Milliers 4 2 3 2 2 3 2 2 2" xfId="7737"/>
    <cellStyle name="Milliers 4 2 3 2 2 3 2 3" xfId="5577"/>
    <cellStyle name="Milliers 4 2 3 2 2 3 3" xfId="1977"/>
    <cellStyle name="Milliers 4 2 3 2 2 3 3 2" xfId="4137"/>
    <cellStyle name="Milliers 4 2 3 2 2 3 3 2 2" xfId="8457"/>
    <cellStyle name="Milliers 4 2 3 2 2 3 3 3" xfId="6297"/>
    <cellStyle name="Milliers 4 2 3 2 2 3 4" xfId="2697"/>
    <cellStyle name="Milliers 4 2 3 2 2 3 4 2" xfId="7017"/>
    <cellStyle name="Milliers 4 2 3 2 2 3 5" xfId="4857"/>
    <cellStyle name="Milliers 4 2 3 2 2 4" xfId="897"/>
    <cellStyle name="Milliers 4 2 3 2 2 4 2" xfId="3057"/>
    <cellStyle name="Milliers 4 2 3 2 2 4 2 2" xfId="7377"/>
    <cellStyle name="Milliers 4 2 3 2 2 4 3" xfId="5217"/>
    <cellStyle name="Milliers 4 2 3 2 2 5" xfId="1617"/>
    <cellStyle name="Milliers 4 2 3 2 2 5 2" xfId="3777"/>
    <cellStyle name="Milliers 4 2 3 2 2 5 2 2" xfId="8097"/>
    <cellStyle name="Milliers 4 2 3 2 2 5 3" xfId="5937"/>
    <cellStyle name="Milliers 4 2 3 2 2 6" xfId="2337"/>
    <cellStyle name="Milliers 4 2 3 2 2 6 2" xfId="6657"/>
    <cellStyle name="Milliers 4 2 3 2 2 7" xfId="4497"/>
    <cellStyle name="Milliers 4 2 3 2 3" xfId="267"/>
    <cellStyle name="Milliers 4 2 3 2 3 2" xfId="627"/>
    <cellStyle name="Milliers 4 2 3 2 3 2 2" xfId="1347"/>
    <cellStyle name="Milliers 4 2 3 2 3 2 2 2" xfId="3507"/>
    <cellStyle name="Milliers 4 2 3 2 3 2 2 2 2" xfId="7827"/>
    <cellStyle name="Milliers 4 2 3 2 3 2 2 3" xfId="5667"/>
    <cellStyle name="Milliers 4 2 3 2 3 2 3" xfId="2067"/>
    <cellStyle name="Milliers 4 2 3 2 3 2 3 2" xfId="4227"/>
    <cellStyle name="Milliers 4 2 3 2 3 2 3 2 2" xfId="8547"/>
    <cellStyle name="Milliers 4 2 3 2 3 2 3 3" xfId="6387"/>
    <cellStyle name="Milliers 4 2 3 2 3 2 4" xfId="2787"/>
    <cellStyle name="Milliers 4 2 3 2 3 2 4 2" xfId="7107"/>
    <cellStyle name="Milliers 4 2 3 2 3 2 5" xfId="4947"/>
    <cellStyle name="Milliers 4 2 3 2 3 3" xfId="987"/>
    <cellStyle name="Milliers 4 2 3 2 3 3 2" xfId="3147"/>
    <cellStyle name="Milliers 4 2 3 2 3 3 2 2" xfId="7467"/>
    <cellStyle name="Milliers 4 2 3 2 3 3 3" xfId="5307"/>
    <cellStyle name="Milliers 4 2 3 2 3 4" xfId="1707"/>
    <cellStyle name="Milliers 4 2 3 2 3 4 2" xfId="3867"/>
    <cellStyle name="Milliers 4 2 3 2 3 4 2 2" xfId="8187"/>
    <cellStyle name="Milliers 4 2 3 2 3 4 3" xfId="6027"/>
    <cellStyle name="Milliers 4 2 3 2 3 5" xfId="2427"/>
    <cellStyle name="Milliers 4 2 3 2 3 5 2" xfId="6747"/>
    <cellStyle name="Milliers 4 2 3 2 3 6" xfId="4587"/>
    <cellStyle name="Milliers 4 2 3 2 4" xfId="447"/>
    <cellStyle name="Milliers 4 2 3 2 4 2" xfId="1167"/>
    <cellStyle name="Milliers 4 2 3 2 4 2 2" xfId="3327"/>
    <cellStyle name="Milliers 4 2 3 2 4 2 2 2" xfId="7647"/>
    <cellStyle name="Milliers 4 2 3 2 4 2 3" xfId="5487"/>
    <cellStyle name="Milliers 4 2 3 2 4 3" xfId="1887"/>
    <cellStyle name="Milliers 4 2 3 2 4 3 2" xfId="4047"/>
    <cellStyle name="Milliers 4 2 3 2 4 3 2 2" xfId="8367"/>
    <cellStyle name="Milliers 4 2 3 2 4 3 3" xfId="6207"/>
    <cellStyle name="Milliers 4 2 3 2 4 4" xfId="2607"/>
    <cellStyle name="Milliers 4 2 3 2 4 4 2" xfId="6927"/>
    <cellStyle name="Milliers 4 2 3 2 4 5" xfId="4767"/>
    <cellStyle name="Milliers 4 2 3 2 5" xfId="807"/>
    <cellStyle name="Milliers 4 2 3 2 5 2" xfId="2967"/>
    <cellStyle name="Milliers 4 2 3 2 5 2 2" xfId="7287"/>
    <cellStyle name="Milliers 4 2 3 2 5 3" xfId="5127"/>
    <cellStyle name="Milliers 4 2 3 2 6" xfId="1527"/>
    <cellStyle name="Milliers 4 2 3 2 6 2" xfId="3687"/>
    <cellStyle name="Milliers 4 2 3 2 6 2 2" xfId="8007"/>
    <cellStyle name="Milliers 4 2 3 2 6 3" xfId="5847"/>
    <cellStyle name="Milliers 4 2 3 2 7" xfId="2247"/>
    <cellStyle name="Milliers 4 2 3 2 7 2" xfId="6567"/>
    <cellStyle name="Milliers 4 2 3 2 8" xfId="4407"/>
    <cellStyle name="Milliers 4 2 3 3" xfId="132"/>
    <cellStyle name="Milliers 4 2 3 3 2" xfId="312"/>
    <cellStyle name="Milliers 4 2 3 3 2 2" xfId="672"/>
    <cellStyle name="Milliers 4 2 3 3 2 2 2" xfId="1392"/>
    <cellStyle name="Milliers 4 2 3 3 2 2 2 2" xfId="3552"/>
    <cellStyle name="Milliers 4 2 3 3 2 2 2 2 2" xfId="7872"/>
    <cellStyle name="Milliers 4 2 3 3 2 2 2 3" xfId="5712"/>
    <cellStyle name="Milliers 4 2 3 3 2 2 3" xfId="2112"/>
    <cellStyle name="Milliers 4 2 3 3 2 2 3 2" xfId="4272"/>
    <cellStyle name="Milliers 4 2 3 3 2 2 3 2 2" xfId="8592"/>
    <cellStyle name="Milliers 4 2 3 3 2 2 3 3" xfId="6432"/>
    <cellStyle name="Milliers 4 2 3 3 2 2 4" xfId="2832"/>
    <cellStyle name="Milliers 4 2 3 3 2 2 4 2" xfId="7152"/>
    <cellStyle name="Milliers 4 2 3 3 2 2 5" xfId="4992"/>
    <cellStyle name="Milliers 4 2 3 3 2 3" xfId="1032"/>
    <cellStyle name="Milliers 4 2 3 3 2 3 2" xfId="3192"/>
    <cellStyle name="Milliers 4 2 3 3 2 3 2 2" xfId="7512"/>
    <cellStyle name="Milliers 4 2 3 3 2 3 3" xfId="5352"/>
    <cellStyle name="Milliers 4 2 3 3 2 4" xfId="1752"/>
    <cellStyle name="Milliers 4 2 3 3 2 4 2" xfId="3912"/>
    <cellStyle name="Milliers 4 2 3 3 2 4 2 2" xfId="8232"/>
    <cellStyle name="Milliers 4 2 3 3 2 4 3" xfId="6072"/>
    <cellStyle name="Milliers 4 2 3 3 2 5" xfId="2472"/>
    <cellStyle name="Milliers 4 2 3 3 2 5 2" xfId="6792"/>
    <cellStyle name="Milliers 4 2 3 3 2 6" xfId="4632"/>
    <cellStyle name="Milliers 4 2 3 3 3" xfId="492"/>
    <cellStyle name="Milliers 4 2 3 3 3 2" xfId="1212"/>
    <cellStyle name="Milliers 4 2 3 3 3 2 2" xfId="3372"/>
    <cellStyle name="Milliers 4 2 3 3 3 2 2 2" xfId="7692"/>
    <cellStyle name="Milliers 4 2 3 3 3 2 3" xfId="5532"/>
    <cellStyle name="Milliers 4 2 3 3 3 3" xfId="1932"/>
    <cellStyle name="Milliers 4 2 3 3 3 3 2" xfId="4092"/>
    <cellStyle name="Milliers 4 2 3 3 3 3 2 2" xfId="8412"/>
    <cellStyle name="Milliers 4 2 3 3 3 3 3" xfId="6252"/>
    <cellStyle name="Milliers 4 2 3 3 3 4" xfId="2652"/>
    <cellStyle name="Milliers 4 2 3 3 3 4 2" xfId="6972"/>
    <cellStyle name="Milliers 4 2 3 3 3 5" xfId="4812"/>
    <cellStyle name="Milliers 4 2 3 3 4" xfId="852"/>
    <cellStyle name="Milliers 4 2 3 3 4 2" xfId="3012"/>
    <cellStyle name="Milliers 4 2 3 3 4 2 2" xfId="7332"/>
    <cellStyle name="Milliers 4 2 3 3 4 3" xfId="5172"/>
    <cellStyle name="Milliers 4 2 3 3 5" xfId="1572"/>
    <cellStyle name="Milliers 4 2 3 3 5 2" xfId="3732"/>
    <cellStyle name="Milliers 4 2 3 3 5 2 2" xfId="8052"/>
    <cellStyle name="Milliers 4 2 3 3 5 3" xfId="5892"/>
    <cellStyle name="Milliers 4 2 3 3 6" xfId="2292"/>
    <cellStyle name="Milliers 4 2 3 3 6 2" xfId="6612"/>
    <cellStyle name="Milliers 4 2 3 3 7" xfId="4452"/>
    <cellStyle name="Milliers 4 2 3 4" xfId="222"/>
    <cellStyle name="Milliers 4 2 3 4 2" xfId="582"/>
    <cellStyle name="Milliers 4 2 3 4 2 2" xfId="1302"/>
    <cellStyle name="Milliers 4 2 3 4 2 2 2" xfId="3462"/>
    <cellStyle name="Milliers 4 2 3 4 2 2 2 2" xfId="7782"/>
    <cellStyle name="Milliers 4 2 3 4 2 2 3" xfId="5622"/>
    <cellStyle name="Milliers 4 2 3 4 2 3" xfId="2022"/>
    <cellStyle name="Milliers 4 2 3 4 2 3 2" xfId="4182"/>
    <cellStyle name="Milliers 4 2 3 4 2 3 2 2" xfId="8502"/>
    <cellStyle name="Milliers 4 2 3 4 2 3 3" xfId="6342"/>
    <cellStyle name="Milliers 4 2 3 4 2 4" xfId="2742"/>
    <cellStyle name="Milliers 4 2 3 4 2 4 2" xfId="7062"/>
    <cellStyle name="Milliers 4 2 3 4 2 5" xfId="4902"/>
    <cellStyle name="Milliers 4 2 3 4 3" xfId="942"/>
    <cellStyle name="Milliers 4 2 3 4 3 2" xfId="3102"/>
    <cellStyle name="Milliers 4 2 3 4 3 2 2" xfId="7422"/>
    <cellStyle name="Milliers 4 2 3 4 3 3" xfId="5262"/>
    <cellStyle name="Milliers 4 2 3 4 4" xfId="1662"/>
    <cellStyle name="Milliers 4 2 3 4 4 2" xfId="3822"/>
    <cellStyle name="Milliers 4 2 3 4 4 2 2" xfId="8142"/>
    <cellStyle name="Milliers 4 2 3 4 4 3" xfId="5982"/>
    <cellStyle name="Milliers 4 2 3 4 5" xfId="2382"/>
    <cellStyle name="Milliers 4 2 3 4 5 2" xfId="6702"/>
    <cellStyle name="Milliers 4 2 3 4 6" xfId="4542"/>
    <cellStyle name="Milliers 4 2 3 5" xfId="402"/>
    <cellStyle name="Milliers 4 2 3 5 2" xfId="1122"/>
    <cellStyle name="Milliers 4 2 3 5 2 2" xfId="3282"/>
    <cellStyle name="Milliers 4 2 3 5 2 2 2" xfId="7602"/>
    <cellStyle name="Milliers 4 2 3 5 2 3" xfId="5442"/>
    <cellStyle name="Milliers 4 2 3 5 3" xfId="1842"/>
    <cellStyle name="Milliers 4 2 3 5 3 2" xfId="4002"/>
    <cellStyle name="Milliers 4 2 3 5 3 2 2" xfId="8322"/>
    <cellStyle name="Milliers 4 2 3 5 3 3" xfId="6162"/>
    <cellStyle name="Milliers 4 2 3 5 4" xfId="2562"/>
    <cellStyle name="Milliers 4 2 3 5 4 2" xfId="6882"/>
    <cellStyle name="Milliers 4 2 3 5 5" xfId="4722"/>
    <cellStyle name="Milliers 4 2 3 6" xfId="762"/>
    <cellStyle name="Milliers 4 2 3 6 2" xfId="2922"/>
    <cellStyle name="Milliers 4 2 3 6 2 2" xfId="7242"/>
    <cellStyle name="Milliers 4 2 3 6 3" xfId="5082"/>
    <cellStyle name="Milliers 4 2 3 7" xfId="1482"/>
    <cellStyle name="Milliers 4 2 3 7 2" xfId="3642"/>
    <cellStyle name="Milliers 4 2 3 7 2 2" xfId="7962"/>
    <cellStyle name="Milliers 4 2 3 7 3" xfId="5802"/>
    <cellStyle name="Milliers 4 2 3 8" xfId="2202"/>
    <cellStyle name="Milliers 4 2 3 8 2" xfId="6522"/>
    <cellStyle name="Milliers 4 2 3 9" xfId="4362"/>
    <cellStyle name="Milliers 4 2 4" xfId="57"/>
    <cellStyle name="Milliers 4 2 4 2" xfId="147"/>
    <cellStyle name="Milliers 4 2 4 2 2" xfId="327"/>
    <cellStyle name="Milliers 4 2 4 2 2 2" xfId="687"/>
    <cellStyle name="Milliers 4 2 4 2 2 2 2" xfId="1407"/>
    <cellStyle name="Milliers 4 2 4 2 2 2 2 2" xfId="3567"/>
    <cellStyle name="Milliers 4 2 4 2 2 2 2 2 2" xfId="7887"/>
    <cellStyle name="Milliers 4 2 4 2 2 2 2 3" xfId="5727"/>
    <cellStyle name="Milliers 4 2 4 2 2 2 3" xfId="2127"/>
    <cellStyle name="Milliers 4 2 4 2 2 2 3 2" xfId="4287"/>
    <cellStyle name="Milliers 4 2 4 2 2 2 3 2 2" xfId="8607"/>
    <cellStyle name="Milliers 4 2 4 2 2 2 3 3" xfId="6447"/>
    <cellStyle name="Milliers 4 2 4 2 2 2 4" xfId="2847"/>
    <cellStyle name="Milliers 4 2 4 2 2 2 4 2" xfId="7167"/>
    <cellStyle name="Milliers 4 2 4 2 2 2 5" xfId="5007"/>
    <cellStyle name="Milliers 4 2 4 2 2 3" xfId="1047"/>
    <cellStyle name="Milliers 4 2 4 2 2 3 2" xfId="3207"/>
    <cellStyle name="Milliers 4 2 4 2 2 3 2 2" xfId="7527"/>
    <cellStyle name="Milliers 4 2 4 2 2 3 3" xfId="5367"/>
    <cellStyle name="Milliers 4 2 4 2 2 4" xfId="1767"/>
    <cellStyle name="Milliers 4 2 4 2 2 4 2" xfId="3927"/>
    <cellStyle name="Milliers 4 2 4 2 2 4 2 2" xfId="8247"/>
    <cellStyle name="Milliers 4 2 4 2 2 4 3" xfId="6087"/>
    <cellStyle name="Milliers 4 2 4 2 2 5" xfId="2487"/>
    <cellStyle name="Milliers 4 2 4 2 2 5 2" xfId="6807"/>
    <cellStyle name="Milliers 4 2 4 2 2 6" xfId="4647"/>
    <cellStyle name="Milliers 4 2 4 2 3" xfId="507"/>
    <cellStyle name="Milliers 4 2 4 2 3 2" xfId="1227"/>
    <cellStyle name="Milliers 4 2 4 2 3 2 2" xfId="3387"/>
    <cellStyle name="Milliers 4 2 4 2 3 2 2 2" xfId="7707"/>
    <cellStyle name="Milliers 4 2 4 2 3 2 3" xfId="5547"/>
    <cellStyle name="Milliers 4 2 4 2 3 3" xfId="1947"/>
    <cellStyle name="Milliers 4 2 4 2 3 3 2" xfId="4107"/>
    <cellStyle name="Milliers 4 2 4 2 3 3 2 2" xfId="8427"/>
    <cellStyle name="Milliers 4 2 4 2 3 3 3" xfId="6267"/>
    <cellStyle name="Milliers 4 2 4 2 3 4" xfId="2667"/>
    <cellStyle name="Milliers 4 2 4 2 3 4 2" xfId="6987"/>
    <cellStyle name="Milliers 4 2 4 2 3 5" xfId="4827"/>
    <cellStyle name="Milliers 4 2 4 2 4" xfId="867"/>
    <cellStyle name="Milliers 4 2 4 2 4 2" xfId="3027"/>
    <cellStyle name="Milliers 4 2 4 2 4 2 2" xfId="7347"/>
    <cellStyle name="Milliers 4 2 4 2 4 3" xfId="5187"/>
    <cellStyle name="Milliers 4 2 4 2 5" xfId="1587"/>
    <cellStyle name="Milliers 4 2 4 2 5 2" xfId="3747"/>
    <cellStyle name="Milliers 4 2 4 2 5 2 2" xfId="8067"/>
    <cellStyle name="Milliers 4 2 4 2 5 3" xfId="5907"/>
    <cellStyle name="Milliers 4 2 4 2 6" xfId="2307"/>
    <cellStyle name="Milliers 4 2 4 2 6 2" xfId="6627"/>
    <cellStyle name="Milliers 4 2 4 2 7" xfId="4467"/>
    <cellStyle name="Milliers 4 2 4 3" xfId="237"/>
    <cellStyle name="Milliers 4 2 4 3 2" xfId="597"/>
    <cellStyle name="Milliers 4 2 4 3 2 2" xfId="1317"/>
    <cellStyle name="Milliers 4 2 4 3 2 2 2" xfId="3477"/>
    <cellStyle name="Milliers 4 2 4 3 2 2 2 2" xfId="7797"/>
    <cellStyle name="Milliers 4 2 4 3 2 2 3" xfId="5637"/>
    <cellStyle name="Milliers 4 2 4 3 2 3" xfId="2037"/>
    <cellStyle name="Milliers 4 2 4 3 2 3 2" xfId="4197"/>
    <cellStyle name="Milliers 4 2 4 3 2 3 2 2" xfId="8517"/>
    <cellStyle name="Milliers 4 2 4 3 2 3 3" xfId="6357"/>
    <cellStyle name="Milliers 4 2 4 3 2 4" xfId="2757"/>
    <cellStyle name="Milliers 4 2 4 3 2 4 2" xfId="7077"/>
    <cellStyle name="Milliers 4 2 4 3 2 5" xfId="4917"/>
    <cellStyle name="Milliers 4 2 4 3 3" xfId="957"/>
    <cellStyle name="Milliers 4 2 4 3 3 2" xfId="3117"/>
    <cellStyle name="Milliers 4 2 4 3 3 2 2" xfId="7437"/>
    <cellStyle name="Milliers 4 2 4 3 3 3" xfId="5277"/>
    <cellStyle name="Milliers 4 2 4 3 4" xfId="1677"/>
    <cellStyle name="Milliers 4 2 4 3 4 2" xfId="3837"/>
    <cellStyle name="Milliers 4 2 4 3 4 2 2" xfId="8157"/>
    <cellStyle name="Milliers 4 2 4 3 4 3" xfId="5997"/>
    <cellStyle name="Milliers 4 2 4 3 5" xfId="2397"/>
    <cellStyle name="Milliers 4 2 4 3 5 2" xfId="6717"/>
    <cellStyle name="Milliers 4 2 4 3 6" xfId="4557"/>
    <cellStyle name="Milliers 4 2 4 4" xfId="417"/>
    <cellStyle name="Milliers 4 2 4 4 2" xfId="1137"/>
    <cellStyle name="Milliers 4 2 4 4 2 2" xfId="3297"/>
    <cellStyle name="Milliers 4 2 4 4 2 2 2" xfId="7617"/>
    <cellStyle name="Milliers 4 2 4 4 2 3" xfId="5457"/>
    <cellStyle name="Milliers 4 2 4 4 3" xfId="1857"/>
    <cellStyle name="Milliers 4 2 4 4 3 2" xfId="4017"/>
    <cellStyle name="Milliers 4 2 4 4 3 2 2" xfId="8337"/>
    <cellStyle name="Milliers 4 2 4 4 3 3" xfId="6177"/>
    <cellStyle name="Milliers 4 2 4 4 4" xfId="2577"/>
    <cellStyle name="Milliers 4 2 4 4 4 2" xfId="6897"/>
    <cellStyle name="Milliers 4 2 4 4 5" xfId="4737"/>
    <cellStyle name="Milliers 4 2 4 5" xfId="777"/>
    <cellStyle name="Milliers 4 2 4 5 2" xfId="2937"/>
    <cellStyle name="Milliers 4 2 4 5 2 2" xfId="7257"/>
    <cellStyle name="Milliers 4 2 4 5 3" xfId="5097"/>
    <cellStyle name="Milliers 4 2 4 6" xfId="1497"/>
    <cellStyle name="Milliers 4 2 4 6 2" xfId="3657"/>
    <cellStyle name="Milliers 4 2 4 6 2 2" xfId="7977"/>
    <cellStyle name="Milliers 4 2 4 6 3" xfId="5817"/>
    <cellStyle name="Milliers 4 2 4 7" xfId="2217"/>
    <cellStyle name="Milliers 4 2 4 7 2" xfId="6537"/>
    <cellStyle name="Milliers 4 2 4 8" xfId="4377"/>
    <cellStyle name="Milliers 4 2 5" xfId="102"/>
    <cellStyle name="Milliers 4 2 5 2" xfId="282"/>
    <cellStyle name="Milliers 4 2 5 2 2" xfId="642"/>
    <cellStyle name="Milliers 4 2 5 2 2 2" xfId="1362"/>
    <cellStyle name="Milliers 4 2 5 2 2 2 2" xfId="3522"/>
    <cellStyle name="Milliers 4 2 5 2 2 2 2 2" xfId="7842"/>
    <cellStyle name="Milliers 4 2 5 2 2 2 3" xfId="5682"/>
    <cellStyle name="Milliers 4 2 5 2 2 3" xfId="2082"/>
    <cellStyle name="Milliers 4 2 5 2 2 3 2" xfId="4242"/>
    <cellStyle name="Milliers 4 2 5 2 2 3 2 2" xfId="8562"/>
    <cellStyle name="Milliers 4 2 5 2 2 3 3" xfId="6402"/>
    <cellStyle name="Milliers 4 2 5 2 2 4" xfId="2802"/>
    <cellStyle name="Milliers 4 2 5 2 2 4 2" xfId="7122"/>
    <cellStyle name="Milliers 4 2 5 2 2 5" xfId="4962"/>
    <cellStyle name="Milliers 4 2 5 2 3" xfId="1002"/>
    <cellStyle name="Milliers 4 2 5 2 3 2" xfId="3162"/>
    <cellStyle name="Milliers 4 2 5 2 3 2 2" xfId="7482"/>
    <cellStyle name="Milliers 4 2 5 2 3 3" xfId="5322"/>
    <cellStyle name="Milliers 4 2 5 2 4" xfId="1722"/>
    <cellStyle name="Milliers 4 2 5 2 4 2" xfId="3882"/>
    <cellStyle name="Milliers 4 2 5 2 4 2 2" xfId="8202"/>
    <cellStyle name="Milliers 4 2 5 2 4 3" xfId="6042"/>
    <cellStyle name="Milliers 4 2 5 2 5" xfId="2442"/>
    <cellStyle name="Milliers 4 2 5 2 5 2" xfId="6762"/>
    <cellStyle name="Milliers 4 2 5 2 6" xfId="4602"/>
    <cellStyle name="Milliers 4 2 5 3" xfId="462"/>
    <cellStyle name="Milliers 4 2 5 3 2" xfId="1182"/>
    <cellStyle name="Milliers 4 2 5 3 2 2" xfId="3342"/>
    <cellStyle name="Milliers 4 2 5 3 2 2 2" xfId="7662"/>
    <cellStyle name="Milliers 4 2 5 3 2 3" xfId="5502"/>
    <cellStyle name="Milliers 4 2 5 3 3" xfId="1902"/>
    <cellStyle name="Milliers 4 2 5 3 3 2" xfId="4062"/>
    <cellStyle name="Milliers 4 2 5 3 3 2 2" xfId="8382"/>
    <cellStyle name="Milliers 4 2 5 3 3 3" xfId="6222"/>
    <cellStyle name="Milliers 4 2 5 3 4" xfId="2622"/>
    <cellStyle name="Milliers 4 2 5 3 4 2" xfId="6942"/>
    <cellStyle name="Milliers 4 2 5 3 5" xfId="4782"/>
    <cellStyle name="Milliers 4 2 5 4" xfId="822"/>
    <cellStyle name="Milliers 4 2 5 4 2" xfId="2982"/>
    <cellStyle name="Milliers 4 2 5 4 2 2" xfId="7302"/>
    <cellStyle name="Milliers 4 2 5 4 3" xfId="5142"/>
    <cellStyle name="Milliers 4 2 5 5" xfId="1542"/>
    <cellStyle name="Milliers 4 2 5 5 2" xfId="3702"/>
    <cellStyle name="Milliers 4 2 5 5 2 2" xfId="8022"/>
    <cellStyle name="Milliers 4 2 5 5 3" xfId="5862"/>
    <cellStyle name="Milliers 4 2 5 6" xfId="2262"/>
    <cellStyle name="Milliers 4 2 5 6 2" xfId="6582"/>
    <cellStyle name="Milliers 4 2 5 7" xfId="4422"/>
    <cellStyle name="Milliers 4 2 6" xfId="192"/>
    <cellStyle name="Milliers 4 2 6 2" xfId="552"/>
    <cellStyle name="Milliers 4 2 6 2 2" xfId="1272"/>
    <cellStyle name="Milliers 4 2 6 2 2 2" xfId="3432"/>
    <cellStyle name="Milliers 4 2 6 2 2 2 2" xfId="7752"/>
    <cellStyle name="Milliers 4 2 6 2 2 3" xfId="5592"/>
    <cellStyle name="Milliers 4 2 6 2 3" xfId="1992"/>
    <cellStyle name="Milliers 4 2 6 2 3 2" xfId="4152"/>
    <cellStyle name="Milliers 4 2 6 2 3 2 2" xfId="8472"/>
    <cellStyle name="Milliers 4 2 6 2 3 3" xfId="6312"/>
    <cellStyle name="Milliers 4 2 6 2 4" xfId="2712"/>
    <cellStyle name="Milliers 4 2 6 2 4 2" xfId="7032"/>
    <cellStyle name="Milliers 4 2 6 2 5" xfId="4872"/>
    <cellStyle name="Milliers 4 2 6 3" xfId="912"/>
    <cellStyle name="Milliers 4 2 6 3 2" xfId="3072"/>
    <cellStyle name="Milliers 4 2 6 3 2 2" xfId="7392"/>
    <cellStyle name="Milliers 4 2 6 3 3" xfId="5232"/>
    <cellStyle name="Milliers 4 2 6 4" xfId="1632"/>
    <cellStyle name="Milliers 4 2 6 4 2" xfId="3792"/>
    <cellStyle name="Milliers 4 2 6 4 2 2" xfId="8112"/>
    <cellStyle name="Milliers 4 2 6 4 3" xfId="5952"/>
    <cellStyle name="Milliers 4 2 6 5" xfId="2352"/>
    <cellStyle name="Milliers 4 2 6 5 2" xfId="6672"/>
    <cellStyle name="Milliers 4 2 6 6" xfId="4512"/>
    <cellStyle name="Milliers 4 2 7" xfId="372"/>
    <cellStyle name="Milliers 4 2 7 2" xfId="1092"/>
    <cellStyle name="Milliers 4 2 7 2 2" xfId="3252"/>
    <cellStyle name="Milliers 4 2 7 2 2 2" xfId="7572"/>
    <cellStyle name="Milliers 4 2 7 2 3" xfId="5412"/>
    <cellStyle name="Milliers 4 2 7 3" xfId="1812"/>
    <cellStyle name="Milliers 4 2 7 3 2" xfId="3972"/>
    <cellStyle name="Milliers 4 2 7 3 2 2" xfId="8292"/>
    <cellStyle name="Milliers 4 2 7 3 3" xfId="6132"/>
    <cellStyle name="Milliers 4 2 7 4" xfId="2532"/>
    <cellStyle name="Milliers 4 2 7 4 2" xfId="6852"/>
    <cellStyle name="Milliers 4 2 7 5" xfId="4692"/>
    <cellStyle name="Milliers 4 2 8" xfId="732"/>
    <cellStyle name="Milliers 4 2 8 2" xfId="2892"/>
    <cellStyle name="Milliers 4 2 8 2 2" xfId="7212"/>
    <cellStyle name="Milliers 4 2 8 3" xfId="5052"/>
    <cellStyle name="Milliers 4 2 9" xfId="1452"/>
    <cellStyle name="Milliers 4 2 9 2" xfId="3612"/>
    <cellStyle name="Milliers 4 2 9 2 2" xfId="7932"/>
    <cellStyle name="Milliers 4 2 9 3" xfId="5772"/>
    <cellStyle name="Milliers 4 3" xfId="21"/>
    <cellStyle name="Milliers 4 3 2" xfId="66"/>
    <cellStyle name="Milliers 4 3 2 2" xfId="156"/>
    <cellStyle name="Milliers 4 3 2 2 2" xfId="336"/>
    <cellStyle name="Milliers 4 3 2 2 2 2" xfId="696"/>
    <cellStyle name="Milliers 4 3 2 2 2 2 2" xfId="1416"/>
    <cellStyle name="Milliers 4 3 2 2 2 2 2 2" xfId="3576"/>
    <cellStyle name="Milliers 4 3 2 2 2 2 2 2 2" xfId="7896"/>
    <cellStyle name="Milliers 4 3 2 2 2 2 2 3" xfId="5736"/>
    <cellStyle name="Milliers 4 3 2 2 2 2 3" xfId="2136"/>
    <cellStyle name="Milliers 4 3 2 2 2 2 3 2" xfId="4296"/>
    <cellStyle name="Milliers 4 3 2 2 2 2 3 2 2" xfId="8616"/>
    <cellStyle name="Milliers 4 3 2 2 2 2 3 3" xfId="6456"/>
    <cellStyle name="Milliers 4 3 2 2 2 2 4" xfId="2856"/>
    <cellStyle name="Milliers 4 3 2 2 2 2 4 2" xfId="7176"/>
    <cellStyle name="Milliers 4 3 2 2 2 2 5" xfId="5016"/>
    <cellStyle name="Milliers 4 3 2 2 2 3" xfId="1056"/>
    <cellStyle name="Milliers 4 3 2 2 2 3 2" xfId="3216"/>
    <cellStyle name="Milliers 4 3 2 2 2 3 2 2" xfId="7536"/>
    <cellStyle name="Milliers 4 3 2 2 2 3 3" xfId="5376"/>
    <cellStyle name="Milliers 4 3 2 2 2 4" xfId="1776"/>
    <cellStyle name="Milliers 4 3 2 2 2 4 2" xfId="3936"/>
    <cellStyle name="Milliers 4 3 2 2 2 4 2 2" xfId="8256"/>
    <cellStyle name="Milliers 4 3 2 2 2 4 3" xfId="6096"/>
    <cellStyle name="Milliers 4 3 2 2 2 5" xfId="2496"/>
    <cellStyle name="Milliers 4 3 2 2 2 5 2" xfId="6816"/>
    <cellStyle name="Milliers 4 3 2 2 2 6" xfId="4656"/>
    <cellStyle name="Milliers 4 3 2 2 3" xfId="516"/>
    <cellStyle name="Milliers 4 3 2 2 3 2" xfId="1236"/>
    <cellStyle name="Milliers 4 3 2 2 3 2 2" xfId="3396"/>
    <cellStyle name="Milliers 4 3 2 2 3 2 2 2" xfId="7716"/>
    <cellStyle name="Milliers 4 3 2 2 3 2 3" xfId="5556"/>
    <cellStyle name="Milliers 4 3 2 2 3 3" xfId="1956"/>
    <cellStyle name="Milliers 4 3 2 2 3 3 2" xfId="4116"/>
    <cellStyle name="Milliers 4 3 2 2 3 3 2 2" xfId="8436"/>
    <cellStyle name="Milliers 4 3 2 2 3 3 3" xfId="6276"/>
    <cellStyle name="Milliers 4 3 2 2 3 4" xfId="2676"/>
    <cellStyle name="Milliers 4 3 2 2 3 4 2" xfId="6996"/>
    <cellStyle name="Milliers 4 3 2 2 3 5" xfId="4836"/>
    <cellStyle name="Milliers 4 3 2 2 4" xfId="876"/>
    <cellStyle name="Milliers 4 3 2 2 4 2" xfId="3036"/>
    <cellStyle name="Milliers 4 3 2 2 4 2 2" xfId="7356"/>
    <cellStyle name="Milliers 4 3 2 2 4 3" xfId="5196"/>
    <cellStyle name="Milliers 4 3 2 2 5" xfId="1596"/>
    <cellStyle name="Milliers 4 3 2 2 5 2" xfId="3756"/>
    <cellStyle name="Milliers 4 3 2 2 5 2 2" xfId="8076"/>
    <cellStyle name="Milliers 4 3 2 2 5 3" xfId="5916"/>
    <cellStyle name="Milliers 4 3 2 2 6" xfId="2316"/>
    <cellStyle name="Milliers 4 3 2 2 6 2" xfId="6636"/>
    <cellStyle name="Milliers 4 3 2 2 7" xfId="4476"/>
    <cellStyle name="Milliers 4 3 2 3" xfId="246"/>
    <cellStyle name="Milliers 4 3 2 3 2" xfId="606"/>
    <cellStyle name="Milliers 4 3 2 3 2 2" xfId="1326"/>
    <cellStyle name="Milliers 4 3 2 3 2 2 2" xfId="3486"/>
    <cellStyle name="Milliers 4 3 2 3 2 2 2 2" xfId="7806"/>
    <cellStyle name="Milliers 4 3 2 3 2 2 3" xfId="5646"/>
    <cellStyle name="Milliers 4 3 2 3 2 3" xfId="2046"/>
    <cellStyle name="Milliers 4 3 2 3 2 3 2" xfId="4206"/>
    <cellStyle name="Milliers 4 3 2 3 2 3 2 2" xfId="8526"/>
    <cellStyle name="Milliers 4 3 2 3 2 3 3" xfId="6366"/>
    <cellStyle name="Milliers 4 3 2 3 2 4" xfId="2766"/>
    <cellStyle name="Milliers 4 3 2 3 2 4 2" xfId="7086"/>
    <cellStyle name="Milliers 4 3 2 3 2 5" xfId="4926"/>
    <cellStyle name="Milliers 4 3 2 3 3" xfId="966"/>
    <cellStyle name="Milliers 4 3 2 3 3 2" xfId="3126"/>
    <cellStyle name="Milliers 4 3 2 3 3 2 2" xfId="7446"/>
    <cellStyle name="Milliers 4 3 2 3 3 3" xfId="5286"/>
    <cellStyle name="Milliers 4 3 2 3 4" xfId="1686"/>
    <cellStyle name="Milliers 4 3 2 3 4 2" xfId="3846"/>
    <cellStyle name="Milliers 4 3 2 3 4 2 2" xfId="8166"/>
    <cellStyle name="Milliers 4 3 2 3 4 3" xfId="6006"/>
    <cellStyle name="Milliers 4 3 2 3 5" xfId="2406"/>
    <cellStyle name="Milliers 4 3 2 3 5 2" xfId="6726"/>
    <cellStyle name="Milliers 4 3 2 3 6" xfId="4566"/>
    <cellStyle name="Milliers 4 3 2 4" xfId="426"/>
    <cellStyle name="Milliers 4 3 2 4 2" xfId="1146"/>
    <cellStyle name="Milliers 4 3 2 4 2 2" xfId="3306"/>
    <cellStyle name="Milliers 4 3 2 4 2 2 2" xfId="7626"/>
    <cellStyle name="Milliers 4 3 2 4 2 3" xfId="5466"/>
    <cellStyle name="Milliers 4 3 2 4 3" xfId="1866"/>
    <cellStyle name="Milliers 4 3 2 4 3 2" xfId="4026"/>
    <cellStyle name="Milliers 4 3 2 4 3 2 2" xfId="8346"/>
    <cellStyle name="Milliers 4 3 2 4 3 3" xfId="6186"/>
    <cellStyle name="Milliers 4 3 2 4 4" xfId="2586"/>
    <cellStyle name="Milliers 4 3 2 4 4 2" xfId="6906"/>
    <cellStyle name="Milliers 4 3 2 4 5" xfId="4746"/>
    <cellStyle name="Milliers 4 3 2 5" xfId="786"/>
    <cellStyle name="Milliers 4 3 2 5 2" xfId="2946"/>
    <cellStyle name="Milliers 4 3 2 5 2 2" xfId="7266"/>
    <cellStyle name="Milliers 4 3 2 5 3" xfId="5106"/>
    <cellStyle name="Milliers 4 3 2 6" xfId="1506"/>
    <cellStyle name="Milliers 4 3 2 6 2" xfId="3666"/>
    <cellStyle name="Milliers 4 3 2 6 2 2" xfId="7986"/>
    <cellStyle name="Milliers 4 3 2 6 3" xfId="5826"/>
    <cellStyle name="Milliers 4 3 2 7" xfId="2226"/>
    <cellStyle name="Milliers 4 3 2 7 2" xfId="6546"/>
    <cellStyle name="Milliers 4 3 2 8" xfId="4386"/>
    <cellStyle name="Milliers 4 3 3" xfId="111"/>
    <cellStyle name="Milliers 4 3 3 2" xfId="291"/>
    <cellStyle name="Milliers 4 3 3 2 2" xfId="651"/>
    <cellStyle name="Milliers 4 3 3 2 2 2" xfId="1371"/>
    <cellStyle name="Milliers 4 3 3 2 2 2 2" xfId="3531"/>
    <cellStyle name="Milliers 4 3 3 2 2 2 2 2" xfId="7851"/>
    <cellStyle name="Milliers 4 3 3 2 2 2 3" xfId="5691"/>
    <cellStyle name="Milliers 4 3 3 2 2 3" xfId="2091"/>
    <cellStyle name="Milliers 4 3 3 2 2 3 2" xfId="4251"/>
    <cellStyle name="Milliers 4 3 3 2 2 3 2 2" xfId="8571"/>
    <cellStyle name="Milliers 4 3 3 2 2 3 3" xfId="6411"/>
    <cellStyle name="Milliers 4 3 3 2 2 4" xfId="2811"/>
    <cellStyle name="Milliers 4 3 3 2 2 4 2" xfId="7131"/>
    <cellStyle name="Milliers 4 3 3 2 2 5" xfId="4971"/>
    <cellStyle name="Milliers 4 3 3 2 3" xfId="1011"/>
    <cellStyle name="Milliers 4 3 3 2 3 2" xfId="3171"/>
    <cellStyle name="Milliers 4 3 3 2 3 2 2" xfId="7491"/>
    <cellStyle name="Milliers 4 3 3 2 3 3" xfId="5331"/>
    <cellStyle name="Milliers 4 3 3 2 4" xfId="1731"/>
    <cellStyle name="Milliers 4 3 3 2 4 2" xfId="3891"/>
    <cellStyle name="Milliers 4 3 3 2 4 2 2" xfId="8211"/>
    <cellStyle name="Milliers 4 3 3 2 4 3" xfId="6051"/>
    <cellStyle name="Milliers 4 3 3 2 5" xfId="2451"/>
    <cellStyle name="Milliers 4 3 3 2 5 2" xfId="6771"/>
    <cellStyle name="Milliers 4 3 3 2 6" xfId="4611"/>
    <cellStyle name="Milliers 4 3 3 3" xfId="471"/>
    <cellStyle name="Milliers 4 3 3 3 2" xfId="1191"/>
    <cellStyle name="Milliers 4 3 3 3 2 2" xfId="3351"/>
    <cellStyle name="Milliers 4 3 3 3 2 2 2" xfId="7671"/>
    <cellStyle name="Milliers 4 3 3 3 2 3" xfId="5511"/>
    <cellStyle name="Milliers 4 3 3 3 3" xfId="1911"/>
    <cellStyle name="Milliers 4 3 3 3 3 2" xfId="4071"/>
    <cellStyle name="Milliers 4 3 3 3 3 2 2" xfId="8391"/>
    <cellStyle name="Milliers 4 3 3 3 3 3" xfId="6231"/>
    <cellStyle name="Milliers 4 3 3 3 4" xfId="2631"/>
    <cellStyle name="Milliers 4 3 3 3 4 2" xfId="6951"/>
    <cellStyle name="Milliers 4 3 3 3 5" xfId="4791"/>
    <cellStyle name="Milliers 4 3 3 4" xfId="831"/>
    <cellStyle name="Milliers 4 3 3 4 2" xfId="2991"/>
    <cellStyle name="Milliers 4 3 3 4 2 2" xfId="7311"/>
    <cellStyle name="Milliers 4 3 3 4 3" xfId="5151"/>
    <cellStyle name="Milliers 4 3 3 5" xfId="1551"/>
    <cellStyle name="Milliers 4 3 3 5 2" xfId="3711"/>
    <cellStyle name="Milliers 4 3 3 5 2 2" xfId="8031"/>
    <cellStyle name="Milliers 4 3 3 5 3" xfId="5871"/>
    <cellStyle name="Milliers 4 3 3 6" xfId="2271"/>
    <cellStyle name="Milliers 4 3 3 6 2" xfId="6591"/>
    <cellStyle name="Milliers 4 3 3 7" xfId="4431"/>
    <cellStyle name="Milliers 4 3 4" xfId="201"/>
    <cellStyle name="Milliers 4 3 4 2" xfId="561"/>
    <cellStyle name="Milliers 4 3 4 2 2" xfId="1281"/>
    <cellStyle name="Milliers 4 3 4 2 2 2" xfId="3441"/>
    <cellStyle name="Milliers 4 3 4 2 2 2 2" xfId="7761"/>
    <cellStyle name="Milliers 4 3 4 2 2 3" xfId="5601"/>
    <cellStyle name="Milliers 4 3 4 2 3" xfId="2001"/>
    <cellStyle name="Milliers 4 3 4 2 3 2" xfId="4161"/>
    <cellStyle name="Milliers 4 3 4 2 3 2 2" xfId="8481"/>
    <cellStyle name="Milliers 4 3 4 2 3 3" xfId="6321"/>
    <cellStyle name="Milliers 4 3 4 2 4" xfId="2721"/>
    <cellStyle name="Milliers 4 3 4 2 4 2" xfId="7041"/>
    <cellStyle name="Milliers 4 3 4 2 5" xfId="4881"/>
    <cellStyle name="Milliers 4 3 4 3" xfId="921"/>
    <cellStyle name="Milliers 4 3 4 3 2" xfId="3081"/>
    <cellStyle name="Milliers 4 3 4 3 2 2" xfId="7401"/>
    <cellStyle name="Milliers 4 3 4 3 3" xfId="5241"/>
    <cellStyle name="Milliers 4 3 4 4" xfId="1641"/>
    <cellStyle name="Milliers 4 3 4 4 2" xfId="3801"/>
    <cellStyle name="Milliers 4 3 4 4 2 2" xfId="8121"/>
    <cellStyle name="Milliers 4 3 4 4 3" xfId="5961"/>
    <cellStyle name="Milliers 4 3 4 5" xfId="2361"/>
    <cellStyle name="Milliers 4 3 4 5 2" xfId="6681"/>
    <cellStyle name="Milliers 4 3 4 6" xfId="4521"/>
    <cellStyle name="Milliers 4 3 5" xfId="381"/>
    <cellStyle name="Milliers 4 3 5 2" xfId="1101"/>
    <cellStyle name="Milliers 4 3 5 2 2" xfId="3261"/>
    <cellStyle name="Milliers 4 3 5 2 2 2" xfId="7581"/>
    <cellStyle name="Milliers 4 3 5 2 3" xfId="5421"/>
    <cellStyle name="Milliers 4 3 5 3" xfId="1821"/>
    <cellStyle name="Milliers 4 3 5 3 2" xfId="3981"/>
    <cellStyle name="Milliers 4 3 5 3 2 2" xfId="8301"/>
    <cellStyle name="Milliers 4 3 5 3 3" xfId="6141"/>
    <cellStyle name="Milliers 4 3 5 4" xfId="2541"/>
    <cellStyle name="Milliers 4 3 5 4 2" xfId="6861"/>
    <cellStyle name="Milliers 4 3 5 5" xfId="4701"/>
    <cellStyle name="Milliers 4 3 6" xfId="741"/>
    <cellStyle name="Milliers 4 3 6 2" xfId="2901"/>
    <cellStyle name="Milliers 4 3 6 2 2" xfId="7221"/>
    <cellStyle name="Milliers 4 3 6 3" xfId="5061"/>
    <cellStyle name="Milliers 4 3 7" xfId="1461"/>
    <cellStyle name="Milliers 4 3 7 2" xfId="3621"/>
    <cellStyle name="Milliers 4 3 7 2 2" xfId="7941"/>
    <cellStyle name="Milliers 4 3 7 3" xfId="5781"/>
    <cellStyle name="Milliers 4 3 8" xfId="2181"/>
    <cellStyle name="Milliers 4 3 8 2" xfId="6501"/>
    <cellStyle name="Milliers 4 3 9" xfId="4341"/>
    <cellStyle name="Milliers 4 4" xfId="36"/>
    <cellStyle name="Milliers 4 4 2" xfId="81"/>
    <cellStyle name="Milliers 4 4 2 2" xfId="171"/>
    <cellStyle name="Milliers 4 4 2 2 2" xfId="351"/>
    <cellStyle name="Milliers 4 4 2 2 2 2" xfId="711"/>
    <cellStyle name="Milliers 4 4 2 2 2 2 2" xfId="1431"/>
    <cellStyle name="Milliers 4 4 2 2 2 2 2 2" xfId="3591"/>
    <cellStyle name="Milliers 4 4 2 2 2 2 2 2 2" xfId="7911"/>
    <cellStyle name="Milliers 4 4 2 2 2 2 2 3" xfId="5751"/>
    <cellStyle name="Milliers 4 4 2 2 2 2 3" xfId="2151"/>
    <cellStyle name="Milliers 4 4 2 2 2 2 3 2" xfId="4311"/>
    <cellStyle name="Milliers 4 4 2 2 2 2 3 2 2" xfId="8631"/>
    <cellStyle name="Milliers 4 4 2 2 2 2 3 3" xfId="6471"/>
    <cellStyle name="Milliers 4 4 2 2 2 2 4" xfId="2871"/>
    <cellStyle name="Milliers 4 4 2 2 2 2 4 2" xfId="7191"/>
    <cellStyle name="Milliers 4 4 2 2 2 2 5" xfId="5031"/>
    <cellStyle name="Milliers 4 4 2 2 2 3" xfId="1071"/>
    <cellStyle name="Milliers 4 4 2 2 2 3 2" xfId="3231"/>
    <cellStyle name="Milliers 4 4 2 2 2 3 2 2" xfId="7551"/>
    <cellStyle name="Milliers 4 4 2 2 2 3 3" xfId="5391"/>
    <cellStyle name="Milliers 4 4 2 2 2 4" xfId="1791"/>
    <cellStyle name="Milliers 4 4 2 2 2 4 2" xfId="3951"/>
    <cellStyle name="Milliers 4 4 2 2 2 4 2 2" xfId="8271"/>
    <cellStyle name="Milliers 4 4 2 2 2 4 3" xfId="6111"/>
    <cellStyle name="Milliers 4 4 2 2 2 5" xfId="2511"/>
    <cellStyle name="Milliers 4 4 2 2 2 5 2" xfId="6831"/>
    <cellStyle name="Milliers 4 4 2 2 2 6" xfId="4671"/>
    <cellStyle name="Milliers 4 4 2 2 3" xfId="531"/>
    <cellStyle name="Milliers 4 4 2 2 3 2" xfId="1251"/>
    <cellStyle name="Milliers 4 4 2 2 3 2 2" xfId="3411"/>
    <cellStyle name="Milliers 4 4 2 2 3 2 2 2" xfId="7731"/>
    <cellStyle name="Milliers 4 4 2 2 3 2 3" xfId="5571"/>
    <cellStyle name="Milliers 4 4 2 2 3 3" xfId="1971"/>
    <cellStyle name="Milliers 4 4 2 2 3 3 2" xfId="4131"/>
    <cellStyle name="Milliers 4 4 2 2 3 3 2 2" xfId="8451"/>
    <cellStyle name="Milliers 4 4 2 2 3 3 3" xfId="6291"/>
    <cellStyle name="Milliers 4 4 2 2 3 4" xfId="2691"/>
    <cellStyle name="Milliers 4 4 2 2 3 4 2" xfId="7011"/>
    <cellStyle name="Milliers 4 4 2 2 3 5" xfId="4851"/>
    <cellStyle name="Milliers 4 4 2 2 4" xfId="891"/>
    <cellStyle name="Milliers 4 4 2 2 4 2" xfId="3051"/>
    <cellStyle name="Milliers 4 4 2 2 4 2 2" xfId="7371"/>
    <cellStyle name="Milliers 4 4 2 2 4 3" xfId="5211"/>
    <cellStyle name="Milliers 4 4 2 2 5" xfId="1611"/>
    <cellStyle name="Milliers 4 4 2 2 5 2" xfId="3771"/>
    <cellStyle name="Milliers 4 4 2 2 5 2 2" xfId="8091"/>
    <cellStyle name="Milliers 4 4 2 2 5 3" xfId="5931"/>
    <cellStyle name="Milliers 4 4 2 2 6" xfId="2331"/>
    <cellStyle name="Milliers 4 4 2 2 6 2" xfId="6651"/>
    <cellStyle name="Milliers 4 4 2 2 7" xfId="4491"/>
    <cellStyle name="Milliers 4 4 2 3" xfId="261"/>
    <cellStyle name="Milliers 4 4 2 3 2" xfId="621"/>
    <cellStyle name="Milliers 4 4 2 3 2 2" xfId="1341"/>
    <cellStyle name="Milliers 4 4 2 3 2 2 2" xfId="3501"/>
    <cellStyle name="Milliers 4 4 2 3 2 2 2 2" xfId="7821"/>
    <cellStyle name="Milliers 4 4 2 3 2 2 3" xfId="5661"/>
    <cellStyle name="Milliers 4 4 2 3 2 3" xfId="2061"/>
    <cellStyle name="Milliers 4 4 2 3 2 3 2" xfId="4221"/>
    <cellStyle name="Milliers 4 4 2 3 2 3 2 2" xfId="8541"/>
    <cellStyle name="Milliers 4 4 2 3 2 3 3" xfId="6381"/>
    <cellStyle name="Milliers 4 4 2 3 2 4" xfId="2781"/>
    <cellStyle name="Milliers 4 4 2 3 2 4 2" xfId="7101"/>
    <cellStyle name="Milliers 4 4 2 3 2 5" xfId="4941"/>
    <cellStyle name="Milliers 4 4 2 3 3" xfId="981"/>
    <cellStyle name="Milliers 4 4 2 3 3 2" xfId="3141"/>
    <cellStyle name="Milliers 4 4 2 3 3 2 2" xfId="7461"/>
    <cellStyle name="Milliers 4 4 2 3 3 3" xfId="5301"/>
    <cellStyle name="Milliers 4 4 2 3 4" xfId="1701"/>
    <cellStyle name="Milliers 4 4 2 3 4 2" xfId="3861"/>
    <cellStyle name="Milliers 4 4 2 3 4 2 2" xfId="8181"/>
    <cellStyle name="Milliers 4 4 2 3 4 3" xfId="6021"/>
    <cellStyle name="Milliers 4 4 2 3 5" xfId="2421"/>
    <cellStyle name="Milliers 4 4 2 3 5 2" xfId="6741"/>
    <cellStyle name="Milliers 4 4 2 3 6" xfId="4581"/>
    <cellStyle name="Milliers 4 4 2 4" xfId="441"/>
    <cellStyle name="Milliers 4 4 2 4 2" xfId="1161"/>
    <cellStyle name="Milliers 4 4 2 4 2 2" xfId="3321"/>
    <cellStyle name="Milliers 4 4 2 4 2 2 2" xfId="7641"/>
    <cellStyle name="Milliers 4 4 2 4 2 3" xfId="5481"/>
    <cellStyle name="Milliers 4 4 2 4 3" xfId="1881"/>
    <cellStyle name="Milliers 4 4 2 4 3 2" xfId="4041"/>
    <cellStyle name="Milliers 4 4 2 4 3 2 2" xfId="8361"/>
    <cellStyle name="Milliers 4 4 2 4 3 3" xfId="6201"/>
    <cellStyle name="Milliers 4 4 2 4 4" xfId="2601"/>
    <cellStyle name="Milliers 4 4 2 4 4 2" xfId="6921"/>
    <cellStyle name="Milliers 4 4 2 4 5" xfId="4761"/>
    <cellStyle name="Milliers 4 4 2 5" xfId="801"/>
    <cellStyle name="Milliers 4 4 2 5 2" xfId="2961"/>
    <cellStyle name="Milliers 4 4 2 5 2 2" xfId="7281"/>
    <cellStyle name="Milliers 4 4 2 5 3" xfId="5121"/>
    <cellStyle name="Milliers 4 4 2 6" xfId="1521"/>
    <cellStyle name="Milliers 4 4 2 6 2" xfId="3681"/>
    <cellStyle name="Milliers 4 4 2 6 2 2" xfId="8001"/>
    <cellStyle name="Milliers 4 4 2 6 3" xfId="5841"/>
    <cellStyle name="Milliers 4 4 2 7" xfId="2241"/>
    <cellStyle name="Milliers 4 4 2 7 2" xfId="6561"/>
    <cellStyle name="Milliers 4 4 2 8" xfId="4401"/>
    <cellStyle name="Milliers 4 4 3" xfId="126"/>
    <cellStyle name="Milliers 4 4 3 2" xfId="306"/>
    <cellStyle name="Milliers 4 4 3 2 2" xfId="666"/>
    <cellStyle name="Milliers 4 4 3 2 2 2" xfId="1386"/>
    <cellStyle name="Milliers 4 4 3 2 2 2 2" xfId="3546"/>
    <cellStyle name="Milliers 4 4 3 2 2 2 2 2" xfId="7866"/>
    <cellStyle name="Milliers 4 4 3 2 2 2 3" xfId="5706"/>
    <cellStyle name="Milliers 4 4 3 2 2 3" xfId="2106"/>
    <cellStyle name="Milliers 4 4 3 2 2 3 2" xfId="4266"/>
    <cellStyle name="Milliers 4 4 3 2 2 3 2 2" xfId="8586"/>
    <cellStyle name="Milliers 4 4 3 2 2 3 3" xfId="6426"/>
    <cellStyle name="Milliers 4 4 3 2 2 4" xfId="2826"/>
    <cellStyle name="Milliers 4 4 3 2 2 4 2" xfId="7146"/>
    <cellStyle name="Milliers 4 4 3 2 2 5" xfId="4986"/>
    <cellStyle name="Milliers 4 4 3 2 3" xfId="1026"/>
    <cellStyle name="Milliers 4 4 3 2 3 2" xfId="3186"/>
    <cellStyle name="Milliers 4 4 3 2 3 2 2" xfId="7506"/>
    <cellStyle name="Milliers 4 4 3 2 3 3" xfId="5346"/>
    <cellStyle name="Milliers 4 4 3 2 4" xfId="1746"/>
    <cellStyle name="Milliers 4 4 3 2 4 2" xfId="3906"/>
    <cellStyle name="Milliers 4 4 3 2 4 2 2" xfId="8226"/>
    <cellStyle name="Milliers 4 4 3 2 4 3" xfId="6066"/>
    <cellStyle name="Milliers 4 4 3 2 5" xfId="2466"/>
    <cellStyle name="Milliers 4 4 3 2 5 2" xfId="6786"/>
    <cellStyle name="Milliers 4 4 3 2 6" xfId="4626"/>
    <cellStyle name="Milliers 4 4 3 3" xfId="486"/>
    <cellStyle name="Milliers 4 4 3 3 2" xfId="1206"/>
    <cellStyle name="Milliers 4 4 3 3 2 2" xfId="3366"/>
    <cellStyle name="Milliers 4 4 3 3 2 2 2" xfId="7686"/>
    <cellStyle name="Milliers 4 4 3 3 2 3" xfId="5526"/>
    <cellStyle name="Milliers 4 4 3 3 3" xfId="1926"/>
    <cellStyle name="Milliers 4 4 3 3 3 2" xfId="4086"/>
    <cellStyle name="Milliers 4 4 3 3 3 2 2" xfId="8406"/>
    <cellStyle name="Milliers 4 4 3 3 3 3" xfId="6246"/>
    <cellStyle name="Milliers 4 4 3 3 4" xfId="2646"/>
    <cellStyle name="Milliers 4 4 3 3 4 2" xfId="6966"/>
    <cellStyle name="Milliers 4 4 3 3 5" xfId="4806"/>
    <cellStyle name="Milliers 4 4 3 4" xfId="846"/>
    <cellStyle name="Milliers 4 4 3 4 2" xfId="3006"/>
    <cellStyle name="Milliers 4 4 3 4 2 2" xfId="7326"/>
    <cellStyle name="Milliers 4 4 3 4 3" xfId="5166"/>
    <cellStyle name="Milliers 4 4 3 5" xfId="1566"/>
    <cellStyle name="Milliers 4 4 3 5 2" xfId="3726"/>
    <cellStyle name="Milliers 4 4 3 5 2 2" xfId="8046"/>
    <cellStyle name="Milliers 4 4 3 5 3" xfId="5886"/>
    <cellStyle name="Milliers 4 4 3 6" xfId="2286"/>
    <cellStyle name="Milliers 4 4 3 6 2" xfId="6606"/>
    <cellStyle name="Milliers 4 4 3 7" xfId="4446"/>
    <cellStyle name="Milliers 4 4 4" xfId="216"/>
    <cellStyle name="Milliers 4 4 4 2" xfId="576"/>
    <cellStyle name="Milliers 4 4 4 2 2" xfId="1296"/>
    <cellStyle name="Milliers 4 4 4 2 2 2" xfId="3456"/>
    <cellStyle name="Milliers 4 4 4 2 2 2 2" xfId="7776"/>
    <cellStyle name="Milliers 4 4 4 2 2 3" xfId="5616"/>
    <cellStyle name="Milliers 4 4 4 2 3" xfId="2016"/>
    <cellStyle name="Milliers 4 4 4 2 3 2" xfId="4176"/>
    <cellStyle name="Milliers 4 4 4 2 3 2 2" xfId="8496"/>
    <cellStyle name="Milliers 4 4 4 2 3 3" xfId="6336"/>
    <cellStyle name="Milliers 4 4 4 2 4" xfId="2736"/>
    <cellStyle name="Milliers 4 4 4 2 4 2" xfId="7056"/>
    <cellStyle name="Milliers 4 4 4 2 5" xfId="4896"/>
    <cellStyle name="Milliers 4 4 4 3" xfId="936"/>
    <cellStyle name="Milliers 4 4 4 3 2" xfId="3096"/>
    <cellStyle name="Milliers 4 4 4 3 2 2" xfId="7416"/>
    <cellStyle name="Milliers 4 4 4 3 3" xfId="5256"/>
    <cellStyle name="Milliers 4 4 4 4" xfId="1656"/>
    <cellStyle name="Milliers 4 4 4 4 2" xfId="3816"/>
    <cellStyle name="Milliers 4 4 4 4 2 2" xfId="8136"/>
    <cellStyle name="Milliers 4 4 4 4 3" xfId="5976"/>
    <cellStyle name="Milliers 4 4 4 5" xfId="2376"/>
    <cellStyle name="Milliers 4 4 4 5 2" xfId="6696"/>
    <cellStyle name="Milliers 4 4 4 6" xfId="4536"/>
    <cellStyle name="Milliers 4 4 5" xfId="396"/>
    <cellStyle name="Milliers 4 4 5 2" xfId="1116"/>
    <cellStyle name="Milliers 4 4 5 2 2" xfId="3276"/>
    <cellStyle name="Milliers 4 4 5 2 2 2" xfId="7596"/>
    <cellStyle name="Milliers 4 4 5 2 3" xfId="5436"/>
    <cellStyle name="Milliers 4 4 5 3" xfId="1836"/>
    <cellStyle name="Milliers 4 4 5 3 2" xfId="3996"/>
    <cellStyle name="Milliers 4 4 5 3 2 2" xfId="8316"/>
    <cellStyle name="Milliers 4 4 5 3 3" xfId="6156"/>
    <cellStyle name="Milliers 4 4 5 4" xfId="2556"/>
    <cellStyle name="Milliers 4 4 5 4 2" xfId="6876"/>
    <cellStyle name="Milliers 4 4 5 5" xfId="4716"/>
    <cellStyle name="Milliers 4 4 6" xfId="756"/>
    <cellStyle name="Milliers 4 4 6 2" xfId="2916"/>
    <cellStyle name="Milliers 4 4 6 2 2" xfId="7236"/>
    <cellStyle name="Milliers 4 4 6 3" xfId="5076"/>
    <cellStyle name="Milliers 4 4 7" xfId="1476"/>
    <cellStyle name="Milliers 4 4 7 2" xfId="3636"/>
    <cellStyle name="Milliers 4 4 7 2 2" xfId="7956"/>
    <cellStyle name="Milliers 4 4 7 3" xfId="5796"/>
    <cellStyle name="Milliers 4 4 8" xfId="2196"/>
    <cellStyle name="Milliers 4 4 8 2" xfId="6516"/>
    <cellStyle name="Milliers 4 4 9" xfId="4356"/>
    <cellStyle name="Milliers 4 5" xfId="51"/>
    <cellStyle name="Milliers 4 5 2" xfId="141"/>
    <cellStyle name="Milliers 4 5 2 2" xfId="321"/>
    <cellStyle name="Milliers 4 5 2 2 2" xfId="681"/>
    <cellStyle name="Milliers 4 5 2 2 2 2" xfId="1401"/>
    <cellStyle name="Milliers 4 5 2 2 2 2 2" xfId="3561"/>
    <cellStyle name="Milliers 4 5 2 2 2 2 2 2" xfId="7881"/>
    <cellStyle name="Milliers 4 5 2 2 2 2 3" xfId="5721"/>
    <cellStyle name="Milliers 4 5 2 2 2 3" xfId="2121"/>
    <cellStyle name="Milliers 4 5 2 2 2 3 2" xfId="4281"/>
    <cellStyle name="Milliers 4 5 2 2 2 3 2 2" xfId="8601"/>
    <cellStyle name="Milliers 4 5 2 2 2 3 3" xfId="6441"/>
    <cellStyle name="Milliers 4 5 2 2 2 4" xfId="2841"/>
    <cellStyle name="Milliers 4 5 2 2 2 4 2" xfId="7161"/>
    <cellStyle name="Milliers 4 5 2 2 2 5" xfId="5001"/>
    <cellStyle name="Milliers 4 5 2 2 3" xfId="1041"/>
    <cellStyle name="Milliers 4 5 2 2 3 2" xfId="3201"/>
    <cellStyle name="Milliers 4 5 2 2 3 2 2" xfId="7521"/>
    <cellStyle name="Milliers 4 5 2 2 3 3" xfId="5361"/>
    <cellStyle name="Milliers 4 5 2 2 4" xfId="1761"/>
    <cellStyle name="Milliers 4 5 2 2 4 2" xfId="3921"/>
    <cellStyle name="Milliers 4 5 2 2 4 2 2" xfId="8241"/>
    <cellStyle name="Milliers 4 5 2 2 4 3" xfId="6081"/>
    <cellStyle name="Milliers 4 5 2 2 5" xfId="2481"/>
    <cellStyle name="Milliers 4 5 2 2 5 2" xfId="6801"/>
    <cellStyle name="Milliers 4 5 2 2 6" xfId="4641"/>
    <cellStyle name="Milliers 4 5 2 3" xfId="501"/>
    <cellStyle name="Milliers 4 5 2 3 2" xfId="1221"/>
    <cellStyle name="Milliers 4 5 2 3 2 2" xfId="3381"/>
    <cellStyle name="Milliers 4 5 2 3 2 2 2" xfId="7701"/>
    <cellStyle name="Milliers 4 5 2 3 2 3" xfId="5541"/>
    <cellStyle name="Milliers 4 5 2 3 3" xfId="1941"/>
    <cellStyle name="Milliers 4 5 2 3 3 2" xfId="4101"/>
    <cellStyle name="Milliers 4 5 2 3 3 2 2" xfId="8421"/>
    <cellStyle name="Milliers 4 5 2 3 3 3" xfId="6261"/>
    <cellStyle name="Milliers 4 5 2 3 4" xfId="2661"/>
    <cellStyle name="Milliers 4 5 2 3 4 2" xfId="6981"/>
    <cellStyle name="Milliers 4 5 2 3 5" xfId="4821"/>
    <cellStyle name="Milliers 4 5 2 4" xfId="861"/>
    <cellStyle name="Milliers 4 5 2 4 2" xfId="3021"/>
    <cellStyle name="Milliers 4 5 2 4 2 2" xfId="7341"/>
    <cellStyle name="Milliers 4 5 2 4 3" xfId="5181"/>
    <cellStyle name="Milliers 4 5 2 5" xfId="1581"/>
    <cellStyle name="Milliers 4 5 2 5 2" xfId="3741"/>
    <cellStyle name="Milliers 4 5 2 5 2 2" xfId="8061"/>
    <cellStyle name="Milliers 4 5 2 5 3" xfId="5901"/>
    <cellStyle name="Milliers 4 5 2 6" xfId="2301"/>
    <cellStyle name="Milliers 4 5 2 6 2" xfId="6621"/>
    <cellStyle name="Milliers 4 5 2 7" xfId="4461"/>
    <cellStyle name="Milliers 4 5 3" xfId="231"/>
    <cellStyle name="Milliers 4 5 3 2" xfId="591"/>
    <cellStyle name="Milliers 4 5 3 2 2" xfId="1311"/>
    <cellStyle name="Milliers 4 5 3 2 2 2" xfId="3471"/>
    <cellStyle name="Milliers 4 5 3 2 2 2 2" xfId="7791"/>
    <cellStyle name="Milliers 4 5 3 2 2 3" xfId="5631"/>
    <cellStyle name="Milliers 4 5 3 2 3" xfId="2031"/>
    <cellStyle name="Milliers 4 5 3 2 3 2" xfId="4191"/>
    <cellStyle name="Milliers 4 5 3 2 3 2 2" xfId="8511"/>
    <cellStyle name="Milliers 4 5 3 2 3 3" xfId="6351"/>
    <cellStyle name="Milliers 4 5 3 2 4" xfId="2751"/>
    <cellStyle name="Milliers 4 5 3 2 4 2" xfId="7071"/>
    <cellStyle name="Milliers 4 5 3 2 5" xfId="4911"/>
    <cellStyle name="Milliers 4 5 3 3" xfId="951"/>
    <cellStyle name="Milliers 4 5 3 3 2" xfId="3111"/>
    <cellStyle name="Milliers 4 5 3 3 2 2" xfId="7431"/>
    <cellStyle name="Milliers 4 5 3 3 3" xfId="5271"/>
    <cellStyle name="Milliers 4 5 3 4" xfId="1671"/>
    <cellStyle name="Milliers 4 5 3 4 2" xfId="3831"/>
    <cellStyle name="Milliers 4 5 3 4 2 2" xfId="8151"/>
    <cellStyle name="Milliers 4 5 3 4 3" xfId="5991"/>
    <cellStyle name="Milliers 4 5 3 5" xfId="2391"/>
    <cellStyle name="Milliers 4 5 3 5 2" xfId="6711"/>
    <cellStyle name="Milliers 4 5 3 6" xfId="4551"/>
    <cellStyle name="Milliers 4 5 4" xfId="411"/>
    <cellStyle name="Milliers 4 5 4 2" xfId="1131"/>
    <cellStyle name="Milliers 4 5 4 2 2" xfId="3291"/>
    <cellStyle name="Milliers 4 5 4 2 2 2" xfId="7611"/>
    <cellStyle name="Milliers 4 5 4 2 3" xfId="5451"/>
    <cellStyle name="Milliers 4 5 4 3" xfId="1851"/>
    <cellStyle name="Milliers 4 5 4 3 2" xfId="4011"/>
    <cellStyle name="Milliers 4 5 4 3 2 2" xfId="8331"/>
    <cellStyle name="Milliers 4 5 4 3 3" xfId="6171"/>
    <cellStyle name="Milliers 4 5 4 4" xfId="2571"/>
    <cellStyle name="Milliers 4 5 4 4 2" xfId="6891"/>
    <cellStyle name="Milliers 4 5 4 5" xfId="4731"/>
    <cellStyle name="Milliers 4 5 5" xfId="771"/>
    <cellStyle name="Milliers 4 5 5 2" xfId="2931"/>
    <cellStyle name="Milliers 4 5 5 2 2" xfId="7251"/>
    <cellStyle name="Milliers 4 5 5 3" xfId="5091"/>
    <cellStyle name="Milliers 4 5 6" xfId="1491"/>
    <cellStyle name="Milliers 4 5 6 2" xfId="3651"/>
    <cellStyle name="Milliers 4 5 6 2 2" xfId="7971"/>
    <cellStyle name="Milliers 4 5 6 3" xfId="5811"/>
    <cellStyle name="Milliers 4 5 7" xfId="2211"/>
    <cellStyle name="Milliers 4 5 7 2" xfId="6531"/>
    <cellStyle name="Milliers 4 5 8" xfId="4371"/>
    <cellStyle name="Milliers 4 6" xfId="96"/>
    <cellStyle name="Milliers 4 6 2" xfId="276"/>
    <cellStyle name="Milliers 4 6 2 2" xfId="636"/>
    <cellStyle name="Milliers 4 6 2 2 2" xfId="1356"/>
    <cellStyle name="Milliers 4 6 2 2 2 2" xfId="3516"/>
    <cellStyle name="Milliers 4 6 2 2 2 2 2" xfId="7836"/>
    <cellStyle name="Milliers 4 6 2 2 2 3" xfId="5676"/>
    <cellStyle name="Milliers 4 6 2 2 3" xfId="2076"/>
    <cellStyle name="Milliers 4 6 2 2 3 2" xfId="4236"/>
    <cellStyle name="Milliers 4 6 2 2 3 2 2" xfId="8556"/>
    <cellStyle name="Milliers 4 6 2 2 3 3" xfId="6396"/>
    <cellStyle name="Milliers 4 6 2 2 4" xfId="2796"/>
    <cellStyle name="Milliers 4 6 2 2 4 2" xfId="7116"/>
    <cellStyle name="Milliers 4 6 2 2 5" xfId="4956"/>
    <cellStyle name="Milliers 4 6 2 3" xfId="996"/>
    <cellStyle name="Milliers 4 6 2 3 2" xfId="3156"/>
    <cellStyle name="Milliers 4 6 2 3 2 2" xfId="7476"/>
    <cellStyle name="Milliers 4 6 2 3 3" xfId="5316"/>
    <cellStyle name="Milliers 4 6 2 4" xfId="1716"/>
    <cellStyle name="Milliers 4 6 2 4 2" xfId="3876"/>
    <cellStyle name="Milliers 4 6 2 4 2 2" xfId="8196"/>
    <cellStyle name="Milliers 4 6 2 4 3" xfId="6036"/>
    <cellStyle name="Milliers 4 6 2 5" xfId="2436"/>
    <cellStyle name="Milliers 4 6 2 5 2" xfId="6756"/>
    <cellStyle name="Milliers 4 6 2 6" xfId="4596"/>
    <cellStyle name="Milliers 4 6 3" xfId="456"/>
    <cellStyle name="Milliers 4 6 3 2" xfId="1176"/>
    <cellStyle name="Milliers 4 6 3 2 2" xfId="3336"/>
    <cellStyle name="Milliers 4 6 3 2 2 2" xfId="7656"/>
    <cellStyle name="Milliers 4 6 3 2 3" xfId="5496"/>
    <cellStyle name="Milliers 4 6 3 3" xfId="1896"/>
    <cellStyle name="Milliers 4 6 3 3 2" xfId="4056"/>
    <cellStyle name="Milliers 4 6 3 3 2 2" xfId="8376"/>
    <cellStyle name="Milliers 4 6 3 3 3" xfId="6216"/>
    <cellStyle name="Milliers 4 6 3 4" xfId="2616"/>
    <cellStyle name="Milliers 4 6 3 4 2" xfId="6936"/>
    <cellStyle name="Milliers 4 6 3 5" xfId="4776"/>
    <cellStyle name="Milliers 4 6 4" xfId="816"/>
    <cellStyle name="Milliers 4 6 4 2" xfId="2976"/>
    <cellStyle name="Milliers 4 6 4 2 2" xfId="7296"/>
    <cellStyle name="Milliers 4 6 4 3" xfId="5136"/>
    <cellStyle name="Milliers 4 6 5" xfId="1536"/>
    <cellStyle name="Milliers 4 6 5 2" xfId="3696"/>
    <cellStyle name="Milliers 4 6 5 2 2" xfId="8016"/>
    <cellStyle name="Milliers 4 6 5 3" xfId="5856"/>
    <cellStyle name="Milliers 4 6 6" xfId="2256"/>
    <cellStyle name="Milliers 4 6 6 2" xfId="6576"/>
    <cellStyle name="Milliers 4 6 7" xfId="4416"/>
    <cellStyle name="Milliers 4 7" xfId="186"/>
    <cellStyle name="Milliers 4 7 2" xfId="546"/>
    <cellStyle name="Milliers 4 7 2 2" xfId="1266"/>
    <cellStyle name="Milliers 4 7 2 2 2" xfId="3426"/>
    <cellStyle name="Milliers 4 7 2 2 2 2" xfId="7746"/>
    <cellStyle name="Milliers 4 7 2 2 3" xfId="5586"/>
    <cellStyle name="Milliers 4 7 2 3" xfId="1986"/>
    <cellStyle name="Milliers 4 7 2 3 2" xfId="4146"/>
    <cellStyle name="Milliers 4 7 2 3 2 2" xfId="8466"/>
    <cellStyle name="Milliers 4 7 2 3 3" xfId="6306"/>
    <cellStyle name="Milliers 4 7 2 4" xfId="2706"/>
    <cellStyle name="Milliers 4 7 2 4 2" xfId="7026"/>
    <cellStyle name="Milliers 4 7 2 5" xfId="4866"/>
    <cellStyle name="Milliers 4 7 3" xfId="906"/>
    <cellStyle name="Milliers 4 7 3 2" xfId="3066"/>
    <cellStyle name="Milliers 4 7 3 2 2" xfId="7386"/>
    <cellStyle name="Milliers 4 7 3 3" xfId="5226"/>
    <cellStyle name="Milliers 4 7 4" xfId="1626"/>
    <cellStyle name="Milliers 4 7 4 2" xfId="3786"/>
    <cellStyle name="Milliers 4 7 4 2 2" xfId="8106"/>
    <cellStyle name="Milliers 4 7 4 3" xfId="5946"/>
    <cellStyle name="Milliers 4 7 5" xfId="2346"/>
    <cellStyle name="Milliers 4 7 5 2" xfId="6666"/>
    <cellStyle name="Milliers 4 7 6" xfId="4506"/>
    <cellStyle name="Milliers 4 8" xfId="366"/>
    <cellStyle name="Milliers 4 8 2" xfId="1086"/>
    <cellStyle name="Milliers 4 8 2 2" xfId="3246"/>
    <cellStyle name="Milliers 4 8 2 2 2" xfId="7566"/>
    <cellStyle name="Milliers 4 8 2 3" xfId="5406"/>
    <cellStyle name="Milliers 4 8 3" xfId="1806"/>
    <cellStyle name="Milliers 4 8 3 2" xfId="3966"/>
    <cellStyle name="Milliers 4 8 3 2 2" xfId="8286"/>
    <cellStyle name="Milliers 4 8 3 3" xfId="6126"/>
    <cellStyle name="Milliers 4 8 4" xfId="2526"/>
    <cellStyle name="Milliers 4 8 4 2" xfId="6846"/>
    <cellStyle name="Milliers 4 8 5" xfId="4686"/>
    <cellStyle name="Milliers 4 9" xfId="726"/>
    <cellStyle name="Milliers 4 9 2" xfId="2886"/>
    <cellStyle name="Milliers 4 9 2 2" xfId="7206"/>
    <cellStyle name="Milliers 4 9 3" xfId="5046"/>
    <cellStyle name="Milliers 5" xfId="9"/>
    <cellStyle name="Milliers 5 10" xfId="2169"/>
    <cellStyle name="Milliers 5 10 2" xfId="6489"/>
    <cellStyle name="Milliers 5 11" xfId="4329"/>
    <cellStyle name="Milliers 5 2" xfId="24"/>
    <cellStyle name="Milliers 5 2 2" xfId="69"/>
    <cellStyle name="Milliers 5 2 2 2" xfId="159"/>
    <cellStyle name="Milliers 5 2 2 2 2" xfId="339"/>
    <cellStyle name="Milliers 5 2 2 2 2 2" xfId="699"/>
    <cellStyle name="Milliers 5 2 2 2 2 2 2" xfId="1419"/>
    <cellStyle name="Milliers 5 2 2 2 2 2 2 2" xfId="3579"/>
    <cellStyle name="Milliers 5 2 2 2 2 2 2 2 2" xfId="7899"/>
    <cellStyle name="Milliers 5 2 2 2 2 2 2 3" xfId="5739"/>
    <cellStyle name="Milliers 5 2 2 2 2 2 3" xfId="2139"/>
    <cellStyle name="Milliers 5 2 2 2 2 2 3 2" xfId="4299"/>
    <cellStyle name="Milliers 5 2 2 2 2 2 3 2 2" xfId="8619"/>
    <cellStyle name="Milliers 5 2 2 2 2 2 3 3" xfId="6459"/>
    <cellStyle name="Milliers 5 2 2 2 2 2 4" xfId="2859"/>
    <cellStyle name="Milliers 5 2 2 2 2 2 4 2" xfId="7179"/>
    <cellStyle name="Milliers 5 2 2 2 2 2 5" xfId="5019"/>
    <cellStyle name="Milliers 5 2 2 2 2 3" xfId="1059"/>
    <cellStyle name="Milliers 5 2 2 2 2 3 2" xfId="3219"/>
    <cellStyle name="Milliers 5 2 2 2 2 3 2 2" xfId="7539"/>
    <cellStyle name="Milliers 5 2 2 2 2 3 3" xfId="5379"/>
    <cellStyle name="Milliers 5 2 2 2 2 4" xfId="1779"/>
    <cellStyle name="Milliers 5 2 2 2 2 4 2" xfId="3939"/>
    <cellStyle name="Milliers 5 2 2 2 2 4 2 2" xfId="8259"/>
    <cellStyle name="Milliers 5 2 2 2 2 4 3" xfId="6099"/>
    <cellStyle name="Milliers 5 2 2 2 2 5" xfId="2499"/>
    <cellStyle name="Milliers 5 2 2 2 2 5 2" xfId="6819"/>
    <cellStyle name="Milliers 5 2 2 2 2 6" xfId="4659"/>
    <cellStyle name="Milliers 5 2 2 2 3" xfId="519"/>
    <cellStyle name="Milliers 5 2 2 2 3 2" xfId="1239"/>
    <cellStyle name="Milliers 5 2 2 2 3 2 2" xfId="3399"/>
    <cellStyle name="Milliers 5 2 2 2 3 2 2 2" xfId="7719"/>
    <cellStyle name="Milliers 5 2 2 2 3 2 3" xfId="5559"/>
    <cellStyle name="Milliers 5 2 2 2 3 3" xfId="1959"/>
    <cellStyle name="Milliers 5 2 2 2 3 3 2" xfId="4119"/>
    <cellStyle name="Milliers 5 2 2 2 3 3 2 2" xfId="8439"/>
    <cellStyle name="Milliers 5 2 2 2 3 3 3" xfId="6279"/>
    <cellStyle name="Milliers 5 2 2 2 3 4" xfId="2679"/>
    <cellStyle name="Milliers 5 2 2 2 3 4 2" xfId="6999"/>
    <cellStyle name="Milliers 5 2 2 2 3 5" xfId="4839"/>
    <cellStyle name="Milliers 5 2 2 2 4" xfId="879"/>
    <cellStyle name="Milliers 5 2 2 2 4 2" xfId="3039"/>
    <cellStyle name="Milliers 5 2 2 2 4 2 2" xfId="7359"/>
    <cellStyle name="Milliers 5 2 2 2 4 3" xfId="5199"/>
    <cellStyle name="Milliers 5 2 2 2 5" xfId="1599"/>
    <cellStyle name="Milliers 5 2 2 2 5 2" xfId="3759"/>
    <cellStyle name="Milliers 5 2 2 2 5 2 2" xfId="8079"/>
    <cellStyle name="Milliers 5 2 2 2 5 3" xfId="5919"/>
    <cellStyle name="Milliers 5 2 2 2 6" xfId="2319"/>
    <cellStyle name="Milliers 5 2 2 2 6 2" xfId="6639"/>
    <cellStyle name="Milliers 5 2 2 2 7" xfId="4479"/>
    <cellStyle name="Milliers 5 2 2 3" xfId="249"/>
    <cellStyle name="Milliers 5 2 2 3 2" xfId="609"/>
    <cellStyle name="Milliers 5 2 2 3 2 2" xfId="1329"/>
    <cellStyle name="Milliers 5 2 2 3 2 2 2" xfId="3489"/>
    <cellStyle name="Milliers 5 2 2 3 2 2 2 2" xfId="7809"/>
    <cellStyle name="Milliers 5 2 2 3 2 2 3" xfId="5649"/>
    <cellStyle name="Milliers 5 2 2 3 2 3" xfId="2049"/>
    <cellStyle name="Milliers 5 2 2 3 2 3 2" xfId="4209"/>
    <cellStyle name="Milliers 5 2 2 3 2 3 2 2" xfId="8529"/>
    <cellStyle name="Milliers 5 2 2 3 2 3 3" xfId="6369"/>
    <cellStyle name="Milliers 5 2 2 3 2 4" xfId="2769"/>
    <cellStyle name="Milliers 5 2 2 3 2 4 2" xfId="7089"/>
    <cellStyle name="Milliers 5 2 2 3 2 5" xfId="4929"/>
    <cellStyle name="Milliers 5 2 2 3 3" xfId="969"/>
    <cellStyle name="Milliers 5 2 2 3 3 2" xfId="3129"/>
    <cellStyle name="Milliers 5 2 2 3 3 2 2" xfId="7449"/>
    <cellStyle name="Milliers 5 2 2 3 3 3" xfId="5289"/>
    <cellStyle name="Milliers 5 2 2 3 4" xfId="1689"/>
    <cellStyle name="Milliers 5 2 2 3 4 2" xfId="3849"/>
    <cellStyle name="Milliers 5 2 2 3 4 2 2" xfId="8169"/>
    <cellStyle name="Milliers 5 2 2 3 4 3" xfId="6009"/>
    <cellStyle name="Milliers 5 2 2 3 5" xfId="2409"/>
    <cellStyle name="Milliers 5 2 2 3 5 2" xfId="6729"/>
    <cellStyle name="Milliers 5 2 2 3 6" xfId="4569"/>
    <cellStyle name="Milliers 5 2 2 4" xfId="429"/>
    <cellStyle name="Milliers 5 2 2 4 2" xfId="1149"/>
    <cellStyle name="Milliers 5 2 2 4 2 2" xfId="3309"/>
    <cellStyle name="Milliers 5 2 2 4 2 2 2" xfId="7629"/>
    <cellStyle name="Milliers 5 2 2 4 2 3" xfId="5469"/>
    <cellStyle name="Milliers 5 2 2 4 3" xfId="1869"/>
    <cellStyle name="Milliers 5 2 2 4 3 2" xfId="4029"/>
    <cellStyle name="Milliers 5 2 2 4 3 2 2" xfId="8349"/>
    <cellStyle name="Milliers 5 2 2 4 3 3" xfId="6189"/>
    <cellStyle name="Milliers 5 2 2 4 4" xfId="2589"/>
    <cellStyle name="Milliers 5 2 2 4 4 2" xfId="6909"/>
    <cellStyle name="Milliers 5 2 2 4 5" xfId="4749"/>
    <cellStyle name="Milliers 5 2 2 5" xfId="789"/>
    <cellStyle name="Milliers 5 2 2 5 2" xfId="2949"/>
    <cellStyle name="Milliers 5 2 2 5 2 2" xfId="7269"/>
    <cellStyle name="Milliers 5 2 2 5 3" xfId="5109"/>
    <cellStyle name="Milliers 5 2 2 6" xfId="1509"/>
    <cellStyle name="Milliers 5 2 2 6 2" xfId="3669"/>
    <cellStyle name="Milliers 5 2 2 6 2 2" xfId="7989"/>
    <cellStyle name="Milliers 5 2 2 6 3" xfId="5829"/>
    <cellStyle name="Milliers 5 2 2 7" xfId="2229"/>
    <cellStyle name="Milliers 5 2 2 7 2" xfId="6549"/>
    <cellStyle name="Milliers 5 2 2 8" xfId="4389"/>
    <cellStyle name="Milliers 5 2 3" xfId="114"/>
    <cellStyle name="Milliers 5 2 3 2" xfId="294"/>
    <cellStyle name="Milliers 5 2 3 2 2" xfId="654"/>
    <cellStyle name="Milliers 5 2 3 2 2 2" xfId="1374"/>
    <cellStyle name="Milliers 5 2 3 2 2 2 2" xfId="3534"/>
    <cellStyle name="Milliers 5 2 3 2 2 2 2 2" xfId="7854"/>
    <cellStyle name="Milliers 5 2 3 2 2 2 3" xfId="5694"/>
    <cellStyle name="Milliers 5 2 3 2 2 3" xfId="2094"/>
    <cellStyle name="Milliers 5 2 3 2 2 3 2" xfId="4254"/>
    <cellStyle name="Milliers 5 2 3 2 2 3 2 2" xfId="8574"/>
    <cellStyle name="Milliers 5 2 3 2 2 3 3" xfId="6414"/>
    <cellStyle name="Milliers 5 2 3 2 2 4" xfId="2814"/>
    <cellStyle name="Milliers 5 2 3 2 2 4 2" xfId="7134"/>
    <cellStyle name="Milliers 5 2 3 2 2 5" xfId="4974"/>
    <cellStyle name="Milliers 5 2 3 2 3" xfId="1014"/>
    <cellStyle name="Milliers 5 2 3 2 3 2" xfId="3174"/>
    <cellStyle name="Milliers 5 2 3 2 3 2 2" xfId="7494"/>
    <cellStyle name="Milliers 5 2 3 2 3 3" xfId="5334"/>
    <cellStyle name="Milliers 5 2 3 2 4" xfId="1734"/>
    <cellStyle name="Milliers 5 2 3 2 4 2" xfId="3894"/>
    <cellStyle name="Milliers 5 2 3 2 4 2 2" xfId="8214"/>
    <cellStyle name="Milliers 5 2 3 2 4 3" xfId="6054"/>
    <cellStyle name="Milliers 5 2 3 2 5" xfId="2454"/>
    <cellStyle name="Milliers 5 2 3 2 5 2" xfId="6774"/>
    <cellStyle name="Milliers 5 2 3 2 6" xfId="4614"/>
    <cellStyle name="Milliers 5 2 3 3" xfId="474"/>
    <cellStyle name="Milliers 5 2 3 3 2" xfId="1194"/>
    <cellStyle name="Milliers 5 2 3 3 2 2" xfId="3354"/>
    <cellStyle name="Milliers 5 2 3 3 2 2 2" xfId="7674"/>
    <cellStyle name="Milliers 5 2 3 3 2 3" xfId="5514"/>
    <cellStyle name="Milliers 5 2 3 3 3" xfId="1914"/>
    <cellStyle name="Milliers 5 2 3 3 3 2" xfId="4074"/>
    <cellStyle name="Milliers 5 2 3 3 3 2 2" xfId="8394"/>
    <cellStyle name="Milliers 5 2 3 3 3 3" xfId="6234"/>
    <cellStyle name="Milliers 5 2 3 3 4" xfId="2634"/>
    <cellStyle name="Milliers 5 2 3 3 4 2" xfId="6954"/>
    <cellStyle name="Milliers 5 2 3 3 5" xfId="4794"/>
    <cellStyle name="Milliers 5 2 3 4" xfId="834"/>
    <cellStyle name="Milliers 5 2 3 4 2" xfId="2994"/>
    <cellStyle name="Milliers 5 2 3 4 2 2" xfId="7314"/>
    <cellStyle name="Milliers 5 2 3 4 3" xfId="5154"/>
    <cellStyle name="Milliers 5 2 3 5" xfId="1554"/>
    <cellStyle name="Milliers 5 2 3 5 2" xfId="3714"/>
    <cellStyle name="Milliers 5 2 3 5 2 2" xfId="8034"/>
    <cellStyle name="Milliers 5 2 3 5 3" xfId="5874"/>
    <cellStyle name="Milliers 5 2 3 6" xfId="2274"/>
    <cellStyle name="Milliers 5 2 3 6 2" xfId="6594"/>
    <cellStyle name="Milliers 5 2 3 7" xfId="4434"/>
    <cellStyle name="Milliers 5 2 4" xfId="204"/>
    <cellStyle name="Milliers 5 2 4 2" xfId="564"/>
    <cellStyle name="Milliers 5 2 4 2 2" xfId="1284"/>
    <cellStyle name="Milliers 5 2 4 2 2 2" xfId="3444"/>
    <cellStyle name="Milliers 5 2 4 2 2 2 2" xfId="7764"/>
    <cellStyle name="Milliers 5 2 4 2 2 3" xfId="5604"/>
    <cellStyle name="Milliers 5 2 4 2 3" xfId="2004"/>
    <cellStyle name="Milliers 5 2 4 2 3 2" xfId="4164"/>
    <cellStyle name="Milliers 5 2 4 2 3 2 2" xfId="8484"/>
    <cellStyle name="Milliers 5 2 4 2 3 3" xfId="6324"/>
    <cellStyle name="Milliers 5 2 4 2 4" xfId="2724"/>
    <cellStyle name="Milliers 5 2 4 2 4 2" xfId="7044"/>
    <cellStyle name="Milliers 5 2 4 2 5" xfId="4884"/>
    <cellStyle name="Milliers 5 2 4 3" xfId="924"/>
    <cellStyle name="Milliers 5 2 4 3 2" xfId="3084"/>
    <cellStyle name="Milliers 5 2 4 3 2 2" xfId="7404"/>
    <cellStyle name="Milliers 5 2 4 3 3" xfId="5244"/>
    <cellStyle name="Milliers 5 2 4 4" xfId="1644"/>
    <cellStyle name="Milliers 5 2 4 4 2" xfId="3804"/>
    <cellStyle name="Milliers 5 2 4 4 2 2" xfId="8124"/>
    <cellStyle name="Milliers 5 2 4 4 3" xfId="5964"/>
    <cellStyle name="Milliers 5 2 4 5" xfId="2364"/>
    <cellStyle name="Milliers 5 2 4 5 2" xfId="6684"/>
    <cellStyle name="Milliers 5 2 4 6" xfId="4524"/>
    <cellStyle name="Milliers 5 2 5" xfId="384"/>
    <cellStyle name="Milliers 5 2 5 2" xfId="1104"/>
    <cellStyle name="Milliers 5 2 5 2 2" xfId="3264"/>
    <cellStyle name="Milliers 5 2 5 2 2 2" xfId="7584"/>
    <cellStyle name="Milliers 5 2 5 2 3" xfId="5424"/>
    <cellStyle name="Milliers 5 2 5 3" xfId="1824"/>
    <cellStyle name="Milliers 5 2 5 3 2" xfId="3984"/>
    <cellStyle name="Milliers 5 2 5 3 2 2" xfId="8304"/>
    <cellStyle name="Milliers 5 2 5 3 3" xfId="6144"/>
    <cellStyle name="Milliers 5 2 5 4" xfId="2544"/>
    <cellStyle name="Milliers 5 2 5 4 2" xfId="6864"/>
    <cellStyle name="Milliers 5 2 5 5" xfId="4704"/>
    <cellStyle name="Milliers 5 2 6" xfId="744"/>
    <cellStyle name="Milliers 5 2 6 2" xfId="2904"/>
    <cellStyle name="Milliers 5 2 6 2 2" xfId="7224"/>
    <cellStyle name="Milliers 5 2 6 3" xfId="5064"/>
    <cellStyle name="Milliers 5 2 7" xfId="1464"/>
    <cellStyle name="Milliers 5 2 7 2" xfId="3624"/>
    <cellStyle name="Milliers 5 2 7 2 2" xfId="7944"/>
    <cellStyle name="Milliers 5 2 7 3" xfId="5784"/>
    <cellStyle name="Milliers 5 2 8" xfId="2184"/>
    <cellStyle name="Milliers 5 2 8 2" xfId="6504"/>
    <cellStyle name="Milliers 5 2 9" xfId="4344"/>
    <cellStyle name="Milliers 5 3" xfId="39"/>
    <cellStyle name="Milliers 5 3 2" xfId="84"/>
    <cellStyle name="Milliers 5 3 2 2" xfId="174"/>
    <cellStyle name="Milliers 5 3 2 2 2" xfId="354"/>
    <cellStyle name="Milliers 5 3 2 2 2 2" xfId="714"/>
    <cellStyle name="Milliers 5 3 2 2 2 2 2" xfId="1434"/>
    <cellStyle name="Milliers 5 3 2 2 2 2 2 2" xfId="3594"/>
    <cellStyle name="Milliers 5 3 2 2 2 2 2 2 2" xfId="7914"/>
    <cellStyle name="Milliers 5 3 2 2 2 2 2 3" xfId="5754"/>
    <cellStyle name="Milliers 5 3 2 2 2 2 3" xfId="2154"/>
    <cellStyle name="Milliers 5 3 2 2 2 2 3 2" xfId="4314"/>
    <cellStyle name="Milliers 5 3 2 2 2 2 3 2 2" xfId="8634"/>
    <cellStyle name="Milliers 5 3 2 2 2 2 3 3" xfId="6474"/>
    <cellStyle name="Milliers 5 3 2 2 2 2 4" xfId="2874"/>
    <cellStyle name="Milliers 5 3 2 2 2 2 4 2" xfId="7194"/>
    <cellStyle name="Milliers 5 3 2 2 2 2 5" xfId="5034"/>
    <cellStyle name="Milliers 5 3 2 2 2 3" xfId="1074"/>
    <cellStyle name="Milliers 5 3 2 2 2 3 2" xfId="3234"/>
    <cellStyle name="Milliers 5 3 2 2 2 3 2 2" xfId="7554"/>
    <cellStyle name="Milliers 5 3 2 2 2 3 3" xfId="5394"/>
    <cellStyle name="Milliers 5 3 2 2 2 4" xfId="1794"/>
    <cellStyle name="Milliers 5 3 2 2 2 4 2" xfId="3954"/>
    <cellStyle name="Milliers 5 3 2 2 2 4 2 2" xfId="8274"/>
    <cellStyle name="Milliers 5 3 2 2 2 4 3" xfId="6114"/>
    <cellStyle name="Milliers 5 3 2 2 2 5" xfId="2514"/>
    <cellStyle name="Milliers 5 3 2 2 2 5 2" xfId="6834"/>
    <cellStyle name="Milliers 5 3 2 2 2 6" xfId="4674"/>
    <cellStyle name="Milliers 5 3 2 2 3" xfId="534"/>
    <cellStyle name="Milliers 5 3 2 2 3 2" xfId="1254"/>
    <cellStyle name="Milliers 5 3 2 2 3 2 2" xfId="3414"/>
    <cellStyle name="Milliers 5 3 2 2 3 2 2 2" xfId="7734"/>
    <cellStyle name="Milliers 5 3 2 2 3 2 3" xfId="5574"/>
    <cellStyle name="Milliers 5 3 2 2 3 3" xfId="1974"/>
    <cellStyle name="Milliers 5 3 2 2 3 3 2" xfId="4134"/>
    <cellStyle name="Milliers 5 3 2 2 3 3 2 2" xfId="8454"/>
    <cellStyle name="Milliers 5 3 2 2 3 3 3" xfId="6294"/>
    <cellStyle name="Milliers 5 3 2 2 3 4" xfId="2694"/>
    <cellStyle name="Milliers 5 3 2 2 3 4 2" xfId="7014"/>
    <cellStyle name="Milliers 5 3 2 2 3 5" xfId="4854"/>
    <cellStyle name="Milliers 5 3 2 2 4" xfId="894"/>
    <cellStyle name="Milliers 5 3 2 2 4 2" xfId="3054"/>
    <cellStyle name="Milliers 5 3 2 2 4 2 2" xfId="7374"/>
    <cellStyle name="Milliers 5 3 2 2 4 3" xfId="5214"/>
    <cellStyle name="Milliers 5 3 2 2 5" xfId="1614"/>
    <cellStyle name="Milliers 5 3 2 2 5 2" xfId="3774"/>
    <cellStyle name="Milliers 5 3 2 2 5 2 2" xfId="8094"/>
    <cellStyle name="Milliers 5 3 2 2 5 3" xfId="5934"/>
    <cellStyle name="Milliers 5 3 2 2 6" xfId="2334"/>
    <cellStyle name="Milliers 5 3 2 2 6 2" xfId="6654"/>
    <cellStyle name="Milliers 5 3 2 2 7" xfId="4494"/>
    <cellStyle name="Milliers 5 3 2 3" xfId="264"/>
    <cellStyle name="Milliers 5 3 2 3 2" xfId="624"/>
    <cellStyle name="Milliers 5 3 2 3 2 2" xfId="1344"/>
    <cellStyle name="Milliers 5 3 2 3 2 2 2" xfId="3504"/>
    <cellStyle name="Milliers 5 3 2 3 2 2 2 2" xfId="7824"/>
    <cellStyle name="Milliers 5 3 2 3 2 2 3" xfId="5664"/>
    <cellStyle name="Milliers 5 3 2 3 2 3" xfId="2064"/>
    <cellStyle name="Milliers 5 3 2 3 2 3 2" xfId="4224"/>
    <cellStyle name="Milliers 5 3 2 3 2 3 2 2" xfId="8544"/>
    <cellStyle name="Milliers 5 3 2 3 2 3 3" xfId="6384"/>
    <cellStyle name="Milliers 5 3 2 3 2 4" xfId="2784"/>
    <cellStyle name="Milliers 5 3 2 3 2 4 2" xfId="7104"/>
    <cellStyle name="Milliers 5 3 2 3 2 5" xfId="4944"/>
    <cellStyle name="Milliers 5 3 2 3 3" xfId="984"/>
    <cellStyle name="Milliers 5 3 2 3 3 2" xfId="3144"/>
    <cellStyle name="Milliers 5 3 2 3 3 2 2" xfId="7464"/>
    <cellStyle name="Milliers 5 3 2 3 3 3" xfId="5304"/>
    <cellStyle name="Milliers 5 3 2 3 4" xfId="1704"/>
    <cellStyle name="Milliers 5 3 2 3 4 2" xfId="3864"/>
    <cellStyle name="Milliers 5 3 2 3 4 2 2" xfId="8184"/>
    <cellStyle name="Milliers 5 3 2 3 4 3" xfId="6024"/>
    <cellStyle name="Milliers 5 3 2 3 5" xfId="2424"/>
    <cellStyle name="Milliers 5 3 2 3 5 2" xfId="6744"/>
    <cellStyle name="Milliers 5 3 2 3 6" xfId="4584"/>
    <cellStyle name="Milliers 5 3 2 4" xfId="444"/>
    <cellStyle name="Milliers 5 3 2 4 2" xfId="1164"/>
    <cellStyle name="Milliers 5 3 2 4 2 2" xfId="3324"/>
    <cellStyle name="Milliers 5 3 2 4 2 2 2" xfId="7644"/>
    <cellStyle name="Milliers 5 3 2 4 2 3" xfId="5484"/>
    <cellStyle name="Milliers 5 3 2 4 3" xfId="1884"/>
    <cellStyle name="Milliers 5 3 2 4 3 2" xfId="4044"/>
    <cellStyle name="Milliers 5 3 2 4 3 2 2" xfId="8364"/>
    <cellStyle name="Milliers 5 3 2 4 3 3" xfId="6204"/>
    <cellStyle name="Milliers 5 3 2 4 4" xfId="2604"/>
    <cellStyle name="Milliers 5 3 2 4 4 2" xfId="6924"/>
    <cellStyle name="Milliers 5 3 2 4 5" xfId="4764"/>
    <cellStyle name="Milliers 5 3 2 5" xfId="804"/>
    <cellStyle name="Milliers 5 3 2 5 2" xfId="2964"/>
    <cellStyle name="Milliers 5 3 2 5 2 2" xfId="7284"/>
    <cellStyle name="Milliers 5 3 2 5 3" xfId="5124"/>
    <cellStyle name="Milliers 5 3 2 6" xfId="1524"/>
    <cellStyle name="Milliers 5 3 2 6 2" xfId="3684"/>
    <cellStyle name="Milliers 5 3 2 6 2 2" xfId="8004"/>
    <cellStyle name="Milliers 5 3 2 6 3" xfId="5844"/>
    <cellStyle name="Milliers 5 3 2 7" xfId="2244"/>
    <cellStyle name="Milliers 5 3 2 7 2" xfId="6564"/>
    <cellStyle name="Milliers 5 3 2 8" xfId="4404"/>
    <cellStyle name="Milliers 5 3 3" xfId="129"/>
    <cellStyle name="Milliers 5 3 3 2" xfId="309"/>
    <cellStyle name="Milliers 5 3 3 2 2" xfId="669"/>
    <cellStyle name="Milliers 5 3 3 2 2 2" xfId="1389"/>
    <cellStyle name="Milliers 5 3 3 2 2 2 2" xfId="3549"/>
    <cellStyle name="Milliers 5 3 3 2 2 2 2 2" xfId="7869"/>
    <cellStyle name="Milliers 5 3 3 2 2 2 3" xfId="5709"/>
    <cellStyle name="Milliers 5 3 3 2 2 3" xfId="2109"/>
    <cellStyle name="Milliers 5 3 3 2 2 3 2" xfId="4269"/>
    <cellStyle name="Milliers 5 3 3 2 2 3 2 2" xfId="8589"/>
    <cellStyle name="Milliers 5 3 3 2 2 3 3" xfId="6429"/>
    <cellStyle name="Milliers 5 3 3 2 2 4" xfId="2829"/>
    <cellStyle name="Milliers 5 3 3 2 2 4 2" xfId="7149"/>
    <cellStyle name="Milliers 5 3 3 2 2 5" xfId="4989"/>
    <cellStyle name="Milliers 5 3 3 2 3" xfId="1029"/>
    <cellStyle name="Milliers 5 3 3 2 3 2" xfId="3189"/>
    <cellStyle name="Milliers 5 3 3 2 3 2 2" xfId="7509"/>
    <cellStyle name="Milliers 5 3 3 2 3 3" xfId="5349"/>
    <cellStyle name="Milliers 5 3 3 2 4" xfId="1749"/>
    <cellStyle name="Milliers 5 3 3 2 4 2" xfId="3909"/>
    <cellStyle name="Milliers 5 3 3 2 4 2 2" xfId="8229"/>
    <cellStyle name="Milliers 5 3 3 2 4 3" xfId="6069"/>
    <cellStyle name="Milliers 5 3 3 2 5" xfId="2469"/>
    <cellStyle name="Milliers 5 3 3 2 5 2" xfId="6789"/>
    <cellStyle name="Milliers 5 3 3 2 6" xfId="4629"/>
    <cellStyle name="Milliers 5 3 3 3" xfId="489"/>
    <cellStyle name="Milliers 5 3 3 3 2" xfId="1209"/>
    <cellStyle name="Milliers 5 3 3 3 2 2" xfId="3369"/>
    <cellStyle name="Milliers 5 3 3 3 2 2 2" xfId="7689"/>
    <cellStyle name="Milliers 5 3 3 3 2 3" xfId="5529"/>
    <cellStyle name="Milliers 5 3 3 3 3" xfId="1929"/>
    <cellStyle name="Milliers 5 3 3 3 3 2" xfId="4089"/>
    <cellStyle name="Milliers 5 3 3 3 3 2 2" xfId="8409"/>
    <cellStyle name="Milliers 5 3 3 3 3 3" xfId="6249"/>
    <cellStyle name="Milliers 5 3 3 3 4" xfId="2649"/>
    <cellStyle name="Milliers 5 3 3 3 4 2" xfId="6969"/>
    <cellStyle name="Milliers 5 3 3 3 5" xfId="4809"/>
    <cellStyle name="Milliers 5 3 3 4" xfId="849"/>
    <cellStyle name="Milliers 5 3 3 4 2" xfId="3009"/>
    <cellStyle name="Milliers 5 3 3 4 2 2" xfId="7329"/>
    <cellStyle name="Milliers 5 3 3 4 3" xfId="5169"/>
    <cellStyle name="Milliers 5 3 3 5" xfId="1569"/>
    <cellStyle name="Milliers 5 3 3 5 2" xfId="3729"/>
    <cellStyle name="Milliers 5 3 3 5 2 2" xfId="8049"/>
    <cellStyle name="Milliers 5 3 3 5 3" xfId="5889"/>
    <cellStyle name="Milliers 5 3 3 6" xfId="2289"/>
    <cellStyle name="Milliers 5 3 3 6 2" xfId="6609"/>
    <cellStyle name="Milliers 5 3 3 7" xfId="4449"/>
    <cellStyle name="Milliers 5 3 4" xfId="219"/>
    <cellStyle name="Milliers 5 3 4 2" xfId="579"/>
    <cellStyle name="Milliers 5 3 4 2 2" xfId="1299"/>
    <cellStyle name="Milliers 5 3 4 2 2 2" xfId="3459"/>
    <cellStyle name="Milliers 5 3 4 2 2 2 2" xfId="7779"/>
    <cellStyle name="Milliers 5 3 4 2 2 3" xfId="5619"/>
    <cellStyle name="Milliers 5 3 4 2 3" xfId="2019"/>
    <cellStyle name="Milliers 5 3 4 2 3 2" xfId="4179"/>
    <cellStyle name="Milliers 5 3 4 2 3 2 2" xfId="8499"/>
    <cellStyle name="Milliers 5 3 4 2 3 3" xfId="6339"/>
    <cellStyle name="Milliers 5 3 4 2 4" xfId="2739"/>
    <cellStyle name="Milliers 5 3 4 2 4 2" xfId="7059"/>
    <cellStyle name="Milliers 5 3 4 2 5" xfId="4899"/>
    <cellStyle name="Milliers 5 3 4 3" xfId="939"/>
    <cellStyle name="Milliers 5 3 4 3 2" xfId="3099"/>
    <cellStyle name="Milliers 5 3 4 3 2 2" xfId="7419"/>
    <cellStyle name="Milliers 5 3 4 3 3" xfId="5259"/>
    <cellStyle name="Milliers 5 3 4 4" xfId="1659"/>
    <cellStyle name="Milliers 5 3 4 4 2" xfId="3819"/>
    <cellStyle name="Milliers 5 3 4 4 2 2" xfId="8139"/>
    <cellStyle name="Milliers 5 3 4 4 3" xfId="5979"/>
    <cellStyle name="Milliers 5 3 4 5" xfId="2379"/>
    <cellStyle name="Milliers 5 3 4 5 2" xfId="6699"/>
    <cellStyle name="Milliers 5 3 4 6" xfId="4539"/>
    <cellStyle name="Milliers 5 3 5" xfId="399"/>
    <cellStyle name="Milliers 5 3 5 2" xfId="1119"/>
    <cellStyle name="Milliers 5 3 5 2 2" xfId="3279"/>
    <cellStyle name="Milliers 5 3 5 2 2 2" xfId="7599"/>
    <cellStyle name="Milliers 5 3 5 2 3" xfId="5439"/>
    <cellStyle name="Milliers 5 3 5 3" xfId="1839"/>
    <cellStyle name="Milliers 5 3 5 3 2" xfId="3999"/>
    <cellStyle name="Milliers 5 3 5 3 2 2" xfId="8319"/>
    <cellStyle name="Milliers 5 3 5 3 3" xfId="6159"/>
    <cellStyle name="Milliers 5 3 5 4" xfId="2559"/>
    <cellStyle name="Milliers 5 3 5 4 2" xfId="6879"/>
    <cellStyle name="Milliers 5 3 5 5" xfId="4719"/>
    <cellStyle name="Milliers 5 3 6" xfId="759"/>
    <cellStyle name="Milliers 5 3 6 2" xfId="2919"/>
    <cellStyle name="Milliers 5 3 6 2 2" xfId="7239"/>
    <cellStyle name="Milliers 5 3 6 3" xfId="5079"/>
    <cellStyle name="Milliers 5 3 7" xfId="1479"/>
    <cellStyle name="Milliers 5 3 7 2" xfId="3639"/>
    <cellStyle name="Milliers 5 3 7 2 2" xfId="7959"/>
    <cellStyle name="Milliers 5 3 7 3" xfId="5799"/>
    <cellStyle name="Milliers 5 3 8" xfId="2199"/>
    <cellStyle name="Milliers 5 3 8 2" xfId="6519"/>
    <cellStyle name="Milliers 5 3 9" xfId="4359"/>
    <cellStyle name="Milliers 5 4" xfId="54"/>
    <cellStyle name="Milliers 5 4 2" xfId="144"/>
    <cellStyle name="Milliers 5 4 2 2" xfId="324"/>
    <cellStyle name="Milliers 5 4 2 2 2" xfId="684"/>
    <cellStyle name="Milliers 5 4 2 2 2 2" xfId="1404"/>
    <cellStyle name="Milliers 5 4 2 2 2 2 2" xfId="3564"/>
    <cellStyle name="Milliers 5 4 2 2 2 2 2 2" xfId="7884"/>
    <cellStyle name="Milliers 5 4 2 2 2 2 3" xfId="5724"/>
    <cellStyle name="Milliers 5 4 2 2 2 3" xfId="2124"/>
    <cellStyle name="Milliers 5 4 2 2 2 3 2" xfId="4284"/>
    <cellStyle name="Milliers 5 4 2 2 2 3 2 2" xfId="8604"/>
    <cellStyle name="Milliers 5 4 2 2 2 3 3" xfId="6444"/>
    <cellStyle name="Milliers 5 4 2 2 2 4" xfId="2844"/>
    <cellStyle name="Milliers 5 4 2 2 2 4 2" xfId="7164"/>
    <cellStyle name="Milliers 5 4 2 2 2 5" xfId="5004"/>
    <cellStyle name="Milliers 5 4 2 2 3" xfId="1044"/>
    <cellStyle name="Milliers 5 4 2 2 3 2" xfId="3204"/>
    <cellStyle name="Milliers 5 4 2 2 3 2 2" xfId="7524"/>
    <cellStyle name="Milliers 5 4 2 2 3 3" xfId="5364"/>
    <cellStyle name="Milliers 5 4 2 2 4" xfId="1764"/>
    <cellStyle name="Milliers 5 4 2 2 4 2" xfId="3924"/>
    <cellStyle name="Milliers 5 4 2 2 4 2 2" xfId="8244"/>
    <cellStyle name="Milliers 5 4 2 2 4 3" xfId="6084"/>
    <cellStyle name="Milliers 5 4 2 2 5" xfId="2484"/>
    <cellStyle name="Milliers 5 4 2 2 5 2" xfId="6804"/>
    <cellStyle name="Milliers 5 4 2 2 6" xfId="4644"/>
    <cellStyle name="Milliers 5 4 2 3" xfId="504"/>
    <cellStyle name="Milliers 5 4 2 3 2" xfId="1224"/>
    <cellStyle name="Milliers 5 4 2 3 2 2" xfId="3384"/>
    <cellStyle name="Milliers 5 4 2 3 2 2 2" xfId="7704"/>
    <cellStyle name="Milliers 5 4 2 3 2 3" xfId="5544"/>
    <cellStyle name="Milliers 5 4 2 3 3" xfId="1944"/>
    <cellStyle name="Milliers 5 4 2 3 3 2" xfId="4104"/>
    <cellStyle name="Milliers 5 4 2 3 3 2 2" xfId="8424"/>
    <cellStyle name="Milliers 5 4 2 3 3 3" xfId="6264"/>
    <cellStyle name="Milliers 5 4 2 3 4" xfId="2664"/>
    <cellStyle name="Milliers 5 4 2 3 4 2" xfId="6984"/>
    <cellStyle name="Milliers 5 4 2 3 5" xfId="4824"/>
    <cellStyle name="Milliers 5 4 2 4" xfId="864"/>
    <cellStyle name="Milliers 5 4 2 4 2" xfId="3024"/>
    <cellStyle name="Milliers 5 4 2 4 2 2" xfId="7344"/>
    <cellStyle name="Milliers 5 4 2 4 3" xfId="5184"/>
    <cellStyle name="Milliers 5 4 2 5" xfId="1584"/>
    <cellStyle name="Milliers 5 4 2 5 2" xfId="3744"/>
    <cellStyle name="Milliers 5 4 2 5 2 2" xfId="8064"/>
    <cellStyle name="Milliers 5 4 2 5 3" xfId="5904"/>
    <cellStyle name="Milliers 5 4 2 6" xfId="2304"/>
    <cellStyle name="Milliers 5 4 2 6 2" xfId="6624"/>
    <cellStyle name="Milliers 5 4 2 7" xfId="4464"/>
    <cellStyle name="Milliers 5 4 3" xfId="234"/>
    <cellStyle name="Milliers 5 4 3 2" xfId="594"/>
    <cellStyle name="Milliers 5 4 3 2 2" xfId="1314"/>
    <cellStyle name="Milliers 5 4 3 2 2 2" xfId="3474"/>
    <cellStyle name="Milliers 5 4 3 2 2 2 2" xfId="7794"/>
    <cellStyle name="Milliers 5 4 3 2 2 3" xfId="5634"/>
    <cellStyle name="Milliers 5 4 3 2 3" xfId="2034"/>
    <cellStyle name="Milliers 5 4 3 2 3 2" xfId="4194"/>
    <cellStyle name="Milliers 5 4 3 2 3 2 2" xfId="8514"/>
    <cellStyle name="Milliers 5 4 3 2 3 3" xfId="6354"/>
    <cellStyle name="Milliers 5 4 3 2 4" xfId="2754"/>
    <cellStyle name="Milliers 5 4 3 2 4 2" xfId="7074"/>
    <cellStyle name="Milliers 5 4 3 2 5" xfId="4914"/>
    <cellStyle name="Milliers 5 4 3 3" xfId="954"/>
    <cellStyle name="Milliers 5 4 3 3 2" xfId="3114"/>
    <cellStyle name="Milliers 5 4 3 3 2 2" xfId="7434"/>
    <cellStyle name="Milliers 5 4 3 3 3" xfId="5274"/>
    <cellStyle name="Milliers 5 4 3 4" xfId="1674"/>
    <cellStyle name="Milliers 5 4 3 4 2" xfId="3834"/>
    <cellStyle name="Milliers 5 4 3 4 2 2" xfId="8154"/>
    <cellStyle name="Milliers 5 4 3 4 3" xfId="5994"/>
    <cellStyle name="Milliers 5 4 3 5" xfId="2394"/>
    <cellStyle name="Milliers 5 4 3 5 2" xfId="6714"/>
    <cellStyle name="Milliers 5 4 3 6" xfId="4554"/>
    <cellStyle name="Milliers 5 4 4" xfId="414"/>
    <cellStyle name="Milliers 5 4 4 2" xfId="1134"/>
    <cellStyle name="Milliers 5 4 4 2 2" xfId="3294"/>
    <cellStyle name="Milliers 5 4 4 2 2 2" xfId="7614"/>
    <cellStyle name="Milliers 5 4 4 2 3" xfId="5454"/>
    <cellStyle name="Milliers 5 4 4 3" xfId="1854"/>
    <cellStyle name="Milliers 5 4 4 3 2" xfId="4014"/>
    <cellStyle name="Milliers 5 4 4 3 2 2" xfId="8334"/>
    <cellStyle name="Milliers 5 4 4 3 3" xfId="6174"/>
    <cellStyle name="Milliers 5 4 4 4" xfId="2574"/>
    <cellStyle name="Milliers 5 4 4 4 2" xfId="6894"/>
    <cellStyle name="Milliers 5 4 4 5" xfId="4734"/>
    <cellStyle name="Milliers 5 4 5" xfId="774"/>
    <cellStyle name="Milliers 5 4 5 2" xfId="2934"/>
    <cellStyle name="Milliers 5 4 5 2 2" xfId="7254"/>
    <cellStyle name="Milliers 5 4 5 3" xfId="5094"/>
    <cellStyle name="Milliers 5 4 6" xfId="1494"/>
    <cellStyle name="Milliers 5 4 6 2" xfId="3654"/>
    <cellStyle name="Milliers 5 4 6 2 2" xfId="7974"/>
    <cellStyle name="Milliers 5 4 6 3" xfId="5814"/>
    <cellStyle name="Milliers 5 4 7" xfId="2214"/>
    <cellStyle name="Milliers 5 4 7 2" xfId="6534"/>
    <cellStyle name="Milliers 5 4 8" xfId="4374"/>
    <cellStyle name="Milliers 5 5" xfId="99"/>
    <cellStyle name="Milliers 5 5 2" xfId="279"/>
    <cellStyle name="Milliers 5 5 2 2" xfId="639"/>
    <cellStyle name="Milliers 5 5 2 2 2" xfId="1359"/>
    <cellStyle name="Milliers 5 5 2 2 2 2" xfId="3519"/>
    <cellStyle name="Milliers 5 5 2 2 2 2 2" xfId="7839"/>
    <cellStyle name="Milliers 5 5 2 2 2 3" xfId="5679"/>
    <cellStyle name="Milliers 5 5 2 2 3" xfId="2079"/>
    <cellStyle name="Milliers 5 5 2 2 3 2" xfId="4239"/>
    <cellStyle name="Milliers 5 5 2 2 3 2 2" xfId="8559"/>
    <cellStyle name="Milliers 5 5 2 2 3 3" xfId="6399"/>
    <cellStyle name="Milliers 5 5 2 2 4" xfId="2799"/>
    <cellStyle name="Milliers 5 5 2 2 4 2" xfId="7119"/>
    <cellStyle name="Milliers 5 5 2 2 5" xfId="4959"/>
    <cellStyle name="Milliers 5 5 2 3" xfId="999"/>
    <cellStyle name="Milliers 5 5 2 3 2" xfId="3159"/>
    <cellStyle name="Milliers 5 5 2 3 2 2" xfId="7479"/>
    <cellStyle name="Milliers 5 5 2 3 3" xfId="5319"/>
    <cellStyle name="Milliers 5 5 2 4" xfId="1719"/>
    <cellStyle name="Milliers 5 5 2 4 2" xfId="3879"/>
    <cellStyle name="Milliers 5 5 2 4 2 2" xfId="8199"/>
    <cellStyle name="Milliers 5 5 2 4 3" xfId="6039"/>
    <cellStyle name="Milliers 5 5 2 5" xfId="2439"/>
    <cellStyle name="Milliers 5 5 2 5 2" xfId="6759"/>
    <cellStyle name="Milliers 5 5 2 6" xfId="4599"/>
    <cellStyle name="Milliers 5 5 3" xfId="459"/>
    <cellStyle name="Milliers 5 5 3 2" xfId="1179"/>
    <cellStyle name="Milliers 5 5 3 2 2" xfId="3339"/>
    <cellStyle name="Milliers 5 5 3 2 2 2" xfId="7659"/>
    <cellStyle name="Milliers 5 5 3 2 3" xfId="5499"/>
    <cellStyle name="Milliers 5 5 3 3" xfId="1899"/>
    <cellStyle name="Milliers 5 5 3 3 2" xfId="4059"/>
    <cellStyle name="Milliers 5 5 3 3 2 2" xfId="8379"/>
    <cellStyle name="Milliers 5 5 3 3 3" xfId="6219"/>
    <cellStyle name="Milliers 5 5 3 4" xfId="2619"/>
    <cellStyle name="Milliers 5 5 3 4 2" xfId="6939"/>
    <cellStyle name="Milliers 5 5 3 5" xfId="4779"/>
    <cellStyle name="Milliers 5 5 4" xfId="819"/>
    <cellStyle name="Milliers 5 5 4 2" xfId="2979"/>
    <cellStyle name="Milliers 5 5 4 2 2" xfId="7299"/>
    <cellStyle name="Milliers 5 5 4 3" xfId="5139"/>
    <cellStyle name="Milliers 5 5 5" xfId="1539"/>
    <cellStyle name="Milliers 5 5 5 2" xfId="3699"/>
    <cellStyle name="Milliers 5 5 5 2 2" xfId="8019"/>
    <cellStyle name="Milliers 5 5 5 3" xfId="5859"/>
    <cellStyle name="Milliers 5 5 6" xfId="2259"/>
    <cellStyle name="Milliers 5 5 6 2" xfId="6579"/>
    <cellStyle name="Milliers 5 5 7" xfId="4419"/>
    <cellStyle name="Milliers 5 6" xfId="189"/>
    <cellStyle name="Milliers 5 6 2" xfId="549"/>
    <cellStyle name="Milliers 5 6 2 2" xfId="1269"/>
    <cellStyle name="Milliers 5 6 2 2 2" xfId="3429"/>
    <cellStyle name="Milliers 5 6 2 2 2 2" xfId="7749"/>
    <cellStyle name="Milliers 5 6 2 2 3" xfId="5589"/>
    <cellStyle name="Milliers 5 6 2 3" xfId="1989"/>
    <cellStyle name="Milliers 5 6 2 3 2" xfId="4149"/>
    <cellStyle name="Milliers 5 6 2 3 2 2" xfId="8469"/>
    <cellStyle name="Milliers 5 6 2 3 3" xfId="6309"/>
    <cellStyle name="Milliers 5 6 2 4" xfId="2709"/>
    <cellStyle name="Milliers 5 6 2 4 2" xfId="7029"/>
    <cellStyle name="Milliers 5 6 2 5" xfId="4869"/>
    <cellStyle name="Milliers 5 6 3" xfId="909"/>
    <cellStyle name="Milliers 5 6 3 2" xfId="3069"/>
    <cellStyle name="Milliers 5 6 3 2 2" xfId="7389"/>
    <cellStyle name="Milliers 5 6 3 3" xfId="5229"/>
    <cellStyle name="Milliers 5 6 4" xfId="1629"/>
    <cellStyle name="Milliers 5 6 4 2" xfId="3789"/>
    <cellStyle name="Milliers 5 6 4 2 2" xfId="8109"/>
    <cellStyle name="Milliers 5 6 4 3" xfId="5949"/>
    <cellStyle name="Milliers 5 6 5" xfId="2349"/>
    <cellStyle name="Milliers 5 6 5 2" xfId="6669"/>
    <cellStyle name="Milliers 5 6 6" xfId="4509"/>
    <cellStyle name="Milliers 5 7" xfId="369"/>
    <cellStyle name="Milliers 5 7 2" xfId="1089"/>
    <cellStyle name="Milliers 5 7 2 2" xfId="3249"/>
    <cellStyle name="Milliers 5 7 2 2 2" xfId="7569"/>
    <cellStyle name="Milliers 5 7 2 3" xfId="5409"/>
    <cellStyle name="Milliers 5 7 3" xfId="1809"/>
    <cellStyle name="Milliers 5 7 3 2" xfId="3969"/>
    <cellStyle name="Milliers 5 7 3 2 2" xfId="8289"/>
    <cellStyle name="Milliers 5 7 3 3" xfId="6129"/>
    <cellStyle name="Milliers 5 7 4" xfId="2529"/>
    <cellStyle name="Milliers 5 7 4 2" xfId="6849"/>
    <cellStyle name="Milliers 5 7 5" xfId="4689"/>
    <cellStyle name="Milliers 5 8" xfId="729"/>
    <cellStyle name="Milliers 5 8 2" xfId="2889"/>
    <cellStyle name="Milliers 5 8 2 2" xfId="7209"/>
    <cellStyle name="Milliers 5 8 3" xfId="5049"/>
    <cellStyle name="Milliers 5 9" xfId="1449"/>
    <cellStyle name="Milliers 5 9 2" xfId="3609"/>
    <cellStyle name="Milliers 5 9 2 2" xfId="7929"/>
    <cellStyle name="Milliers 5 9 3" xfId="5769"/>
    <cellStyle name="Milliers 6" xfId="15"/>
    <cellStyle name="Milliers 6 10" xfId="2175"/>
    <cellStyle name="Milliers 6 10 2" xfId="6495"/>
    <cellStyle name="Milliers 6 11" xfId="4335"/>
    <cellStyle name="Milliers 6 2" xfId="30"/>
    <cellStyle name="Milliers 6 2 2" xfId="75"/>
    <cellStyle name="Milliers 6 2 2 2" xfId="165"/>
    <cellStyle name="Milliers 6 2 2 2 2" xfId="345"/>
    <cellStyle name="Milliers 6 2 2 2 2 2" xfId="705"/>
    <cellStyle name="Milliers 6 2 2 2 2 2 2" xfId="1425"/>
    <cellStyle name="Milliers 6 2 2 2 2 2 2 2" xfId="3585"/>
    <cellStyle name="Milliers 6 2 2 2 2 2 2 2 2" xfId="7905"/>
    <cellStyle name="Milliers 6 2 2 2 2 2 2 3" xfId="5745"/>
    <cellStyle name="Milliers 6 2 2 2 2 2 3" xfId="2145"/>
    <cellStyle name="Milliers 6 2 2 2 2 2 3 2" xfId="4305"/>
    <cellStyle name="Milliers 6 2 2 2 2 2 3 2 2" xfId="8625"/>
    <cellStyle name="Milliers 6 2 2 2 2 2 3 3" xfId="6465"/>
    <cellStyle name="Milliers 6 2 2 2 2 2 4" xfId="2865"/>
    <cellStyle name="Milliers 6 2 2 2 2 2 4 2" xfId="7185"/>
    <cellStyle name="Milliers 6 2 2 2 2 2 5" xfId="5025"/>
    <cellStyle name="Milliers 6 2 2 2 2 3" xfId="1065"/>
    <cellStyle name="Milliers 6 2 2 2 2 3 2" xfId="3225"/>
    <cellStyle name="Milliers 6 2 2 2 2 3 2 2" xfId="7545"/>
    <cellStyle name="Milliers 6 2 2 2 2 3 3" xfId="5385"/>
    <cellStyle name="Milliers 6 2 2 2 2 4" xfId="1785"/>
    <cellStyle name="Milliers 6 2 2 2 2 4 2" xfId="3945"/>
    <cellStyle name="Milliers 6 2 2 2 2 4 2 2" xfId="8265"/>
    <cellStyle name="Milliers 6 2 2 2 2 4 3" xfId="6105"/>
    <cellStyle name="Milliers 6 2 2 2 2 5" xfId="2505"/>
    <cellStyle name="Milliers 6 2 2 2 2 5 2" xfId="6825"/>
    <cellStyle name="Milliers 6 2 2 2 2 6" xfId="4665"/>
    <cellStyle name="Milliers 6 2 2 2 3" xfId="525"/>
    <cellStyle name="Milliers 6 2 2 2 3 2" xfId="1245"/>
    <cellStyle name="Milliers 6 2 2 2 3 2 2" xfId="3405"/>
    <cellStyle name="Milliers 6 2 2 2 3 2 2 2" xfId="7725"/>
    <cellStyle name="Milliers 6 2 2 2 3 2 3" xfId="5565"/>
    <cellStyle name="Milliers 6 2 2 2 3 3" xfId="1965"/>
    <cellStyle name="Milliers 6 2 2 2 3 3 2" xfId="4125"/>
    <cellStyle name="Milliers 6 2 2 2 3 3 2 2" xfId="8445"/>
    <cellStyle name="Milliers 6 2 2 2 3 3 3" xfId="6285"/>
    <cellStyle name="Milliers 6 2 2 2 3 4" xfId="2685"/>
    <cellStyle name="Milliers 6 2 2 2 3 4 2" xfId="7005"/>
    <cellStyle name="Milliers 6 2 2 2 3 5" xfId="4845"/>
    <cellStyle name="Milliers 6 2 2 2 4" xfId="885"/>
    <cellStyle name="Milliers 6 2 2 2 4 2" xfId="3045"/>
    <cellStyle name="Milliers 6 2 2 2 4 2 2" xfId="7365"/>
    <cellStyle name="Milliers 6 2 2 2 4 3" xfId="5205"/>
    <cellStyle name="Milliers 6 2 2 2 5" xfId="1605"/>
    <cellStyle name="Milliers 6 2 2 2 5 2" xfId="3765"/>
    <cellStyle name="Milliers 6 2 2 2 5 2 2" xfId="8085"/>
    <cellStyle name="Milliers 6 2 2 2 5 3" xfId="5925"/>
    <cellStyle name="Milliers 6 2 2 2 6" xfId="2325"/>
    <cellStyle name="Milliers 6 2 2 2 6 2" xfId="6645"/>
    <cellStyle name="Milliers 6 2 2 2 7" xfId="4485"/>
    <cellStyle name="Milliers 6 2 2 3" xfId="255"/>
    <cellStyle name="Milliers 6 2 2 3 2" xfId="615"/>
    <cellStyle name="Milliers 6 2 2 3 2 2" xfId="1335"/>
    <cellStyle name="Milliers 6 2 2 3 2 2 2" xfId="3495"/>
    <cellStyle name="Milliers 6 2 2 3 2 2 2 2" xfId="7815"/>
    <cellStyle name="Milliers 6 2 2 3 2 2 3" xfId="5655"/>
    <cellStyle name="Milliers 6 2 2 3 2 3" xfId="2055"/>
    <cellStyle name="Milliers 6 2 2 3 2 3 2" xfId="4215"/>
    <cellStyle name="Milliers 6 2 2 3 2 3 2 2" xfId="8535"/>
    <cellStyle name="Milliers 6 2 2 3 2 3 3" xfId="6375"/>
    <cellStyle name="Milliers 6 2 2 3 2 4" xfId="2775"/>
    <cellStyle name="Milliers 6 2 2 3 2 4 2" xfId="7095"/>
    <cellStyle name="Milliers 6 2 2 3 2 5" xfId="4935"/>
    <cellStyle name="Milliers 6 2 2 3 3" xfId="975"/>
    <cellStyle name="Milliers 6 2 2 3 3 2" xfId="3135"/>
    <cellStyle name="Milliers 6 2 2 3 3 2 2" xfId="7455"/>
    <cellStyle name="Milliers 6 2 2 3 3 3" xfId="5295"/>
    <cellStyle name="Milliers 6 2 2 3 4" xfId="1695"/>
    <cellStyle name="Milliers 6 2 2 3 4 2" xfId="3855"/>
    <cellStyle name="Milliers 6 2 2 3 4 2 2" xfId="8175"/>
    <cellStyle name="Milliers 6 2 2 3 4 3" xfId="6015"/>
    <cellStyle name="Milliers 6 2 2 3 5" xfId="2415"/>
    <cellStyle name="Milliers 6 2 2 3 5 2" xfId="6735"/>
    <cellStyle name="Milliers 6 2 2 3 6" xfId="4575"/>
    <cellStyle name="Milliers 6 2 2 4" xfId="435"/>
    <cellStyle name="Milliers 6 2 2 4 2" xfId="1155"/>
    <cellStyle name="Milliers 6 2 2 4 2 2" xfId="3315"/>
    <cellStyle name="Milliers 6 2 2 4 2 2 2" xfId="7635"/>
    <cellStyle name="Milliers 6 2 2 4 2 3" xfId="5475"/>
    <cellStyle name="Milliers 6 2 2 4 3" xfId="1875"/>
    <cellStyle name="Milliers 6 2 2 4 3 2" xfId="4035"/>
    <cellStyle name="Milliers 6 2 2 4 3 2 2" xfId="8355"/>
    <cellStyle name="Milliers 6 2 2 4 3 3" xfId="6195"/>
    <cellStyle name="Milliers 6 2 2 4 4" xfId="2595"/>
    <cellStyle name="Milliers 6 2 2 4 4 2" xfId="6915"/>
    <cellStyle name="Milliers 6 2 2 4 5" xfId="4755"/>
    <cellStyle name="Milliers 6 2 2 5" xfId="795"/>
    <cellStyle name="Milliers 6 2 2 5 2" xfId="2955"/>
    <cellStyle name="Milliers 6 2 2 5 2 2" xfId="7275"/>
    <cellStyle name="Milliers 6 2 2 5 3" xfId="5115"/>
    <cellStyle name="Milliers 6 2 2 6" xfId="1515"/>
    <cellStyle name="Milliers 6 2 2 6 2" xfId="3675"/>
    <cellStyle name="Milliers 6 2 2 6 2 2" xfId="7995"/>
    <cellStyle name="Milliers 6 2 2 6 3" xfId="5835"/>
    <cellStyle name="Milliers 6 2 2 7" xfId="2235"/>
    <cellStyle name="Milliers 6 2 2 7 2" xfId="6555"/>
    <cellStyle name="Milliers 6 2 2 8" xfId="4395"/>
    <cellStyle name="Milliers 6 2 3" xfId="120"/>
    <cellStyle name="Milliers 6 2 3 2" xfId="300"/>
    <cellStyle name="Milliers 6 2 3 2 2" xfId="660"/>
    <cellStyle name="Milliers 6 2 3 2 2 2" xfId="1380"/>
    <cellStyle name="Milliers 6 2 3 2 2 2 2" xfId="3540"/>
    <cellStyle name="Milliers 6 2 3 2 2 2 2 2" xfId="7860"/>
    <cellStyle name="Milliers 6 2 3 2 2 2 3" xfId="5700"/>
    <cellStyle name="Milliers 6 2 3 2 2 3" xfId="2100"/>
    <cellStyle name="Milliers 6 2 3 2 2 3 2" xfId="4260"/>
    <cellStyle name="Milliers 6 2 3 2 2 3 2 2" xfId="8580"/>
    <cellStyle name="Milliers 6 2 3 2 2 3 3" xfId="6420"/>
    <cellStyle name="Milliers 6 2 3 2 2 4" xfId="2820"/>
    <cellStyle name="Milliers 6 2 3 2 2 4 2" xfId="7140"/>
    <cellStyle name="Milliers 6 2 3 2 2 5" xfId="4980"/>
    <cellStyle name="Milliers 6 2 3 2 3" xfId="1020"/>
    <cellStyle name="Milliers 6 2 3 2 3 2" xfId="3180"/>
    <cellStyle name="Milliers 6 2 3 2 3 2 2" xfId="7500"/>
    <cellStyle name="Milliers 6 2 3 2 3 3" xfId="5340"/>
    <cellStyle name="Milliers 6 2 3 2 4" xfId="1740"/>
    <cellStyle name="Milliers 6 2 3 2 4 2" xfId="3900"/>
    <cellStyle name="Milliers 6 2 3 2 4 2 2" xfId="8220"/>
    <cellStyle name="Milliers 6 2 3 2 4 3" xfId="6060"/>
    <cellStyle name="Milliers 6 2 3 2 5" xfId="2460"/>
    <cellStyle name="Milliers 6 2 3 2 5 2" xfId="6780"/>
    <cellStyle name="Milliers 6 2 3 2 6" xfId="4620"/>
    <cellStyle name="Milliers 6 2 3 3" xfId="480"/>
    <cellStyle name="Milliers 6 2 3 3 2" xfId="1200"/>
    <cellStyle name="Milliers 6 2 3 3 2 2" xfId="3360"/>
    <cellStyle name="Milliers 6 2 3 3 2 2 2" xfId="7680"/>
    <cellStyle name="Milliers 6 2 3 3 2 3" xfId="5520"/>
    <cellStyle name="Milliers 6 2 3 3 3" xfId="1920"/>
    <cellStyle name="Milliers 6 2 3 3 3 2" xfId="4080"/>
    <cellStyle name="Milliers 6 2 3 3 3 2 2" xfId="8400"/>
    <cellStyle name="Milliers 6 2 3 3 3 3" xfId="6240"/>
    <cellStyle name="Milliers 6 2 3 3 4" xfId="2640"/>
    <cellStyle name="Milliers 6 2 3 3 4 2" xfId="6960"/>
    <cellStyle name="Milliers 6 2 3 3 5" xfId="4800"/>
    <cellStyle name="Milliers 6 2 3 4" xfId="840"/>
    <cellStyle name="Milliers 6 2 3 4 2" xfId="3000"/>
    <cellStyle name="Milliers 6 2 3 4 2 2" xfId="7320"/>
    <cellStyle name="Milliers 6 2 3 4 3" xfId="5160"/>
    <cellStyle name="Milliers 6 2 3 5" xfId="1560"/>
    <cellStyle name="Milliers 6 2 3 5 2" xfId="3720"/>
    <cellStyle name="Milliers 6 2 3 5 2 2" xfId="8040"/>
    <cellStyle name="Milliers 6 2 3 5 3" xfId="5880"/>
    <cellStyle name="Milliers 6 2 3 6" xfId="2280"/>
    <cellStyle name="Milliers 6 2 3 6 2" xfId="6600"/>
    <cellStyle name="Milliers 6 2 3 7" xfId="4440"/>
    <cellStyle name="Milliers 6 2 4" xfId="210"/>
    <cellStyle name="Milliers 6 2 4 2" xfId="570"/>
    <cellStyle name="Milliers 6 2 4 2 2" xfId="1290"/>
    <cellStyle name="Milliers 6 2 4 2 2 2" xfId="3450"/>
    <cellStyle name="Milliers 6 2 4 2 2 2 2" xfId="7770"/>
    <cellStyle name="Milliers 6 2 4 2 2 3" xfId="5610"/>
    <cellStyle name="Milliers 6 2 4 2 3" xfId="2010"/>
    <cellStyle name="Milliers 6 2 4 2 3 2" xfId="4170"/>
    <cellStyle name="Milliers 6 2 4 2 3 2 2" xfId="8490"/>
    <cellStyle name="Milliers 6 2 4 2 3 3" xfId="6330"/>
    <cellStyle name="Milliers 6 2 4 2 4" xfId="2730"/>
    <cellStyle name="Milliers 6 2 4 2 4 2" xfId="7050"/>
    <cellStyle name="Milliers 6 2 4 2 5" xfId="4890"/>
    <cellStyle name="Milliers 6 2 4 3" xfId="930"/>
    <cellStyle name="Milliers 6 2 4 3 2" xfId="3090"/>
    <cellStyle name="Milliers 6 2 4 3 2 2" xfId="7410"/>
    <cellStyle name="Milliers 6 2 4 3 3" xfId="5250"/>
    <cellStyle name="Milliers 6 2 4 4" xfId="1650"/>
    <cellStyle name="Milliers 6 2 4 4 2" xfId="3810"/>
    <cellStyle name="Milliers 6 2 4 4 2 2" xfId="8130"/>
    <cellStyle name="Milliers 6 2 4 4 3" xfId="5970"/>
    <cellStyle name="Milliers 6 2 4 5" xfId="2370"/>
    <cellStyle name="Milliers 6 2 4 5 2" xfId="6690"/>
    <cellStyle name="Milliers 6 2 4 6" xfId="4530"/>
    <cellStyle name="Milliers 6 2 5" xfId="390"/>
    <cellStyle name="Milliers 6 2 5 2" xfId="1110"/>
    <cellStyle name="Milliers 6 2 5 2 2" xfId="3270"/>
    <cellStyle name="Milliers 6 2 5 2 2 2" xfId="7590"/>
    <cellStyle name="Milliers 6 2 5 2 3" xfId="5430"/>
    <cellStyle name="Milliers 6 2 5 3" xfId="1830"/>
    <cellStyle name="Milliers 6 2 5 3 2" xfId="3990"/>
    <cellStyle name="Milliers 6 2 5 3 2 2" xfId="8310"/>
    <cellStyle name="Milliers 6 2 5 3 3" xfId="6150"/>
    <cellStyle name="Milliers 6 2 5 4" xfId="2550"/>
    <cellStyle name="Milliers 6 2 5 4 2" xfId="6870"/>
    <cellStyle name="Milliers 6 2 5 5" xfId="4710"/>
    <cellStyle name="Milliers 6 2 6" xfId="750"/>
    <cellStyle name="Milliers 6 2 6 2" xfId="2910"/>
    <cellStyle name="Milliers 6 2 6 2 2" xfId="7230"/>
    <cellStyle name="Milliers 6 2 6 3" xfId="5070"/>
    <cellStyle name="Milliers 6 2 7" xfId="1470"/>
    <cellStyle name="Milliers 6 2 7 2" xfId="3630"/>
    <cellStyle name="Milliers 6 2 7 2 2" xfId="7950"/>
    <cellStyle name="Milliers 6 2 7 3" xfId="5790"/>
    <cellStyle name="Milliers 6 2 8" xfId="2190"/>
    <cellStyle name="Milliers 6 2 8 2" xfId="6510"/>
    <cellStyle name="Milliers 6 2 9" xfId="4350"/>
    <cellStyle name="Milliers 6 3" xfId="45"/>
    <cellStyle name="Milliers 6 3 2" xfId="90"/>
    <cellStyle name="Milliers 6 3 2 2" xfId="180"/>
    <cellStyle name="Milliers 6 3 2 2 2" xfId="360"/>
    <cellStyle name="Milliers 6 3 2 2 2 2" xfId="720"/>
    <cellStyle name="Milliers 6 3 2 2 2 2 2" xfId="1440"/>
    <cellStyle name="Milliers 6 3 2 2 2 2 2 2" xfId="3600"/>
    <cellStyle name="Milliers 6 3 2 2 2 2 2 2 2" xfId="7920"/>
    <cellStyle name="Milliers 6 3 2 2 2 2 2 3" xfId="5760"/>
    <cellStyle name="Milliers 6 3 2 2 2 2 3" xfId="2160"/>
    <cellStyle name="Milliers 6 3 2 2 2 2 3 2" xfId="4320"/>
    <cellStyle name="Milliers 6 3 2 2 2 2 3 2 2" xfId="8640"/>
    <cellStyle name="Milliers 6 3 2 2 2 2 3 3" xfId="6480"/>
    <cellStyle name="Milliers 6 3 2 2 2 2 4" xfId="2880"/>
    <cellStyle name="Milliers 6 3 2 2 2 2 4 2" xfId="7200"/>
    <cellStyle name="Milliers 6 3 2 2 2 2 5" xfId="5040"/>
    <cellStyle name="Milliers 6 3 2 2 2 3" xfId="1080"/>
    <cellStyle name="Milliers 6 3 2 2 2 3 2" xfId="3240"/>
    <cellStyle name="Milliers 6 3 2 2 2 3 2 2" xfId="7560"/>
    <cellStyle name="Milliers 6 3 2 2 2 3 3" xfId="5400"/>
    <cellStyle name="Milliers 6 3 2 2 2 4" xfId="1800"/>
    <cellStyle name="Milliers 6 3 2 2 2 4 2" xfId="3960"/>
    <cellStyle name="Milliers 6 3 2 2 2 4 2 2" xfId="8280"/>
    <cellStyle name="Milliers 6 3 2 2 2 4 3" xfId="6120"/>
    <cellStyle name="Milliers 6 3 2 2 2 5" xfId="2520"/>
    <cellStyle name="Milliers 6 3 2 2 2 5 2" xfId="6840"/>
    <cellStyle name="Milliers 6 3 2 2 2 6" xfId="4680"/>
    <cellStyle name="Milliers 6 3 2 2 3" xfId="540"/>
    <cellStyle name="Milliers 6 3 2 2 3 2" xfId="1260"/>
    <cellStyle name="Milliers 6 3 2 2 3 2 2" xfId="3420"/>
    <cellStyle name="Milliers 6 3 2 2 3 2 2 2" xfId="7740"/>
    <cellStyle name="Milliers 6 3 2 2 3 2 3" xfId="5580"/>
    <cellStyle name="Milliers 6 3 2 2 3 3" xfId="1980"/>
    <cellStyle name="Milliers 6 3 2 2 3 3 2" xfId="4140"/>
    <cellStyle name="Milliers 6 3 2 2 3 3 2 2" xfId="8460"/>
    <cellStyle name="Milliers 6 3 2 2 3 3 3" xfId="6300"/>
    <cellStyle name="Milliers 6 3 2 2 3 4" xfId="2700"/>
    <cellStyle name="Milliers 6 3 2 2 3 4 2" xfId="7020"/>
    <cellStyle name="Milliers 6 3 2 2 3 5" xfId="4860"/>
    <cellStyle name="Milliers 6 3 2 2 4" xfId="900"/>
    <cellStyle name="Milliers 6 3 2 2 4 2" xfId="3060"/>
    <cellStyle name="Milliers 6 3 2 2 4 2 2" xfId="7380"/>
    <cellStyle name="Milliers 6 3 2 2 4 3" xfId="5220"/>
    <cellStyle name="Milliers 6 3 2 2 5" xfId="1620"/>
    <cellStyle name="Milliers 6 3 2 2 5 2" xfId="3780"/>
    <cellStyle name="Milliers 6 3 2 2 5 2 2" xfId="8100"/>
    <cellStyle name="Milliers 6 3 2 2 5 3" xfId="5940"/>
    <cellStyle name="Milliers 6 3 2 2 6" xfId="2340"/>
    <cellStyle name="Milliers 6 3 2 2 6 2" xfId="6660"/>
    <cellStyle name="Milliers 6 3 2 2 7" xfId="4500"/>
    <cellStyle name="Milliers 6 3 2 3" xfId="270"/>
    <cellStyle name="Milliers 6 3 2 3 2" xfId="630"/>
    <cellStyle name="Milliers 6 3 2 3 2 2" xfId="1350"/>
    <cellStyle name="Milliers 6 3 2 3 2 2 2" xfId="3510"/>
    <cellStyle name="Milliers 6 3 2 3 2 2 2 2" xfId="7830"/>
    <cellStyle name="Milliers 6 3 2 3 2 2 3" xfId="5670"/>
    <cellStyle name="Milliers 6 3 2 3 2 3" xfId="2070"/>
    <cellStyle name="Milliers 6 3 2 3 2 3 2" xfId="4230"/>
    <cellStyle name="Milliers 6 3 2 3 2 3 2 2" xfId="8550"/>
    <cellStyle name="Milliers 6 3 2 3 2 3 3" xfId="6390"/>
    <cellStyle name="Milliers 6 3 2 3 2 4" xfId="2790"/>
    <cellStyle name="Milliers 6 3 2 3 2 4 2" xfId="7110"/>
    <cellStyle name="Milliers 6 3 2 3 2 5" xfId="4950"/>
    <cellStyle name="Milliers 6 3 2 3 3" xfId="990"/>
    <cellStyle name="Milliers 6 3 2 3 3 2" xfId="3150"/>
    <cellStyle name="Milliers 6 3 2 3 3 2 2" xfId="7470"/>
    <cellStyle name="Milliers 6 3 2 3 3 3" xfId="5310"/>
    <cellStyle name="Milliers 6 3 2 3 4" xfId="1710"/>
    <cellStyle name="Milliers 6 3 2 3 4 2" xfId="3870"/>
    <cellStyle name="Milliers 6 3 2 3 4 2 2" xfId="8190"/>
    <cellStyle name="Milliers 6 3 2 3 4 3" xfId="6030"/>
    <cellStyle name="Milliers 6 3 2 3 5" xfId="2430"/>
    <cellStyle name="Milliers 6 3 2 3 5 2" xfId="6750"/>
    <cellStyle name="Milliers 6 3 2 3 6" xfId="4590"/>
    <cellStyle name="Milliers 6 3 2 4" xfId="450"/>
    <cellStyle name="Milliers 6 3 2 4 2" xfId="1170"/>
    <cellStyle name="Milliers 6 3 2 4 2 2" xfId="3330"/>
    <cellStyle name="Milliers 6 3 2 4 2 2 2" xfId="7650"/>
    <cellStyle name="Milliers 6 3 2 4 2 3" xfId="5490"/>
    <cellStyle name="Milliers 6 3 2 4 3" xfId="1890"/>
    <cellStyle name="Milliers 6 3 2 4 3 2" xfId="4050"/>
    <cellStyle name="Milliers 6 3 2 4 3 2 2" xfId="8370"/>
    <cellStyle name="Milliers 6 3 2 4 3 3" xfId="6210"/>
    <cellStyle name="Milliers 6 3 2 4 4" xfId="2610"/>
    <cellStyle name="Milliers 6 3 2 4 4 2" xfId="6930"/>
    <cellStyle name="Milliers 6 3 2 4 5" xfId="4770"/>
    <cellStyle name="Milliers 6 3 2 5" xfId="810"/>
    <cellStyle name="Milliers 6 3 2 5 2" xfId="2970"/>
    <cellStyle name="Milliers 6 3 2 5 2 2" xfId="7290"/>
    <cellStyle name="Milliers 6 3 2 5 3" xfId="5130"/>
    <cellStyle name="Milliers 6 3 2 6" xfId="1530"/>
    <cellStyle name="Milliers 6 3 2 6 2" xfId="3690"/>
    <cellStyle name="Milliers 6 3 2 6 2 2" xfId="8010"/>
    <cellStyle name="Milliers 6 3 2 6 3" xfId="5850"/>
    <cellStyle name="Milliers 6 3 2 7" xfId="2250"/>
    <cellStyle name="Milliers 6 3 2 7 2" xfId="6570"/>
    <cellStyle name="Milliers 6 3 2 8" xfId="4410"/>
    <cellStyle name="Milliers 6 3 3" xfId="135"/>
    <cellStyle name="Milliers 6 3 3 2" xfId="315"/>
    <cellStyle name="Milliers 6 3 3 2 2" xfId="675"/>
    <cellStyle name="Milliers 6 3 3 2 2 2" xfId="1395"/>
    <cellStyle name="Milliers 6 3 3 2 2 2 2" xfId="3555"/>
    <cellStyle name="Milliers 6 3 3 2 2 2 2 2" xfId="7875"/>
    <cellStyle name="Milliers 6 3 3 2 2 2 3" xfId="5715"/>
    <cellStyle name="Milliers 6 3 3 2 2 3" xfId="2115"/>
    <cellStyle name="Milliers 6 3 3 2 2 3 2" xfId="4275"/>
    <cellStyle name="Milliers 6 3 3 2 2 3 2 2" xfId="8595"/>
    <cellStyle name="Milliers 6 3 3 2 2 3 3" xfId="6435"/>
    <cellStyle name="Milliers 6 3 3 2 2 4" xfId="2835"/>
    <cellStyle name="Milliers 6 3 3 2 2 4 2" xfId="7155"/>
    <cellStyle name="Milliers 6 3 3 2 2 5" xfId="4995"/>
    <cellStyle name="Milliers 6 3 3 2 3" xfId="1035"/>
    <cellStyle name="Milliers 6 3 3 2 3 2" xfId="3195"/>
    <cellStyle name="Milliers 6 3 3 2 3 2 2" xfId="7515"/>
    <cellStyle name="Milliers 6 3 3 2 3 3" xfId="5355"/>
    <cellStyle name="Milliers 6 3 3 2 4" xfId="1755"/>
    <cellStyle name="Milliers 6 3 3 2 4 2" xfId="3915"/>
    <cellStyle name="Milliers 6 3 3 2 4 2 2" xfId="8235"/>
    <cellStyle name="Milliers 6 3 3 2 4 3" xfId="6075"/>
    <cellStyle name="Milliers 6 3 3 2 5" xfId="2475"/>
    <cellStyle name="Milliers 6 3 3 2 5 2" xfId="6795"/>
    <cellStyle name="Milliers 6 3 3 2 6" xfId="4635"/>
    <cellStyle name="Milliers 6 3 3 3" xfId="495"/>
    <cellStyle name="Milliers 6 3 3 3 2" xfId="1215"/>
    <cellStyle name="Milliers 6 3 3 3 2 2" xfId="3375"/>
    <cellStyle name="Milliers 6 3 3 3 2 2 2" xfId="7695"/>
    <cellStyle name="Milliers 6 3 3 3 2 3" xfId="5535"/>
    <cellStyle name="Milliers 6 3 3 3 3" xfId="1935"/>
    <cellStyle name="Milliers 6 3 3 3 3 2" xfId="4095"/>
    <cellStyle name="Milliers 6 3 3 3 3 2 2" xfId="8415"/>
    <cellStyle name="Milliers 6 3 3 3 3 3" xfId="6255"/>
    <cellStyle name="Milliers 6 3 3 3 4" xfId="2655"/>
    <cellStyle name="Milliers 6 3 3 3 4 2" xfId="6975"/>
    <cellStyle name="Milliers 6 3 3 3 5" xfId="4815"/>
    <cellStyle name="Milliers 6 3 3 4" xfId="855"/>
    <cellStyle name="Milliers 6 3 3 4 2" xfId="3015"/>
    <cellStyle name="Milliers 6 3 3 4 2 2" xfId="7335"/>
    <cellStyle name="Milliers 6 3 3 4 3" xfId="5175"/>
    <cellStyle name="Milliers 6 3 3 5" xfId="1575"/>
    <cellStyle name="Milliers 6 3 3 5 2" xfId="3735"/>
    <cellStyle name="Milliers 6 3 3 5 2 2" xfId="8055"/>
    <cellStyle name="Milliers 6 3 3 5 3" xfId="5895"/>
    <cellStyle name="Milliers 6 3 3 6" xfId="2295"/>
    <cellStyle name="Milliers 6 3 3 6 2" xfId="6615"/>
    <cellStyle name="Milliers 6 3 3 7" xfId="4455"/>
    <cellStyle name="Milliers 6 3 4" xfId="225"/>
    <cellStyle name="Milliers 6 3 4 2" xfId="585"/>
    <cellStyle name="Milliers 6 3 4 2 2" xfId="1305"/>
    <cellStyle name="Milliers 6 3 4 2 2 2" xfId="3465"/>
    <cellStyle name="Milliers 6 3 4 2 2 2 2" xfId="7785"/>
    <cellStyle name="Milliers 6 3 4 2 2 3" xfId="5625"/>
    <cellStyle name="Milliers 6 3 4 2 3" xfId="2025"/>
    <cellStyle name="Milliers 6 3 4 2 3 2" xfId="4185"/>
    <cellStyle name="Milliers 6 3 4 2 3 2 2" xfId="8505"/>
    <cellStyle name="Milliers 6 3 4 2 3 3" xfId="6345"/>
    <cellStyle name="Milliers 6 3 4 2 4" xfId="2745"/>
    <cellStyle name="Milliers 6 3 4 2 4 2" xfId="7065"/>
    <cellStyle name="Milliers 6 3 4 2 5" xfId="4905"/>
    <cellStyle name="Milliers 6 3 4 3" xfId="945"/>
    <cellStyle name="Milliers 6 3 4 3 2" xfId="3105"/>
    <cellStyle name="Milliers 6 3 4 3 2 2" xfId="7425"/>
    <cellStyle name="Milliers 6 3 4 3 3" xfId="5265"/>
    <cellStyle name="Milliers 6 3 4 4" xfId="1665"/>
    <cellStyle name="Milliers 6 3 4 4 2" xfId="3825"/>
    <cellStyle name="Milliers 6 3 4 4 2 2" xfId="8145"/>
    <cellStyle name="Milliers 6 3 4 4 3" xfId="5985"/>
    <cellStyle name="Milliers 6 3 4 5" xfId="2385"/>
    <cellStyle name="Milliers 6 3 4 5 2" xfId="6705"/>
    <cellStyle name="Milliers 6 3 4 6" xfId="4545"/>
    <cellStyle name="Milliers 6 3 5" xfId="405"/>
    <cellStyle name="Milliers 6 3 5 2" xfId="1125"/>
    <cellStyle name="Milliers 6 3 5 2 2" xfId="3285"/>
    <cellStyle name="Milliers 6 3 5 2 2 2" xfId="7605"/>
    <cellStyle name="Milliers 6 3 5 2 3" xfId="5445"/>
    <cellStyle name="Milliers 6 3 5 3" xfId="1845"/>
    <cellStyle name="Milliers 6 3 5 3 2" xfId="4005"/>
    <cellStyle name="Milliers 6 3 5 3 2 2" xfId="8325"/>
    <cellStyle name="Milliers 6 3 5 3 3" xfId="6165"/>
    <cellStyle name="Milliers 6 3 5 4" xfId="2565"/>
    <cellStyle name="Milliers 6 3 5 4 2" xfId="6885"/>
    <cellStyle name="Milliers 6 3 5 5" xfId="4725"/>
    <cellStyle name="Milliers 6 3 6" xfId="765"/>
    <cellStyle name="Milliers 6 3 6 2" xfId="2925"/>
    <cellStyle name="Milliers 6 3 6 2 2" xfId="7245"/>
    <cellStyle name="Milliers 6 3 6 3" xfId="5085"/>
    <cellStyle name="Milliers 6 3 7" xfId="1485"/>
    <cellStyle name="Milliers 6 3 7 2" xfId="3645"/>
    <cellStyle name="Milliers 6 3 7 2 2" xfId="7965"/>
    <cellStyle name="Milliers 6 3 7 3" xfId="5805"/>
    <cellStyle name="Milliers 6 3 8" xfId="2205"/>
    <cellStyle name="Milliers 6 3 8 2" xfId="6525"/>
    <cellStyle name="Milliers 6 3 9" xfId="4365"/>
    <cellStyle name="Milliers 6 4" xfId="60"/>
    <cellStyle name="Milliers 6 4 2" xfId="150"/>
    <cellStyle name="Milliers 6 4 2 2" xfId="330"/>
    <cellStyle name="Milliers 6 4 2 2 2" xfId="690"/>
    <cellStyle name="Milliers 6 4 2 2 2 2" xfId="1410"/>
    <cellStyle name="Milliers 6 4 2 2 2 2 2" xfId="3570"/>
    <cellStyle name="Milliers 6 4 2 2 2 2 2 2" xfId="7890"/>
    <cellStyle name="Milliers 6 4 2 2 2 2 3" xfId="5730"/>
    <cellStyle name="Milliers 6 4 2 2 2 3" xfId="2130"/>
    <cellStyle name="Milliers 6 4 2 2 2 3 2" xfId="4290"/>
    <cellStyle name="Milliers 6 4 2 2 2 3 2 2" xfId="8610"/>
    <cellStyle name="Milliers 6 4 2 2 2 3 3" xfId="6450"/>
    <cellStyle name="Milliers 6 4 2 2 2 4" xfId="2850"/>
    <cellStyle name="Milliers 6 4 2 2 2 4 2" xfId="7170"/>
    <cellStyle name="Milliers 6 4 2 2 2 5" xfId="5010"/>
    <cellStyle name="Milliers 6 4 2 2 3" xfId="1050"/>
    <cellStyle name="Milliers 6 4 2 2 3 2" xfId="3210"/>
    <cellStyle name="Milliers 6 4 2 2 3 2 2" xfId="7530"/>
    <cellStyle name="Milliers 6 4 2 2 3 3" xfId="5370"/>
    <cellStyle name="Milliers 6 4 2 2 4" xfId="1770"/>
    <cellStyle name="Milliers 6 4 2 2 4 2" xfId="3930"/>
    <cellStyle name="Milliers 6 4 2 2 4 2 2" xfId="8250"/>
    <cellStyle name="Milliers 6 4 2 2 4 3" xfId="6090"/>
    <cellStyle name="Milliers 6 4 2 2 5" xfId="2490"/>
    <cellStyle name="Milliers 6 4 2 2 5 2" xfId="6810"/>
    <cellStyle name="Milliers 6 4 2 2 6" xfId="4650"/>
    <cellStyle name="Milliers 6 4 2 3" xfId="510"/>
    <cellStyle name="Milliers 6 4 2 3 2" xfId="1230"/>
    <cellStyle name="Milliers 6 4 2 3 2 2" xfId="3390"/>
    <cellStyle name="Milliers 6 4 2 3 2 2 2" xfId="7710"/>
    <cellStyle name="Milliers 6 4 2 3 2 3" xfId="5550"/>
    <cellStyle name="Milliers 6 4 2 3 3" xfId="1950"/>
    <cellStyle name="Milliers 6 4 2 3 3 2" xfId="4110"/>
    <cellStyle name="Milliers 6 4 2 3 3 2 2" xfId="8430"/>
    <cellStyle name="Milliers 6 4 2 3 3 3" xfId="6270"/>
    <cellStyle name="Milliers 6 4 2 3 4" xfId="2670"/>
    <cellStyle name="Milliers 6 4 2 3 4 2" xfId="6990"/>
    <cellStyle name="Milliers 6 4 2 3 5" xfId="4830"/>
    <cellStyle name="Milliers 6 4 2 4" xfId="870"/>
    <cellStyle name="Milliers 6 4 2 4 2" xfId="3030"/>
    <cellStyle name="Milliers 6 4 2 4 2 2" xfId="7350"/>
    <cellStyle name="Milliers 6 4 2 4 3" xfId="5190"/>
    <cellStyle name="Milliers 6 4 2 5" xfId="1590"/>
    <cellStyle name="Milliers 6 4 2 5 2" xfId="3750"/>
    <cellStyle name="Milliers 6 4 2 5 2 2" xfId="8070"/>
    <cellStyle name="Milliers 6 4 2 5 3" xfId="5910"/>
    <cellStyle name="Milliers 6 4 2 6" xfId="2310"/>
    <cellStyle name="Milliers 6 4 2 6 2" xfId="6630"/>
    <cellStyle name="Milliers 6 4 2 7" xfId="4470"/>
    <cellStyle name="Milliers 6 4 3" xfId="240"/>
    <cellStyle name="Milliers 6 4 3 2" xfId="600"/>
    <cellStyle name="Milliers 6 4 3 2 2" xfId="1320"/>
    <cellStyle name="Milliers 6 4 3 2 2 2" xfId="3480"/>
    <cellStyle name="Milliers 6 4 3 2 2 2 2" xfId="7800"/>
    <cellStyle name="Milliers 6 4 3 2 2 3" xfId="5640"/>
    <cellStyle name="Milliers 6 4 3 2 3" xfId="2040"/>
    <cellStyle name="Milliers 6 4 3 2 3 2" xfId="4200"/>
    <cellStyle name="Milliers 6 4 3 2 3 2 2" xfId="8520"/>
    <cellStyle name="Milliers 6 4 3 2 3 3" xfId="6360"/>
    <cellStyle name="Milliers 6 4 3 2 4" xfId="2760"/>
    <cellStyle name="Milliers 6 4 3 2 4 2" xfId="7080"/>
    <cellStyle name="Milliers 6 4 3 2 5" xfId="4920"/>
    <cellStyle name="Milliers 6 4 3 3" xfId="960"/>
    <cellStyle name="Milliers 6 4 3 3 2" xfId="3120"/>
    <cellStyle name="Milliers 6 4 3 3 2 2" xfId="7440"/>
    <cellStyle name="Milliers 6 4 3 3 3" xfId="5280"/>
    <cellStyle name="Milliers 6 4 3 4" xfId="1680"/>
    <cellStyle name="Milliers 6 4 3 4 2" xfId="3840"/>
    <cellStyle name="Milliers 6 4 3 4 2 2" xfId="8160"/>
    <cellStyle name="Milliers 6 4 3 4 3" xfId="6000"/>
    <cellStyle name="Milliers 6 4 3 5" xfId="2400"/>
    <cellStyle name="Milliers 6 4 3 5 2" xfId="6720"/>
    <cellStyle name="Milliers 6 4 3 6" xfId="4560"/>
    <cellStyle name="Milliers 6 4 4" xfId="420"/>
    <cellStyle name="Milliers 6 4 4 2" xfId="1140"/>
    <cellStyle name="Milliers 6 4 4 2 2" xfId="3300"/>
    <cellStyle name="Milliers 6 4 4 2 2 2" xfId="7620"/>
    <cellStyle name="Milliers 6 4 4 2 3" xfId="5460"/>
    <cellStyle name="Milliers 6 4 4 3" xfId="1860"/>
    <cellStyle name="Milliers 6 4 4 3 2" xfId="4020"/>
    <cellStyle name="Milliers 6 4 4 3 2 2" xfId="8340"/>
    <cellStyle name="Milliers 6 4 4 3 3" xfId="6180"/>
    <cellStyle name="Milliers 6 4 4 4" xfId="2580"/>
    <cellStyle name="Milliers 6 4 4 4 2" xfId="6900"/>
    <cellStyle name="Milliers 6 4 4 5" xfId="4740"/>
    <cellStyle name="Milliers 6 4 5" xfId="780"/>
    <cellStyle name="Milliers 6 4 5 2" xfId="2940"/>
    <cellStyle name="Milliers 6 4 5 2 2" xfId="7260"/>
    <cellStyle name="Milliers 6 4 5 3" xfId="5100"/>
    <cellStyle name="Milliers 6 4 6" xfId="1500"/>
    <cellStyle name="Milliers 6 4 6 2" xfId="3660"/>
    <cellStyle name="Milliers 6 4 6 2 2" xfId="7980"/>
    <cellStyle name="Milliers 6 4 6 3" xfId="5820"/>
    <cellStyle name="Milliers 6 4 7" xfId="2220"/>
    <cellStyle name="Milliers 6 4 7 2" xfId="6540"/>
    <cellStyle name="Milliers 6 4 8" xfId="4380"/>
    <cellStyle name="Milliers 6 5" xfId="105"/>
    <cellStyle name="Milliers 6 5 2" xfId="285"/>
    <cellStyle name="Milliers 6 5 2 2" xfId="645"/>
    <cellStyle name="Milliers 6 5 2 2 2" xfId="1365"/>
    <cellStyle name="Milliers 6 5 2 2 2 2" xfId="3525"/>
    <cellStyle name="Milliers 6 5 2 2 2 2 2" xfId="7845"/>
    <cellStyle name="Milliers 6 5 2 2 2 3" xfId="5685"/>
    <cellStyle name="Milliers 6 5 2 2 3" xfId="2085"/>
    <cellStyle name="Milliers 6 5 2 2 3 2" xfId="4245"/>
    <cellStyle name="Milliers 6 5 2 2 3 2 2" xfId="8565"/>
    <cellStyle name="Milliers 6 5 2 2 3 3" xfId="6405"/>
    <cellStyle name="Milliers 6 5 2 2 4" xfId="2805"/>
    <cellStyle name="Milliers 6 5 2 2 4 2" xfId="7125"/>
    <cellStyle name="Milliers 6 5 2 2 5" xfId="4965"/>
    <cellStyle name="Milliers 6 5 2 3" xfId="1005"/>
    <cellStyle name="Milliers 6 5 2 3 2" xfId="3165"/>
    <cellStyle name="Milliers 6 5 2 3 2 2" xfId="7485"/>
    <cellStyle name="Milliers 6 5 2 3 3" xfId="5325"/>
    <cellStyle name="Milliers 6 5 2 4" xfId="1725"/>
    <cellStyle name="Milliers 6 5 2 4 2" xfId="3885"/>
    <cellStyle name="Milliers 6 5 2 4 2 2" xfId="8205"/>
    <cellStyle name="Milliers 6 5 2 4 3" xfId="6045"/>
    <cellStyle name="Milliers 6 5 2 5" xfId="2445"/>
    <cellStyle name="Milliers 6 5 2 5 2" xfId="6765"/>
    <cellStyle name="Milliers 6 5 2 6" xfId="4605"/>
    <cellStyle name="Milliers 6 5 3" xfId="465"/>
    <cellStyle name="Milliers 6 5 3 2" xfId="1185"/>
    <cellStyle name="Milliers 6 5 3 2 2" xfId="3345"/>
    <cellStyle name="Milliers 6 5 3 2 2 2" xfId="7665"/>
    <cellStyle name="Milliers 6 5 3 2 3" xfId="5505"/>
    <cellStyle name="Milliers 6 5 3 3" xfId="1905"/>
    <cellStyle name="Milliers 6 5 3 3 2" xfId="4065"/>
    <cellStyle name="Milliers 6 5 3 3 2 2" xfId="8385"/>
    <cellStyle name="Milliers 6 5 3 3 3" xfId="6225"/>
    <cellStyle name="Milliers 6 5 3 4" xfId="2625"/>
    <cellStyle name="Milliers 6 5 3 4 2" xfId="6945"/>
    <cellStyle name="Milliers 6 5 3 5" xfId="4785"/>
    <cellStyle name="Milliers 6 5 4" xfId="825"/>
    <cellStyle name="Milliers 6 5 4 2" xfId="2985"/>
    <cellStyle name="Milliers 6 5 4 2 2" xfId="7305"/>
    <cellStyle name="Milliers 6 5 4 3" xfId="5145"/>
    <cellStyle name="Milliers 6 5 5" xfId="1545"/>
    <cellStyle name="Milliers 6 5 5 2" xfId="3705"/>
    <cellStyle name="Milliers 6 5 5 2 2" xfId="8025"/>
    <cellStyle name="Milliers 6 5 5 3" xfId="5865"/>
    <cellStyle name="Milliers 6 5 6" xfId="2265"/>
    <cellStyle name="Milliers 6 5 6 2" xfId="6585"/>
    <cellStyle name="Milliers 6 5 7" xfId="4425"/>
    <cellStyle name="Milliers 6 6" xfId="195"/>
    <cellStyle name="Milliers 6 6 2" xfId="555"/>
    <cellStyle name="Milliers 6 6 2 2" xfId="1275"/>
    <cellStyle name="Milliers 6 6 2 2 2" xfId="3435"/>
    <cellStyle name="Milliers 6 6 2 2 2 2" xfId="7755"/>
    <cellStyle name="Milliers 6 6 2 2 3" xfId="5595"/>
    <cellStyle name="Milliers 6 6 2 3" xfId="1995"/>
    <cellStyle name="Milliers 6 6 2 3 2" xfId="4155"/>
    <cellStyle name="Milliers 6 6 2 3 2 2" xfId="8475"/>
    <cellStyle name="Milliers 6 6 2 3 3" xfId="6315"/>
    <cellStyle name="Milliers 6 6 2 4" xfId="2715"/>
    <cellStyle name="Milliers 6 6 2 4 2" xfId="7035"/>
    <cellStyle name="Milliers 6 6 2 5" xfId="4875"/>
    <cellStyle name="Milliers 6 6 3" xfId="915"/>
    <cellStyle name="Milliers 6 6 3 2" xfId="3075"/>
    <cellStyle name="Milliers 6 6 3 2 2" xfId="7395"/>
    <cellStyle name="Milliers 6 6 3 3" xfId="5235"/>
    <cellStyle name="Milliers 6 6 4" xfId="1635"/>
    <cellStyle name="Milliers 6 6 4 2" xfId="3795"/>
    <cellStyle name="Milliers 6 6 4 2 2" xfId="8115"/>
    <cellStyle name="Milliers 6 6 4 3" xfId="5955"/>
    <cellStyle name="Milliers 6 6 5" xfId="2355"/>
    <cellStyle name="Milliers 6 6 5 2" xfId="6675"/>
    <cellStyle name="Milliers 6 6 6" xfId="4515"/>
    <cellStyle name="Milliers 6 7" xfId="375"/>
    <cellStyle name="Milliers 6 7 2" xfId="1095"/>
    <cellStyle name="Milliers 6 7 2 2" xfId="3255"/>
    <cellStyle name="Milliers 6 7 2 2 2" xfId="7575"/>
    <cellStyle name="Milliers 6 7 2 3" xfId="5415"/>
    <cellStyle name="Milliers 6 7 3" xfId="1815"/>
    <cellStyle name="Milliers 6 7 3 2" xfId="3975"/>
    <cellStyle name="Milliers 6 7 3 2 2" xfId="8295"/>
    <cellStyle name="Milliers 6 7 3 3" xfId="6135"/>
    <cellStyle name="Milliers 6 7 4" xfId="2535"/>
    <cellStyle name="Milliers 6 7 4 2" xfId="6855"/>
    <cellStyle name="Milliers 6 7 5" xfId="4695"/>
    <cellStyle name="Milliers 6 8" xfId="735"/>
    <cellStyle name="Milliers 6 8 2" xfId="2895"/>
    <cellStyle name="Milliers 6 8 2 2" xfId="7215"/>
    <cellStyle name="Milliers 6 8 3" xfId="5055"/>
    <cellStyle name="Milliers 6 9" xfId="1455"/>
    <cellStyle name="Milliers 6 9 2" xfId="3615"/>
    <cellStyle name="Milliers 6 9 2 2" xfId="7935"/>
    <cellStyle name="Milliers 6 9 3" xfId="5775"/>
    <cellStyle name="Milliers 7" xfId="18"/>
    <cellStyle name="Milliers 7 2" xfId="63"/>
    <cellStyle name="Milliers 7 2 2" xfId="153"/>
    <cellStyle name="Milliers 7 2 2 2" xfId="333"/>
    <cellStyle name="Milliers 7 2 2 2 2" xfId="693"/>
    <cellStyle name="Milliers 7 2 2 2 2 2" xfId="1413"/>
    <cellStyle name="Milliers 7 2 2 2 2 2 2" xfId="3573"/>
    <cellStyle name="Milliers 7 2 2 2 2 2 2 2" xfId="7893"/>
    <cellStyle name="Milliers 7 2 2 2 2 2 3" xfId="5733"/>
    <cellStyle name="Milliers 7 2 2 2 2 3" xfId="2133"/>
    <cellStyle name="Milliers 7 2 2 2 2 3 2" xfId="4293"/>
    <cellStyle name="Milliers 7 2 2 2 2 3 2 2" xfId="8613"/>
    <cellStyle name="Milliers 7 2 2 2 2 3 3" xfId="6453"/>
    <cellStyle name="Milliers 7 2 2 2 2 4" xfId="2853"/>
    <cellStyle name="Milliers 7 2 2 2 2 4 2" xfId="7173"/>
    <cellStyle name="Milliers 7 2 2 2 2 5" xfId="5013"/>
    <cellStyle name="Milliers 7 2 2 2 3" xfId="1053"/>
    <cellStyle name="Milliers 7 2 2 2 3 2" xfId="3213"/>
    <cellStyle name="Milliers 7 2 2 2 3 2 2" xfId="7533"/>
    <cellStyle name="Milliers 7 2 2 2 3 3" xfId="5373"/>
    <cellStyle name="Milliers 7 2 2 2 4" xfId="1773"/>
    <cellStyle name="Milliers 7 2 2 2 4 2" xfId="3933"/>
    <cellStyle name="Milliers 7 2 2 2 4 2 2" xfId="8253"/>
    <cellStyle name="Milliers 7 2 2 2 4 3" xfId="6093"/>
    <cellStyle name="Milliers 7 2 2 2 5" xfId="2493"/>
    <cellStyle name="Milliers 7 2 2 2 5 2" xfId="6813"/>
    <cellStyle name="Milliers 7 2 2 2 6" xfId="4653"/>
    <cellStyle name="Milliers 7 2 2 3" xfId="513"/>
    <cellStyle name="Milliers 7 2 2 3 2" xfId="1233"/>
    <cellStyle name="Milliers 7 2 2 3 2 2" xfId="3393"/>
    <cellStyle name="Milliers 7 2 2 3 2 2 2" xfId="7713"/>
    <cellStyle name="Milliers 7 2 2 3 2 3" xfId="5553"/>
    <cellStyle name="Milliers 7 2 2 3 3" xfId="1953"/>
    <cellStyle name="Milliers 7 2 2 3 3 2" xfId="4113"/>
    <cellStyle name="Milliers 7 2 2 3 3 2 2" xfId="8433"/>
    <cellStyle name="Milliers 7 2 2 3 3 3" xfId="6273"/>
    <cellStyle name="Milliers 7 2 2 3 4" xfId="2673"/>
    <cellStyle name="Milliers 7 2 2 3 4 2" xfId="6993"/>
    <cellStyle name="Milliers 7 2 2 3 5" xfId="4833"/>
    <cellStyle name="Milliers 7 2 2 4" xfId="873"/>
    <cellStyle name="Milliers 7 2 2 4 2" xfId="3033"/>
    <cellStyle name="Milliers 7 2 2 4 2 2" xfId="7353"/>
    <cellStyle name="Milliers 7 2 2 4 3" xfId="5193"/>
    <cellStyle name="Milliers 7 2 2 5" xfId="1593"/>
    <cellStyle name="Milliers 7 2 2 5 2" xfId="3753"/>
    <cellStyle name="Milliers 7 2 2 5 2 2" xfId="8073"/>
    <cellStyle name="Milliers 7 2 2 5 3" xfId="5913"/>
    <cellStyle name="Milliers 7 2 2 6" xfId="2313"/>
    <cellStyle name="Milliers 7 2 2 6 2" xfId="6633"/>
    <cellStyle name="Milliers 7 2 2 7" xfId="4473"/>
    <cellStyle name="Milliers 7 2 3" xfId="243"/>
    <cellStyle name="Milliers 7 2 3 2" xfId="603"/>
    <cellStyle name="Milliers 7 2 3 2 2" xfId="1323"/>
    <cellStyle name="Milliers 7 2 3 2 2 2" xfId="3483"/>
    <cellStyle name="Milliers 7 2 3 2 2 2 2" xfId="7803"/>
    <cellStyle name="Milliers 7 2 3 2 2 3" xfId="5643"/>
    <cellStyle name="Milliers 7 2 3 2 3" xfId="2043"/>
    <cellStyle name="Milliers 7 2 3 2 3 2" xfId="4203"/>
    <cellStyle name="Milliers 7 2 3 2 3 2 2" xfId="8523"/>
    <cellStyle name="Milliers 7 2 3 2 3 3" xfId="6363"/>
    <cellStyle name="Milliers 7 2 3 2 4" xfId="2763"/>
    <cellStyle name="Milliers 7 2 3 2 4 2" xfId="7083"/>
    <cellStyle name="Milliers 7 2 3 2 5" xfId="4923"/>
    <cellStyle name="Milliers 7 2 3 3" xfId="963"/>
    <cellStyle name="Milliers 7 2 3 3 2" xfId="3123"/>
    <cellStyle name="Milliers 7 2 3 3 2 2" xfId="7443"/>
    <cellStyle name="Milliers 7 2 3 3 3" xfId="5283"/>
    <cellStyle name="Milliers 7 2 3 4" xfId="1683"/>
    <cellStyle name="Milliers 7 2 3 4 2" xfId="3843"/>
    <cellStyle name="Milliers 7 2 3 4 2 2" xfId="8163"/>
    <cellStyle name="Milliers 7 2 3 4 3" xfId="6003"/>
    <cellStyle name="Milliers 7 2 3 5" xfId="2403"/>
    <cellStyle name="Milliers 7 2 3 5 2" xfId="6723"/>
    <cellStyle name="Milliers 7 2 3 6" xfId="4563"/>
    <cellStyle name="Milliers 7 2 4" xfId="423"/>
    <cellStyle name="Milliers 7 2 4 2" xfId="1143"/>
    <cellStyle name="Milliers 7 2 4 2 2" xfId="3303"/>
    <cellStyle name="Milliers 7 2 4 2 2 2" xfId="7623"/>
    <cellStyle name="Milliers 7 2 4 2 3" xfId="5463"/>
    <cellStyle name="Milliers 7 2 4 3" xfId="1863"/>
    <cellStyle name="Milliers 7 2 4 3 2" xfId="4023"/>
    <cellStyle name="Milliers 7 2 4 3 2 2" xfId="8343"/>
    <cellStyle name="Milliers 7 2 4 3 3" xfId="6183"/>
    <cellStyle name="Milliers 7 2 4 4" xfId="2583"/>
    <cellStyle name="Milliers 7 2 4 4 2" xfId="6903"/>
    <cellStyle name="Milliers 7 2 4 5" xfId="4743"/>
    <cellStyle name="Milliers 7 2 5" xfId="783"/>
    <cellStyle name="Milliers 7 2 5 2" xfId="2943"/>
    <cellStyle name="Milliers 7 2 5 2 2" xfId="7263"/>
    <cellStyle name="Milliers 7 2 5 3" xfId="5103"/>
    <cellStyle name="Milliers 7 2 6" xfId="1503"/>
    <cellStyle name="Milliers 7 2 6 2" xfId="3663"/>
    <cellStyle name="Milliers 7 2 6 2 2" xfId="7983"/>
    <cellStyle name="Milliers 7 2 6 3" xfId="5823"/>
    <cellStyle name="Milliers 7 2 7" xfId="2223"/>
    <cellStyle name="Milliers 7 2 7 2" xfId="6543"/>
    <cellStyle name="Milliers 7 2 8" xfId="4383"/>
    <cellStyle name="Milliers 7 3" xfId="108"/>
    <cellStyle name="Milliers 7 3 2" xfId="288"/>
    <cellStyle name="Milliers 7 3 2 2" xfId="648"/>
    <cellStyle name="Milliers 7 3 2 2 2" xfId="1368"/>
    <cellStyle name="Milliers 7 3 2 2 2 2" xfId="3528"/>
    <cellStyle name="Milliers 7 3 2 2 2 2 2" xfId="7848"/>
    <cellStyle name="Milliers 7 3 2 2 2 3" xfId="5688"/>
    <cellStyle name="Milliers 7 3 2 2 3" xfId="2088"/>
    <cellStyle name="Milliers 7 3 2 2 3 2" xfId="4248"/>
    <cellStyle name="Milliers 7 3 2 2 3 2 2" xfId="8568"/>
    <cellStyle name="Milliers 7 3 2 2 3 3" xfId="6408"/>
    <cellStyle name="Milliers 7 3 2 2 4" xfId="2808"/>
    <cellStyle name="Milliers 7 3 2 2 4 2" xfId="7128"/>
    <cellStyle name="Milliers 7 3 2 2 5" xfId="4968"/>
    <cellStyle name="Milliers 7 3 2 3" xfId="1008"/>
    <cellStyle name="Milliers 7 3 2 3 2" xfId="3168"/>
    <cellStyle name="Milliers 7 3 2 3 2 2" xfId="7488"/>
    <cellStyle name="Milliers 7 3 2 3 3" xfId="5328"/>
    <cellStyle name="Milliers 7 3 2 4" xfId="1728"/>
    <cellStyle name="Milliers 7 3 2 4 2" xfId="3888"/>
    <cellStyle name="Milliers 7 3 2 4 2 2" xfId="8208"/>
    <cellStyle name="Milliers 7 3 2 4 3" xfId="6048"/>
    <cellStyle name="Milliers 7 3 2 5" xfId="2448"/>
    <cellStyle name="Milliers 7 3 2 5 2" xfId="6768"/>
    <cellStyle name="Milliers 7 3 2 6" xfId="4608"/>
    <cellStyle name="Milliers 7 3 3" xfId="468"/>
    <cellStyle name="Milliers 7 3 3 2" xfId="1188"/>
    <cellStyle name="Milliers 7 3 3 2 2" xfId="3348"/>
    <cellStyle name="Milliers 7 3 3 2 2 2" xfId="7668"/>
    <cellStyle name="Milliers 7 3 3 2 3" xfId="5508"/>
    <cellStyle name="Milliers 7 3 3 3" xfId="1908"/>
    <cellStyle name="Milliers 7 3 3 3 2" xfId="4068"/>
    <cellStyle name="Milliers 7 3 3 3 2 2" xfId="8388"/>
    <cellStyle name="Milliers 7 3 3 3 3" xfId="6228"/>
    <cellStyle name="Milliers 7 3 3 4" xfId="2628"/>
    <cellStyle name="Milliers 7 3 3 4 2" xfId="6948"/>
    <cellStyle name="Milliers 7 3 3 5" xfId="4788"/>
    <cellStyle name="Milliers 7 3 4" xfId="828"/>
    <cellStyle name="Milliers 7 3 4 2" xfId="2988"/>
    <cellStyle name="Milliers 7 3 4 2 2" xfId="7308"/>
    <cellStyle name="Milliers 7 3 4 3" xfId="5148"/>
    <cellStyle name="Milliers 7 3 5" xfId="1548"/>
    <cellStyle name="Milliers 7 3 5 2" xfId="3708"/>
    <cellStyle name="Milliers 7 3 5 2 2" xfId="8028"/>
    <cellStyle name="Milliers 7 3 5 3" xfId="5868"/>
    <cellStyle name="Milliers 7 3 6" xfId="2268"/>
    <cellStyle name="Milliers 7 3 6 2" xfId="6588"/>
    <cellStyle name="Milliers 7 3 7" xfId="4428"/>
    <cellStyle name="Milliers 7 4" xfId="198"/>
    <cellStyle name="Milliers 7 4 2" xfId="558"/>
    <cellStyle name="Milliers 7 4 2 2" xfId="1278"/>
    <cellStyle name="Milliers 7 4 2 2 2" xfId="3438"/>
    <cellStyle name="Milliers 7 4 2 2 2 2" xfId="7758"/>
    <cellStyle name="Milliers 7 4 2 2 3" xfId="5598"/>
    <cellStyle name="Milliers 7 4 2 3" xfId="1998"/>
    <cellStyle name="Milliers 7 4 2 3 2" xfId="4158"/>
    <cellStyle name="Milliers 7 4 2 3 2 2" xfId="8478"/>
    <cellStyle name="Milliers 7 4 2 3 3" xfId="6318"/>
    <cellStyle name="Milliers 7 4 2 4" xfId="2718"/>
    <cellStyle name="Milliers 7 4 2 4 2" xfId="7038"/>
    <cellStyle name="Milliers 7 4 2 5" xfId="4878"/>
    <cellStyle name="Milliers 7 4 3" xfId="918"/>
    <cellStyle name="Milliers 7 4 3 2" xfId="3078"/>
    <cellStyle name="Milliers 7 4 3 2 2" xfId="7398"/>
    <cellStyle name="Milliers 7 4 3 3" xfId="5238"/>
    <cellStyle name="Milliers 7 4 4" xfId="1638"/>
    <cellStyle name="Milliers 7 4 4 2" xfId="3798"/>
    <cellStyle name="Milliers 7 4 4 2 2" xfId="8118"/>
    <cellStyle name="Milliers 7 4 4 3" xfId="5958"/>
    <cellStyle name="Milliers 7 4 5" xfId="2358"/>
    <cellStyle name="Milliers 7 4 5 2" xfId="6678"/>
    <cellStyle name="Milliers 7 4 6" xfId="4518"/>
    <cellStyle name="Milliers 7 5" xfId="378"/>
    <cellStyle name="Milliers 7 5 2" xfId="1098"/>
    <cellStyle name="Milliers 7 5 2 2" xfId="3258"/>
    <cellStyle name="Milliers 7 5 2 2 2" xfId="7578"/>
    <cellStyle name="Milliers 7 5 2 3" xfId="5418"/>
    <cellStyle name="Milliers 7 5 3" xfId="1818"/>
    <cellStyle name="Milliers 7 5 3 2" xfId="3978"/>
    <cellStyle name="Milliers 7 5 3 2 2" xfId="8298"/>
    <cellStyle name="Milliers 7 5 3 3" xfId="6138"/>
    <cellStyle name="Milliers 7 5 4" xfId="2538"/>
    <cellStyle name="Milliers 7 5 4 2" xfId="6858"/>
    <cellStyle name="Milliers 7 5 5" xfId="4698"/>
    <cellStyle name="Milliers 7 6" xfId="738"/>
    <cellStyle name="Milliers 7 6 2" xfId="2898"/>
    <cellStyle name="Milliers 7 6 2 2" xfId="7218"/>
    <cellStyle name="Milliers 7 6 3" xfId="5058"/>
    <cellStyle name="Milliers 7 7" xfId="1458"/>
    <cellStyle name="Milliers 7 7 2" xfId="3618"/>
    <cellStyle name="Milliers 7 7 2 2" xfId="7938"/>
    <cellStyle name="Milliers 7 7 3" xfId="5778"/>
    <cellStyle name="Milliers 7 8" xfId="2178"/>
    <cellStyle name="Milliers 7 8 2" xfId="6498"/>
    <cellStyle name="Milliers 7 9" xfId="4338"/>
    <cellStyle name="Milliers 8" xfId="33"/>
    <cellStyle name="Milliers 8 2" xfId="78"/>
    <cellStyle name="Milliers 8 2 2" xfId="168"/>
    <cellStyle name="Milliers 8 2 2 2" xfId="348"/>
    <cellStyle name="Milliers 8 2 2 2 2" xfId="708"/>
    <cellStyle name="Milliers 8 2 2 2 2 2" xfId="1428"/>
    <cellStyle name="Milliers 8 2 2 2 2 2 2" xfId="3588"/>
    <cellStyle name="Milliers 8 2 2 2 2 2 2 2" xfId="7908"/>
    <cellStyle name="Milliers 8 2 2 2 2 2 3" xfId="5748"/>
    <cellStyle name="Milliers 8 2 2 2 2 3" xfId="2148"/>
    <cellStyle name="Milliers 8 2 2 2 2 3 2" xfId="4308"/>
    <cellStyle name="Milliers 8 2 2 2 2 3 2 2" xfId="8628"/>
    <cellStyle name="Milliers 8 2 2 2 2 3 3" xfId="6468"/>
    <cellStyle name="Milliers 8 2 2 2 2 4" xfId="2868"/>
    <cellStyle name="Milliers 8 2 2 2 2 4 2" xfId="7188"/>
    <cellStyle name="Milliers 8 2 2 2 2 5" xfId="5028"/>
    <cellStyle name="Milliers 8 2 2 2 3" xfId="1068"/>
    <cellStyle name="Milliers 8 2 2 2 3 2" xfId="3228"/>
    <cellStyle name="Milliers 8 2 2 2 3 2 2" xfId="7548"/>
    <cellStyle name="Milliers 8 2 2 2 3 3" xfId="5388"/>
    <cellStyle name="Milliers 8 2 2 2 4" xfId="1788"/>
    <cellStyle name="Milliers 8 2 2 2 4 2" xfId="3948"/>
    <cellStyle name="Milliers 8 2 2 2 4 2 2" xfId="8268"/>
    <cellStyle name="Milliers 8 2 2 2 4 3" xfId="6108"/>
    <cellStyle name="Milliers 8 2 2 2 5" xfId="2508"/>
    <cellStyle name="Milliers 8 2 2 2 5 2" xfId="6828"/>
    <cellStyle name="Milliers 8 2 2 2 6" xfId="4668"/>
    <cellStyle name="Milliers 8 2 2 3" xfId="528"/>
    <cellStyle name="Milliers 8 2 2 3 2" xfId="1248"/>
    <cellStyle name="Milliers 8 2 2 3 2 2" xfId="3408"/>
    <cellStyle name="Milliers 8 2 2 3 2 2 2" xfId="7728"/>
    <cellStyle name="Milliers 8 2 2 3 2 3" xfId="5568"/>
    <cellStyle name="Milliers 8 2 2 3 3" xfId="1968"/>
    <cellStyle name="Milliers 8 2 2 3 3 2" xfId="4128"/>
    <cellStyle name="Milliers 8 2 2 3 3 2 2" xfId="8448"/>
    <cellStyle name="Milliers 8 2 2 3 3 3" xfId="6288"/>
    <cellStyle name="Milliers 8 2 2 3 4" xfId="2688"/>
    <cellStyle name="Milliers 8 2 2 3 4 2" xfId="7008"/>
    <cellStyle name="Milliers 8 2 2 3 5" xfId="4848"/>
    <cellStyle name="Milliers 8 2 2 4" xfId="888"/>
    <cellStyle name="Milliers 8 2 2 4 2" xfId="3048"/>
    <cellStyle name="Milliers 8 2 2 4 2 2" xfId="7368"/>
    <cellStyle name="Milliers 8 2 2 4 3" xfId="5208"/>
    <cellStyle name="Milliers 8 2 2 5" xfId="1608"/>
    <cellStyle name="Milliers 8 2 2 5 2" xfId="3768"/>
    <cellStyle name="Milliers 8 2 2 5 2 2" xfId="8088"/>
    <cellStyle name="Milliers 8 2 2 5 3" xfId="5928"/>
    <cellStyle name="Milliers 8 2 2 6" xfId="2328"/>
    <cellStyle name="Milliers 8 2 2 6 2" xfId="6648"/>
    <cellStyle name="Milliers 8 2 2 7" xfId="4488"/>
    <cellStyle name="Milliers 8 2 3" xfId="258"/>
    <cellStyle name="Milliers 8 2 3 2" xfId="618"/>
    <cellStyle name="Milliers 8 2 3 2 2" xfId="1338"/>
    <cellStyle name="Milliers 8 2 3 2 2 2" xfId="3498"/>
    <cellStyle name="Milliers 8 2 3 2 2 2 2" xfId="7818"/>
    <cellStyle name="Milliers 8 2 3 2 2 3" xfId="5658"/>
    <cellStyle name="Milliers 8 2 3 2 3" xfId="2058"/>
    <cellStyle name="Milliers 8 2 3 2 3 2" xfId="4218"/>
    <cellStyle name="Milliers 8 2 3 2 3 2 2" xfId="8538"/>
    <cellStyle name="Milliers 8 2 3 2 3 3" xfId="6378"/>
    <cellStyle name="Milliers 8 2 3 2 4" xfId="2778"/>
    <cellStyle name="Milliers 8 2 3 2 4 2" xfId="7098"/>
    <cellStyle name="Milliers 8 2 3 2 5" xfId="4938"/>
    <cellStyle name="Milliers 8 2 3 3" xfId="978"/>
    <cellStyle name="Milliers 8 2 3 3 2" xfId="3138"/>
    <cellStyle name="Milliers 8 2 3 3 2 2" xfId="7458"/>
    <cellStyle name="Milliers 8 2 3 3 3" xfId="5298"/>
    <cellStyle name="Milliers 8 2 3 4" xfId="1698"/>
    <cellStyle name="Milliers 8 2 3 4 2" xfId="3858"/>
    <cellStyle name="Milliers 8 2 3 4 2 2" xfId="8178"/>
    <cellStyle name="Milliers 8 2 3 4 3" xfId="6018"/>
    <cellStyle name="Milliers 8 2 3 5" xfId="2418"/>
    <cellStyle name="Milliers 8 2 3 5 2" xfId="6738"/>
    <cellStyle name="Milliers 8 2 3 6" xfId="4578"/>
    <cellStyle name="Milliers 8 2 4" xfId="438"/>
    <cellStyle name="Milliers 8 2 4 2" xfId="1158"/>
    <cellStyle name="Milliers 8 2 4 2 2" xfId="3318"/>
    <cellStyle name="Milliers 8 2 4 2 2 2" xfId="7638"/>
    <cellStyle name="Milliers 8 2 4 2 3" xfId="5478"/>
    <cellStyle name="Milliers 8 2 4 3" xfId="1878"/>
    <cellStyle name="Milliers 8 2 4 3 2" xfId="4038"/>
    <cellStyle name="Milliers 8 2 4 3 2 2" xfId="8358"/>
    <cellStyle name="Milliers 8 2 4 3 3" xfId="6198"/>
    <cellStyle name="Milliers 8 2 4 4" xfId="2598"/>
    <cellStyle name="Milliers 8 2 4 4 2" xfId="6918"/>
    <cellStyle name="Milliers 8 2 4 5" xfId="4758"/>
    <cellStyle name="Milliers 8 2 5" xfId="798"/>
    <cellStyle name="Milliers 8 2 5 2" xfId="2958"/>
    <cellStyle name="Milliers 8 2 5 2 2" xfId="7278"/>
    <cellStyle name="Milliers 8 2 5 3" xfId="5118"/>
    <cellStyle name="Milliers 8 2 6" xfId="1518"/>
    <cellStyle name="Milliers 8 2 6 2" xfId="3678"/>
    <cellStyle name="Milliers 8 2 6 2 2" xfId="7998"/>
    <cellStyle name="Milliers 8 2 6 3" xfId="5838"/>
    <cellStyle name="Milliers 8 2 7" xfId="2238"/>
    <cellStyle name="Milliers 8 2 7 2" xfId="6558"/>
    <cellStyle name="Milliers 8 2 8" xfId="4398"/>
    <cellStyle name="Milliers 8 3" xfId="123"/>
    <cellStyle name="Milliers 8 3 2" xfId="303"/>
    <cellStyle name="Milliers 8 3 2 2" xfId="663"/>
    <cellStyle name="Milliers 8 3 2 2 2" xfId="1383"/>
    <cellStyle name="Milliers 8 3 2 2 2 2" xfId="3543"/>
    <cellStyle name="Milliers 8 3 2 2 2 2 2" xfId="7863"/>
    <cellStyle name="Milliers 8 3 2 2 2 3" xfId="5703"/>
    <cellStyle name="Milliers 8 3 2 2 3" xfId="2103"/>
    <cellStyle name="Milliers 8 3 2 2 3 2" xfId="4263"/>
    <cellStyle name="Milliers 8 3 2 2 3 2 2" xfId="8583"/>
    <cellStyle name="Milliers 8 3 2 2 3 3" xfId="6423"/>
    <cellStyle name="Milliers 8 3 2 2 4" xfId="2823"/>
    <cellStyle name="Milliers 8 3 2 2 4 2" xfId="7143"/>
    <cellStyle name="Milliers 8 3 2 2 5" xfId="4983"/>
    <cellStyle name="Milliers 8 3 2 3" xfId="1023"/>
    <cellStyle name="Milliers 8 3 2 3 2" xfId="3183"/>
    <cellStyle name="Milliers 8 3 2 3 2 2" xfId="7503"/>
    <cellStyle name="Milliers 8 3 2 3 3" xfId="5343"/>
    <cellStyle name="Milliers 8 3 2 4" xfId="1743"/>
    <cellStyle name="Milliers 8 3 2 4 2" xfId="3903"/>
    <cellStyle name="Milliers 8 3 2 4 2 2" xfId="8223"/>
    <cellStyle name="Milliers 8 3 2 4 3" xfId="6063"/>
    <cellStyle name="Milliers 8 3 2 5" xfId="2463"/>
    <cellStyle name="Milliers 8 3 2 5 2" xfId="6783"/>
    <cellStyle name="Milliers 8 3 2 6" xfId="4623"/>
    <cellStyle name="Milliers 8 3 3" xfId="483"/>
    <cellStyle name="Milliers 8 3 3 2" xfId="1203"/>
    <cellStyle name="Milliers 8 3 3 2 2" xfId="3363"/>
    <cellStyle name="Milliers 8 3 3 2 2 2" xfId="7683"/>
    <cellStyle name="Milliers 8 3 3 2 3" xfId="5523"/>
    <cellStyle name="Milliers 8 3 3 3" xfId="1923"/>
    <cellStyle name="Milliers 8 3 3 3 2" xfId="4083"/>
    <cellStyle name="Milliers 8 3 3 3 2 2" xfId="8403"/>
    <cellStyle name="Milliers 8 3 3 3 3" xfId="6243"/>
    <cellStyle name="Milliers 8 3 3 4" xfId="2643"/>
    <cellStyle name="Milliers 8 3 3 4 2" xfId="6963"/>
    <cellStyle name="Milliers 8 3 3 5" xfId="4803"/>
    <cellStyle name="Milliers 8 3 4" xfId="843"/>
    <cellStyle name="Milliers 8 3 4 2" xfId="3003"/>
    <cellStyle name="Milliers 8 3 4 2 2" xfId="7323"/>
    <cellStyle name="Milliers 8 3 4 3" xfId="5163"/>
    <cellStyle name="Milliers 8 3 5" xfId="1563"/>
    <cellStyle name="Milliers 8 3 5 2" xfId="3723"/>
    <cellStyle name="Milliers 8 3 5 2 2" xfId="8043"/>
    <cellStyle name="Milliers 8 3 5 3" xfId="5883"/>
    <cellStyle name="Milliers 8 3 6" xfId="2283"/>
    <cellStyle name="Milliers 8 3 6 2" xfId="6603"/>
    <cellStyle name="Milliers 8 3 7" xfId="4443"/>
    <cellStyle name="Milliers 8 4" xfId="213"/>
    <cellStyle name="Milliers 8 4 2" xfId="573"/>
    <cellStyle name="Milliers 8 4 2 2" xfId="1293"/>
    <cellStyle name="Milliers 8 4 2 2 2" xfId="3453"/>
    <cellStyle name="Milliers 8 4 2 2 2 2" xfId="7773"/>
    <cellStyle name="Milliers 8 4 2 2 3" xfId="5613"/>
    <cellStyle name="Milliers 8 4 2 3" xfId="2013"/>
    <cellStyle name="Milliers 8 4 2 3 2" xfId="4173"/>
    <cellStyle name="Milliers 8 4 2 3 2 2" xfId="8493"/>
    <cellStyle name="Milliers 8 4 2 3 3" xfId="6333"/>
    <cellStyle name="Milliers 8 4 2 4" xfId="2733"/>
    <cellStyle name="Milliers 8 4 2 4 2" xfId="7053"/>
    <cellStyle name="Milliers 8 4 2 5" xfId="4893"/>
    <cellStyle name="Milliers 8 4 3" xfId="933"/>
    <cellStyle name="Milliers 8 4 3 2" xfId="3093"/>
    <cellStyle name="Milliers 8 4 3 2 2" xfId="7413"/>
    <cellStyle name="Milliers 8 4 3 3" xfId="5253"/>
    <cellStyle name="Milliers 8 4 4" xfId="1653"/>
    <cellStyle name="Milliers 8 4 4 2" xfId="3813"/>
    <cellStyle name="Milliers 8 4 4 2 2" xfId="8133"/>
    <cellStyle name="Milliers 8 4 4 3" xfId="5973"/>
    <cellStyle name="Milliers 8 4 5" xfId="2373"/>
    <cellStyle name="Milliers 8 4 5 2" xfId="6693"/>
    <cellStyle name="Milliers 8 4 6" xfId="4533"/>
    <cellStyle name="Milliers 8 5" xfId="393"/>
    <cellStyle name="Milliers 8 5 2" xfId="1113"/>
    <cellStyle name="Milliers 8 5 2 2" xfId="3273"/>
    <cellStyle name="Milliers 8 5 2 2 2" xfId="7593"/>
    <cellStyle name="Milliers 8 5 2 3" xfId="5433"/>
    <cellStyle name="Milliers 8 5 3" xfId="1833"/>
    <cellStyle name="Milliers 8 5 3 2" xfId="3993"/>
    <cellStyle name="Milliers 8 5 3 2 2" xfId="8313"/>
    <cellStyle name="Milliers 8 5 3 3" xfId="6153"/>
    <cellStyle name="Milliers 8 5 4" xfId="2553"/>
    <cellStyle name="Milliers 8 5 4 2" xfId="6873"/>
    <cellStyle name="Milliers 8 5 5" xfId="4713"/>
    <cellStyle name="Milliers 8 6" xfId="753"/>
    <cellStyle name="Milliers 8 6 2" xfId="2913"/>
    <cellStyle name="Milliers 8 6 2 2" xfId="7233"/>
    <cellStyle name="Milliers 8 6 3" xfId="5073"/>
    <cellStyle name="Milliers 8 7" xfId="1473"/>
    <cellStyle name="Milliers 8 7 2" xfId="3633"/>
    <cellStyle name="Milliers 8 7 2 2" xfId="7953"/>
    <cellStyle name="Milliers 8 7 3" xfId="5793"/>
    <cellStyle name="Milliers 8 8" xfId="2193"/>
    <cellStyle name="Milliers 8 8 2" xfId="6513"/>
    <cellStyle name="Milliers 8 9" xfId="4353"/>
    <cellStyle name="Milliers 9" xfId="48"/>
    <cellStyle name="Milliers 9 2" xfId="138"/>
    <cellStyle name="Milliers 9 2 2" xfId="318"/>
    <cellStyle name="Milliers 9 2 2 2" xfId="678"/>
    <cellStyle name="Milliers 9 2 2 2 2" xfId="1398"/>
    <cellStyle name="Milliers 9 2 2 2 2 2" xfId="3558"/>
    <cellStyle name="Milliers 9 2 2 2 2 2 2" xfId="7878"/>
    <cellStyle name="Milliers 9 2 2 2 2 3" xfId="5718"/>
    <cellStyle name="Milliers 9 2 2 2 3" xfId="2118"/>
    <cellStyle name="Milliers 9 2 2 2 3 2" xfId="4278"/>
    <cellStyle name="Milliers 9 2 2 2 3 2 2" xfId="8598"/>
    <cellStyle name="Milliers 9 2 2 2 3 3" xfId="6438"/>
    <cellStyle name="Milliers 9 2 2 2 4" xfId="2838"/>
    <cellStyle name="Milliers 9 2 2 2 4 2" xfId="7158"/>
    <cellStyle name="Milliers 9 2 2 2 5" xfId="4998"/>
    <cellStyle name="Milliers 9 2 2 3" xfId="1038"/>
    <cellStyle name="Milliers 9 2 2 3 2" xfId="3198"/>
    <cellStyle name="Milliers 9 2 2 3 2 2" xfId="7518"/>
    <cellStyle name="Milliers 9 2 2 3 3" xfId="5358"/>
    <cellStyle name="Milliers 9 2 2 4" xfId="1758"/>
    <cellStyle name="Milliers 9 2 2 4 2" xfId="3918"/>
    <cellStyle name="Milliers 9 2 2 4 2 2" xfId="8238"/>
    <cellStyle name="Milliers 9 2 2 4 3" xfId="6078"/>
    <cellStyle name="Milliers 9 2 2 5" xfId="2478"/>
    <cellStyle name="Milliers 9 2 2 5 2" xfId="6798"/>
    <cellStyle name="Milliers 9 2 2 6" xfId="4638"/>
    <cellStyle name="Milliers 9 2 3" xfId="498"/>
    <cellStyle name="Milliers 9 2 3 2" xfId="1218"/>
    <cellStyle name="Milliers 9 2 3 2 2" xfId="3378"/>
    <cellStyle name="Milliers 9 2 3 2 2 2" xfId="7698"/>
    <cellStyle name="Milliers 9 2 3 2 3" xfId="5538"/>
    <cellStyle name="Milliers 9 2 3 3" xfId="1938"/>
    <cellStyle name="Milliers 9 2 3 3 2" xfId="4098"/>
    <cellStyle name="Milliers 9 2 3 3 2 2" xfId="8418"/>
    <cellStyle name="Milliers 9 2 3 3 3" xfId="6258"/>
    <cellStyle name="Milliers 9 2 3 4" xfId="2658"/>
    <cellStyle name="Milliers 9 2 3 4 2" xfId="6978"/>
    <cellStyle name="Milliers 9 2 3 5" xfId="4818"/>
    <cellStyle name="Milliers 9 2 4" xfId="858"/>
    <cellStyle name="Milliers 9 2 4 2" xfId="3018"/>
    <cellStyle name="Milliers 9 2 4 2 2" xfId="7338"/>
    <cellStyle name="Milliers 9 2 4 3" xfId="5178"/>
    <cellStyle name="Milliers 9 2 5" xfId="1578"/>
    <cellStyle name="Milliers 9 2 5 2" xfId="3738"/>
    <cellStyle name="Milliers 9 2 5 2 2" xfId="8058"/>
    <cellStyle name="Milliers 9 2 5 3" xfId="5898"/>
    <cellStyle name="Milliers 9 2 6" xfId="2298"/>
    <cellStyle name="Milliers 9 2 6 2" xfId="6618"/>
    <cellStyle name="Milliers 9 2 7" xfId="4458"/>
    <cellStyle name="Milliers 9 3" xfId="228"/>
    <cellStyle name="Milliers 9 3 2" xfId="588"/>
    <cellStyle name="Milliers 9 3 2 2" xfId="1308"/>
    <cellStyle name="Milliers 9 3 2 2 2" xfId="3468"/>
    <cellStyle name="Milliers 9 3 2 2 2 2" xfId="7788"/>
    <cellStyle name="Milliers 9 3 2 2 3" xfId="5628"/>
    <cellStyle name="Milliers 9 3 2 3" xfId="2028"/>
    <cellStyle name="Milliers 9 3 2 3 2" xfId="4188"/>
    <cellStyle name="Milliers 9 3 2 3 2 2" xfId="8508"/>
    <cellStyle name="Milliers 9 3 2 3 3" xfId="6348"/>
    <cellStyle name="Milliers 9 3 2 4" xfId="2748"/>
    <cellStyle name="Milliers 9 3 2 4 2" xfId="7068"/>
    <cellStyle name="Milliers 9 3 2 5" xfId="4908"/>
    <cellStyle name="Milliers 9 3 3" xfId="948"/>
    <cellStyle name="Milliers 9 3 3 2" xfId="3108"/>
    <cellStyle name="Milliers 9 3 3 2 2" xfId="7428"/>
    <cellStyle name="Milliers 9 3 3 3" xfId="5268"/>
    <cellStyle name="Milliers 9 3 4" xfId="1668"/>
    <cellStyle name="Milliers 9 3 4 2" xfId="3828"/>
    <cellStyle name="Milliers 9 3 4 2 2" xfId="8148"/>
    <cellStyle name="Milliers 9 3 4 3" xfId="5988"/>
    <cellStyle name="Milliers 9 3 5" xfId="2388"/>
    <cellStyle name="Milliers 9 3 5 2" xfId="6708"/>
    <cellStyle name="Milliers 9 3 6" xfId="4548"/>
    <cellStyle name="Milliers 9 4" xfId="408"/>
    <cellStyle name="Milliers 9 4 2" xfId="1128"/>
    <cellStyle name="Milliers 9 4 2 2" xfId="3288"/>
    <cellStyle name="Milliers 9 4 2 2 2" xfId="7608"/>
    <cellStyle name="Milliers 9 4 2 3" xfId="5448"/>
    <cellStyle name="Milliers 9 4 3" xfId="1848"/>
    <cellStyle name="Milliers 9 4 3 2" xfId="4008"/>
    <cellStyle name="Milliers 9 4 3 2 2" xfId="8328"/>
    <cellStyle name="Milliers 9 4 3 3" xfId="6168"/>
    <cellStyle name="Milliers 9 4 4" xfId="2568"/>
    <cellStyle name="Milliers 9 4 4 2" xfId="6888"/>
    <cellStyle name="Milliers 9 4 5" xfId="4728"/>
    <cellStyle name="Milliers 9 5" xfId="768"/>
    <cellStyle name="Milliers 9 5 2" xfId="2928"/>
    <cellStyle name="Milliers 9 5 2 2" xfId="7248"/>
    <cellStyle name="Milliers 9 5 3" xfId="5088"/>
    <cellStyle name="Milliers 9 6" xfId="1488"/>
    <cellStyle name="Milliers 9 6 2" xfId="3648"/>
    <cellStyle name="Milliers 9 6 2 2" xfId="7968"/>
    <cellStyle name="Milliers 9 6 3" xfId="5808"/>
    <cellStyle name="Milliers 9 7" xfId="2208"/>
    <cellStyle name="Milliers 9 7 2" xfId="6528"/>
    <cellStyle name="Milliers 9 8" xfId="4368"/>
    <cellStyle name="Normal" xfId="0" builtinId="0"/>
    <cellStyle name="Normal 2 2" xfId="5"/>
    <cellStyle name="Percent" xfId="2" builtinId="5"/>
  </cellStyles>
  <dxfs count="14030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FF0000"/>
      </font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FF000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C000"/>
        </patternFill>
      </fill>
    </dxf>
  </dxfs>
  <tableStyles count="0" defaultTableStyle="TableStyleMedium2" defaultPivotStyle="PivotStyleMedium9"/>
  <colors>
    <mruColors>
      <color rgb="FF00FF00"/>
      <color rgb="FFDDF4FB"/>
      <color rgb="FF9DE0F5"/>
      <color rgb="FFFF99FF"/>
      <color rgb="FFFF9999"/>
      <color rgb="FF8EFC88"/>
      <color rgb="FFCCFFCC"/>
      <color rgb="FF00FFCC"/>
      <color rgb="FFE97B8D"/>
      <color rgb="FFFCAA9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B4:D14"/>
  <sheetViews>
    <sheetView workbookViewId="0">
      <selection activeCell="L33" sqref="L33"/>
    </sheetView>
  </sheetViews>
  <sheetFormatPr defaultColWidth="9.140625" defaultRowHeight="15" x14ac:dyDescent="0.25"/>
  <sheetData>
    <row r="4" spans="2:4" x14ac:dyDescent="0.25">
      <c r="B4" t="s">
        <v>33</v>
      </c>
      <c r="D4" t="s">
        <v>35</v>
      </c>
    </row>
    <row r="5" spans="2:4" x14ac:dyDescent="0.25">
      <c r="B5" t="s">
        <v>38</v>
      </c>
      <c r="D5" t="s">
        <v>42</v>
      </c>
    </row>
    <row r="6" spans="2:4" x14ac:dyDescent="0.25">
      <c r="B6" t="s">
        <v>37</v>
      </c>
      <c r="D6" t="s">
        <v>43</v>
      </c>
    </row>
    <row r="7" spans="2:4" x14ac:dyDescent="0.25">
      <c r="B7" t="s">
        <v>39</v>
      </c>
      <c r="D7" t="s">
        <v>44</v>
      </c>
    </row>
    <row r="8" spans="2:4" x14ac:dyDescent="0.25">
      <c r="B8" t="s">
        <v>40</v>
      </c>
      <c r="D8" t="s">
        <v>64</v>
      </c>
    </row>
    <row r="9" spans="2:4" x14ac:dyDescent="0.25">
      <c r="B9" t="s">
        <v>41</v>
      </c>
    </row>
    <row r="10" spans="2:4" x14ac:dyDescent="0.25">
      <c r="B10" t="s">
        <v>45</v>
      </c>
    </row>
    <row r="11" spans="2:4" x14ac:dyDescent="0.25">
      <c r="B11" t="s">
        <v>46</v>
      </c>
    </row>
    <row r="12" spans="2:4" x14ac:dyDescent="0.25">
      <c r="B12" t="s">
        <v>47</v>
      </c>
    </row>
    <row r="13" spans="2:4" x14ac:dyDescent="0.25">
      <c r="B13" t="s">
        <v>54</v>
      </c>
    </row>
    <row r="14" spans="2:4" x14ac:dyDescent="0.25">
      <c r="B1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B1:AD80"/>
  <sheetViews>
    <sheetView zoomScale="77" zoomScaleNormal="77" zoomScaleSheetLayoutView="70" zoomScalePageLayoutView="77" workbookViewId="0">
      <selection activeCell="I81" sqref="I81"/>
    </sheetView>
  </sheetViews>
  <sheetFormatPr defaultColWidth="9.140625" defaultRowHeight="31.5" x14ac:dyDescent="0.5"/>
  <cols>
    <col min="1" max="1" width="1" style="1" customWidth="1"/>
    <col min="2" max="2" width="7.140625" style="12" customWidth="1"/>
    <col min="3" max="4" width="10.7109375" style="2" customWidth="1"/>
    <col min="5" max="5" width="20.140625" style="2" customWidth="1"/>
    <col min="6" max="6" width="12.85546875" style="2" customWidth="1"/>
    <col min="7" max="7" width="9.140625" style="13" customWidth="1"/>
    <col min="8" max="9" width="8.42578125" style="2" customWidth="1"/>
    <col min="10" max="10" width="13.7109375" style="1" customWidth="1"/>
    <col min="11" max="19" width="8.42578125" style="1" customWidth="1"/>
    <col min="20" max="21" width="5.7109375" style="1" hidden="1" customWidth="1"/>
    <col min="22" max="22" width="8.42578125" style="1" customWidth="1"/>
    <col min="23" max="23" width="10.7109375" style="1" customWidth="1"/>
    <col min="24" max="24" width="9.7109375" style="1" customWidth="1"/>
    <col min="25" max="25" width="9.7109375" style="1" hidden="1" customWidth="1"/>
    <col min="26" max="26" width="10.28515625" style="1" customWidth="1"/>
    <col min="27" max="27" width="7.42578125" style="22" customWidth="1"/>
    <col min="28" max="28" width="11.42578125" style="1" customWidth="1"/>
    <col min="29" max="30" width="0" style="1" hidden="1" customWidth="1"/>
    <col min="31" max="16384" width="9.140625" style="1"/>
  </cols>
  <sheetData>
    <row r="1" spans="2:30" ht="23.25" x14ac:dyDescent="0.35">
      <c r="B1" s="508" t="s">
        <v>29</v>
      </c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  <c r="P1" s="508"/>
      <c r="Q1" s="508"/>
      <c r="R1" s="508"/>
      <c r="S1" s="508"/>
      <c r="T1" s="508"/>
      <c r="U1" s="508"/>
      <c r="V1" s="508"/>
      <c r="W1" s="508"/>
      <c r="X1" s="508"/>
      <c r="Y1" s="508"/>
      <c r="Z1" s="508"/>
      <c r="AA1" s="81">
        <f>+AD1/AC1</f>
        <v>0.79144366734997385</v>
      </c>
      <c r="AC1" s="1">
        <f>+SUBTOTAL(9,AC4:AC194)</f>
        <v>248790</v>
      </c>
      <c r="AD1" s="1">
        <f>+SUBTOTAL(9,AD4:AD194)</f>
        <v>196903.27</v>
      </c>
    </row>
    <row r="2" spans="2:30" ht="21.75" thickBot="1" x14ac:dyDescent="0.4">
      <c r="B2" s="509" t="s">
        <v>27</v>
      </c>
      <c r="C2" s="509"/>
      <c r="D2" s="509"/>
      <c r="E2" s="509"/>
      <c r="H2" s="1"/>
      <c r="I2" s="1"/>
      <c r="R2" s="89" t="s">
        <v>17</v>
      </c>
      <c r="W2" s="90">
        <f>+SUMIF(J4:J1000,R2,W4:W1000)</f>
        <v>26422</v>
      </c>
      <c r="X2" s="4" t="s">
        <v>28</v>
      </c>
      <c r="Y2" s="88"/>
      <c r="Z2" s="512">
        <v>44032</v>
      </c>
      <c r="AA2" s="512"/>
    </row>
    <row r="3" spans="2:30" s="76" customFormat="1" ht="27" customHeight="1" thickTop="1" thickBot="1" x14ac:dyDescent="0.3">
      <c r="B3" s="77" t="s">
        <v>16</v>
      </c>
      <c r="C3" s="78" t="s">
        <v>0</v>
      </c>
      <c r="D3" s="78" t="s">
        <v>30</v>
      </c>
      <c r="E3" s="78" t="s">
        <v>1</v>
      </c>
      <c r="F3" s="78" t="s">
        <v>24</v>
      </c>
      <c r="G3" s="510" t="s">
        <v>25</v>
      </c>
      <c r="H3" s="511"/>
      <c r="I3" s="78" t="s">
        <v>26</v>
      </c>
      <c r="J3" s="78"/>
      <c r="K3" s="78" t="s">
        <v>2</v>
      </c>
      <c r="L3" s="78" t="s">
        <v>3</v>
      </c>
      <c r="M3" s="78" t="s">
        <v>4</v>
      </c>
      <c r="N3" s="78" t="s">
        <v>5</v>
      </c>
      <c r="O3" s="78" t="s">
        <v>6</v>
      </c>
      <c r="P3" s="78" t="s">
        <v>7</v>
      </c>
      <c r="Q3" s="78" t="s">
        <v>8</v>
      </c>
      <c r="R3" s="78" t="s">
        <v>9</v>
      </c>
      <c r="S3" s="78" t="s">
        <v>10</v>
      </c>
      <c r="T3" s="14" t="s">
        <v>11</v>
      </c>
      <c r="U3" s="14" t="s">
        <v>12</v>
      </c>
      <c r="V3" s="78" t="s">
        <v>72</v>
      </c>
      <c r="W3" s="78" t="s">
        <v>13</v>
      </c>
      <c r="X3" s="78" t="s">
        <v>14</v>
      </c>
      <c r="Y3" s="16"/>
      <c r="Z3" s="79" t="s">
        <v>15</v>
      </c>
      <c r="AA3" s="80" t="s">
        <v>73</v>
      </c>
    </row>
    <row r="4" spans="2:30" ht="18.75" customHeight="1" thickTop="1" x14ac:dyDescent="0.3">
      <c r="B4" s="83">
        <f>+B5</f>
        <v>1</v>
      </c>
      <c r="C4" s="51"/>
      <c r="D4" s="51"/>
      <c r="E4" s="51"/>
      <c r="F4" s="51"/>
      <c r="G4" s="55" t="s">
        <v>20</v>
      </c>
      <c r="H4" s="56" t="s">
        <v>23</v>
      </c>
      <c r="I4" s="56" t="s">
        <v>23</v>
      </c>
      <c r="J4" s="7" t="s">
        <v>21</v>
      </c>
      <c r="K4" s="23"/>
      <c r="L4" s="23"/>
      <c r="M4" s="23"/>
      <c r="N4" s="23"/>
      <c r="O4" s="23"/>
      <c r="P4" s="23"/>
      <c r="Q4" s="23"/>
      <c r="R4" s="23">
        <v>156</v>
      </c>
      <c r="S4" s="23"/>
      <c r="T4" s="7"/>
      <c r="U4" s="7"/>
      <c r="V4" s="28"/>
      <c r="W4" s="32">
        <f t="shared" ref="W4:W35" si="0">+SUM(K4:U4)</f>
        <v>156</v>
      </c>
      <c r="X4" s="32">
        <f>+Y4+W4</f>
        <v>832</v>
      </c>
      <c r="Y4" s="33">
        <v>676</v>
      </c>
      <c r="Z4" s="72"/>
      <c r="AA4" s="35"/>
    </row>
    <row r="5" spans="2:30" ht="18.75" customHeight="1" x14ac:dyDescent="0.3">
      <c r="B5" s="15">
        <v>1</v>
      </c>
      <c r="C5" s="52" t="s">
        <v>52</v>
      </c>
      <c r="D5" s="52" t="s">
        <v>31</v>
      </c>
      <c r="E5" s="52" t="s">
        <v>53</v>
      </c>
      <c r="F5" s="52" t="s">
        <v>54</v>
      </c>
      <c r="G5" s="57">
        <v>42.5</v>
      </c>
      <c r="H5" s="58">
        <v>60</v>
      </c>
      <c r="I5" s="59">
        <v>56</v>
      </c>
      <c r="J5" s="8" t="s">
        <v>17</v>
      </c>
      <c r="K5" s="24">
        <v>0</v>
      </c>
      <c r="L5" s="24">
        <v>0</v>
      </c>
      <c r="M5" s="24">
        <v>20</v>
      </c>
      <c r="N5" s="24">
        <v>20</v>
      </c>
      <c r="O5" s="24">
        <v>25</v>
      </c>
      <c r="P5" s="24">
        <v>25</v>
      </c>
      <c r="Q5" s="24">
        <v>30</v>
      </c>
      <c r="R5" s="24">
        <v>30</v>
      </c>
      <c r="S5" s="24"/>
      <c r="T5" s="8"/>
      <c r="U5" s="8"/>
      <c r="V5" s="36">
        <f>+IF(COUNTA(K5:U5)=0,0,W5/COUNTA(K5:U5))</f>
        <v>18.75</v>
      </c>
      <c r="W5" s="37">
        <f t="shared" si="0"/>
        <v>150</v>
      </c>
      <c r="X5" s="37">
        <f>+W5+Y5</f>
        <v>150</v>
      </c>
      <c r="Y5" s="38">
        <v>0</v>
      </c>
      <c r="Z5" s="73">
        <f>+X4-X5</f>
        <v>682</v>
      </c>
      <c r="AA5" s="40">
        <f>+IF(((W6+(W7/2))*60)=0,"",(G5*W5)/((W6+(W7/2))*60))</f>
        <v>0.32003012048192769</v>
      </c>
      <c r="AD5" s="1">
        <f>+W5*G5</f>
        <v>6375</v>
      </c>
    </row>
    <row r="6" spans="2:30" ht="18.75" customHeight="1" x14ac:dyDescent="0.3">
      <c r="B6" s="84">
        <f>+B5</f>
        <v>1</v>
      </c>
      <c r="C6" s="52"/>
      <c r="D6" s="52"/>
      <c r="E6" s="52"/>
      <c r="F6" s="52"/>
      <c r="G6" s="60"/>
      <c r="H6" s="61" t="s">
        <v>22</v>
      </c>
      <c r="I6" s="61" t="s">
        <v>22</v>
      </c>
      <c r="J6" s="3" t="s">
        <v>18</v>
      </c>
      <c r="K6" s="25">
        <v>40</v>
      </c>
      <c r="L6" s="25">
        <v>40</v>
      </c>
      <c r="M6" s="25">
        <v>40</v>
      </c>
      <c r="N6" s="25">
        <v>40</v>
      </c>
      <c r="O6" s="25">
        <v>40</v>
      </c>
      <c r="P6" s="25">
        <v>40</v>
      </c>
      <c r="Q6" s="25">
        <v>40</v>
      </c>
      <c r="R6" s="25">
        <v>40</v>
      </c>
      <c r="S6" s="25"/>
      <c r="T6" s="3"/>
      <c r="U6" s="3"/>
      <c r="V6" s="29"/>
      <c r="W6" s="41">
        <f t="shared" si="0"/>
        <v>320</v>
      </c>
      <c r="X6" s="41"/>
      <c r="Y6" s="42"/>
      <c r="Z6" s="74"/>
      <c r="AA6" s="44"/>
      <c r="AC6" s="1">
        <f>+W6*60</f>
        <v>19200</v>
      </c>
    </row>
    <row r="7" spans="2:30" ht="18.75" customHeight="1" thickBot="1" x14ac:dyDescent="0.35">
      <c r="B7" s="85">
        <f>+B5</f>
        <v>1</v>
      </c>
      <c r="C7" s="53"/>
      <c r="D7" s="53"/>
      <c r="E7" s="53"/>
      <c r="F7" s="53"/>
      <c r="G7" s="62"/>
      <c r="H7" s="63">
        <v>46</v>
      </c>
      <c r="I7" s="64">
        <v>41.5</v>
      </c>
      <c r="J7" s="6" t="s">
        <v>19</v>
      </c>
      <c r="K7" s="26">
        <v>3</v>
      </c>
      <c r="L7" s="26">
        <v>3</v>
      </c>
      <c r="M7" s="26">
        <v>3</v>
      </c>
      <c r="N7" s="26">
        <v>3</v>
      </c>
      <c r="O7" s="26">
        <v>3</v>
      </c>
      <c r="P7" s="26">
        <v>3</v>
      </c>
      <c r="Q7" s="26">
        <v>3</v>
      </c>
      <c r="R7" s="26">
        <v>3</v>
      </c>
      <c r="S7" s="26"/>
      <c r="T7" s="6"/>
      <c r="U7" s="6"/>
      <c r="V7" s="30"/>
      <c r="W7" s="45">
        <f t="shared" si="0"/>
        <v>24</v>
      </c>
      <c r="X7" s="45"/>
      <c r="Y7" s="46"/>
      <c r="Z7" s="47">
        <f>+Z5/(I5*8)</f>
        <v>1.5223214285714286</v>
      </c>
      <c r="AA7" s="48"/>
      <c r="AB7" s="21"/>
      <c r="AC7" s="1">
        <f>+W7*30</f>
        <v>720</v>
      </c>
    </row>
    <row r="8" spans="2:30" ht="18.75" customHeight="1" thickTop="1" x14ac:dyDescent="0.3">
      <c r="B8" s="17">
        <f>+B9</f>
        <v>2</v>
      </c>
      <c r="C8" s="54"/>
      <c r="D8" s="54"/>
      <c r="E8" s="54"/>
      <c r="F8" s="54"/>
      <c r="G8" s="55" t="s">
        <v>20</v>
      </c>
      <c r="H8" s="56" t="s">
        <v>23</v>
      </c>
      <c r="I8" s="56" t="s">
        <v>23</v>
      </c>
      <c r="J8" s="5" t="s">
        <v>21</v>
      </c>
      <c r="K8" s="27">
        <v>42</v>
      </c>
      <c r="L8" s="27">
        <v>42</v>
      </c>
      <c r="M8" s="27">
        <v>100</v>
      </c>
      <c r="N8" s="27">
        <v>21</v>
      </c>
      <c r="O8" s="27"/>
      <c r="P8" s="27"/>
      <c r="Q8" s="27"/>
      <c r="R8" s="27">
        <v>0</v>
      </c>
      <c r="S8" s="27"/>
      <c r="T8" s="5"/>
      <c r="U8" s="5"/>
      <c r="V8" s="31"/>
      <c r="W8" s="49">
        <f t="shared" si="0"/>
        <v>205</v>
      </c>
      <c r="X8" s="49">
        <f>+Y8+W8</f>
        <v>3753</v>
      </c>
      <c r="Y8" s="42">
        <v>3548</v>
      </c>
      <c r="Z8" s="34"/>
      <c r="AA8" s="35"/>
    </row>
    <row r="9" spans="2:30" ht="18.75" customHeight="1" x14ac:dyDescent="0.3">
      <c r="B9" s="18">
        <v>2</v>
      </c>
      <c r="C9" s="52" t="s">
        <v>50</v>
      </c>
      <c r="D9" s="52" t="s">
        <v>35</v>
      </c>
      <c r="E9" s="52" t="s">
        <v>51</v>
      </c>
      <c r="F9" s="52" t="s">
        <v>37</v>
      </c>
      <c r="G9" s="65">
        <v>41.37</v>
      </c>
      <c r="H9" s="58">
        <v>68</v>
      </c>
      <c r="I9" s="59">
        <v>53</v>
      </c>
      <c r="J9" s="8" t="s">
        <v>17</v>
      </c>
      <c r="K9" s="24">
        <v>35</v>
      </c>
      <c r="L9" s="24">
        <v>65</v>
      </c>
      <c r="M9" s="24">
        <v>65</v>
      </c>
      <c r="N9" s="24"/>
      <c r="O9" s="24"/>
      <c r="P9" s="24"/>
      <c r="Q9" s="24"/>
      <c r="R9" s="24"/>
      <c r="S9" s="24"/>
      <c r="T9" s="8"/>
      <c r="U9" s="8"/>
      <c r="V9" s="36">
        <f>+IF(COUNTA(K9:U9)=0,0,W9/COUNTA(K9:U9))</f>
        <v>55</v>
      </c>
      <c r="W9" s="37">
        <f t="shared" si="0"/>
        <v>165</v>
      </c>
      <c r="X9" s="37">
        <f>+W9+Y9</f>
        <v>2207</v>
      </c>
      <c r="Y9" s="38">
        <v>2042</v>
      </c>
      <c r="Z9" s="39">
        <f>+X8-X9</f>
        <v>1546</v>
      </c>
      <c r="AA9" s="40">
        <f>+IF(((W10+(W11/2))*60)=0,"",(G9*W9)/((W10+(W11/2))*60))</f>
        <v>0.96823404255319134</v>
      </c>
      <c r="AD9" s="1">
        <f>+W9*G9</f>
        <v>6826.0499999999993</v>
      </c>
    </row>
    <row r="10" spans="2:30" ht="18.75" customHeight="1" x14ac:dyDescent="0.3">
      <c r="B10" s="19">
        <f>+B9</f>
        <v>2</v>
      </c>
      <c r="C10" s="52"/>
      <c r="D10" s="52"/>
      <c r="E10" s="52"/>
      <c r="F10" s="52"/>
      <c r="G10" s="66"/>
      <c r="H10" s="61" t="s">
        <v>22</v>
      </c>
      <c r="I10" s="87" t="s">
        <v>22</v>
      </c>
      <c r="J10" s="3" t="s">
        <v>18</v>
      </c>
      <c r="K10" s="25">
        <v>36</v>
      </c>
      <c r="L10" s="25">
        <v>40</v>
      </c>
      <c r="M10" s="25">
        <v>40</v>
      </c>
      <c r="N10" s="25"/>
      <c r="O10" s="25"/>
      <c r="P10" s="25"/>
      <c r="Q10" s="25"/>
      <c r="R10" s="25"/>
      <c r="S10" s="25"/>
      <c r="T10" s="3"/>
      <c r="U10" s="3"/>
      <c r="V10" s="29"/>
      <c r="W10" s="41">
        <f t="shared" si="0"/>
        <v>116</v>
      </c>
      <c r="X10" s="41"/>
      <c r="Y10" s="42"/>
      <c r="Z10" s="43"/>
      <c r="AA10" s="44"/>
      <c r="AC10" s="1">
        <f>+W10*60</f>
        <v>6960</v>
      </c>
    </row>
    <row r="11" spans="2:30" ht="18.75" customHeight="1" thickBot="1" x14ac:dyDescent="0.35">
      <c r="B11" s="20">
        <f>+B9</f>
        <v>2</v>
      </c>
      <c r="C11" s="53"/>
      <c r="D11" s="53"/>
      <c r="E11" s="53"/>
      <c r="F11" s="53"/>
      <c r="G11" s="67"/>
      <c r="H11" s="63">
        <v>52</v>
      </c>
      <c r="I11" s="64">
        <v>40.5</v>
      </c>
      <c r="J11" s="6" t="s">
        <v>19</v>
      </c>
      <c r="K11" s="26">
        <v>1</v>
      </c>
      <c r="L11" s="26">
        <v>1</v>
      </c>
      <c r="M11" s="26">
        <v>1</v>
      </c>
      <c r="N11" s="26"/>
      <c r="O11" s="26"/>
      <c r="P11" s="26"/>
      <c r="Q11" s="26"/>
      <c r="R11" s="26"/>
      <c r="S11" s="26"/>
      <c r="T11" s="6"/>
      <c r="U11" s="6"/>
      <c r="V11" s="30"/>
      <c r="W11" s="45">
        <f t="shared" si="0"/>
        <v>3</v>
      </c>
      <c r="X11" s="45"/>
      <c r="Y11" s="46"/>
      <c r="Z11" s="47">
        <f>+Z9/(I9*8)</f>
        <v>3.6462264150943398</v>
      </c>
      <c r="AA11" s="48"/>
      <c r="AC11" s="1">
        <f>+W11*30</f>
        <v>90</v>
      </c>
    </row>
    <row r="12" spans="2:30" ht="18.75" customHeight="1" thickTop="1" x14ac:dyDescent="0.3">
      <c r="B12" s="86">
        <f>+B13</f>
        <v>3</v>
      </c>
      <c r="C12" s="54"/>
      <c r="D12" s="54"/>
      <c r="E12" s="54"/>
      <c r="F12" s="54"/>
      <c r="G12" s="68" t="s">
        <v>20</v>
      </c>
      <c r="H12" s="69" t="s">
        <v>23</v>
      </c>
      <c r="I12" s="69" t="s">
        <v>23</v>
      </c>
      <c r="J12" s="5" t="s">
        <v>21</v>
      </c>
      <c r="K12" s="27"/>
      <c r="L12" s="27"/>
      <c r="M12" s="27"/>
      <c r="N12" s="27"/>
      <c r="O12" s="27"/>
      <c r="P12" s="27"/>
      <c r="Q12" s="27"/>
      <c r="R12" s="27">
        <v>282</v>
      </c>
      <c r="S12" s="27"/>
      <c r="T12" s="5"/>
      <c r="U12" s="5"/>
      <c r="V12" s="31"/>
      <c r="W12" s="49">
        <f t="shared" si="0"/>
        <v>282</v>
      </c>
      <c r="X12" s="49">
        <f>+Y12+W12</f>
        <v>13786</v>
      </c>
      <c r="Y12" s="42">
        <v>13504</v>
      </c>
      <c r="Z12" s="75"/>
      <c r="AA12" s="50"/>
    </row>
    <row r="13" spans="2:30" ht="18.75" customHeight="1" x14ac:dyDescent="0.3">
      <c r="B13" s="15">
        <v>3</v>
      </c>
      <c r="C13" s="52" t="s">
        <v>48</v>
      </c>
      <c r="D13" s="52" t="s">
        <v>31</v>
      </c>
      <c r="E13" s="52" t="s">
        <v>49</v>
      </c>
      <c r="F13" s="52" t="s">
        <v>33</v>
      </c>
      <c r="G13" s="57">
        <v>49.99</v>
      </c>
      <c r="H13" s="58">
        <v>50</v>
      </c>
      <c r="I13" s="59">
        <v>50</v>
      </c>
      <c r="J13" s="8" t="s">
        <v>17</v>
      </c>
      <c r="K13" s="24">
        <v>50</v>
      </c>
      <c r="L13" s="24">
        <v>50</v>
      </c>
      <c r="M13" s="24">
        <v>50</v>
      </c>
      <c r="N13" s="24">
        <v>50</v>
      </c>
      <c r="O13" s="24">
        <v>50</v>
      </c>
      <c r="P13" s="24">
        <v>50</v>
      </c>
      <c r="Q13" s="24">
        <v>50</v>
      </c>
      <c r="R13" s="24">
        <v>58</v>
      </c>
      <c r="S13" s="24"/>
      <c r="T13" s="8"/>
      <c r="U13" s="8"/>
      <c r="V13" s="36">
        <f>+IF(COUNTA(K13:U13)=0,0,W13/COUNTA(K13:U13))</f>
        <v>51</v>
      </c>
      <c r="W13" s="37">
        <f t="shared" si="0"/>
        <v>408</v>
      </c>
      <c r="X13" s="37">
        <f>+W13+Y13</f>
        <v>12752</v>
      </c>
      <c r="Y13" s="38">
        <v>12344</v>
      </c>
      <c r="Z13" s="73">
        <f>+X12-X13</f>
        <v>1034</v>
      </c>
      <c r="AA13" s="40">
        <f>+IF(((W14+(W15/2))*60)=0,"",(G13*W13)/((W14+(W15/2))*60))</f>
        <v>0.91873513513513527</v>
      </c>
      <c r="AD13" s="1">
        <f>+W13*G13</f>
        <v>20395.920000000002</v>
      </c>
    </row>
    <row r="14" spans="2:30" ht="18.75" customHeight="1" x14ac:dyDescent="0.3">
      <c r="B14" s="84">
        <f>+B13</f>
        <v>3</v>
      </c>
      <c r="C14" s="52"/>
      <c r="D14" s="52"/>
      <c r="E14" s="52"/>
      <c r="F14" s="52"/>
      <c r="G14" s="60"/>
      <c r="H14" s="61" t="s">
        <v>22</v>
      </c>
      <c r="I14" s="61" t="s">
        <v>22</v>
      </c>
      <c r="J14" s="3" t="s">
        <v>18</v>
      </c>
      <c r="K14" s="25">
        <v>42</v>
      </c>
      <c r="L14" s="25">
        <v>44</v>
      </c>
      <c r="M14" s="25">
        <v>44</v>
      </c>
      <c r="N14" s="25">
        <v>44</v>
      </c>
      <c r="O14" s="25">
        <v>45</v>
      </c>
      <c r="P14" s="25">
        <v>45</v>
      </c>
      <c r="Q14" s="25">
        <v>45</v>
      </c>
      <c r="R14" s="25">
        <v>45</v>
      </c>
      <c r="S14" s="25"/>
      <c r="T14" s="3"/>
      <c r="U14" s="3"/>
      <c r="V14" s="29"/>
      <c r="W14" s="41">
        <f t="shared" si="0"/>
        <v>354</v>
      </c>
      <c r="X14" s="41"/>
      <c r="Y14" s="42"/>
      <c r="Z14" s="74"/>
      <c r="AA14" s="44"/>
      <c r="AC14" s="1">
        <f>+W14*60</f>
        <v>21240</v>
      </c>
    </row>
    <row r="15" spans="2:30" ht="18.75" customHeight="1" thickBot="1" x14ac:dyDescent="0.35">
      <c r="B15" s="85">
        <f>+B13</f>
        <v>3</v>
      </c>
      <c r="C15" s="53"/>
      <c r="D15" s="53"/>
      <c r="E15" s="53"/>
      <c r="F15" s="53"/>
      <c r="G15" s="62"/>
      <c r="H15" s="63">
        <v>46</v>
      </c>
      <c r="I15" s="64">
        <v>46</v>
      </c>
      <c r="J15" s="6" t="s">
        <v>19</v>
      </c>
      <c r="K15" s="26">
        <v>4</v>
      </c>
      <c r="L15" s="26">
        <v>4</v>
      </c>
      <c r="M15" s="26">
        <v>4</v>
      </c>
      <c r="N15" s="26">
        <v>4</v>
      </c>
      <c r="O15" s="26">
        <v>4</v>
      </c>
      <c r="P15" s="26">
        <v>4</v>
      </c>
      <c r="Q15" s="26">
        <v>4</v>
      </c>
      <c r="R15" s="26">
        <v>4</v>
      </c>
      <c r="S15" s="26"/>
      <c r="T15" s="6"/>
      <c r="U15" s="6"/>
      <c r="V15" s="30"/>
      <c r="W15" s="45">
        <f t="shared" si="0"/>
        <v>32</v>
      </c>
      <c r="X15" s="45"/>
      <c r="Y15" s="46"/>
      <c r="Z15" s="47">
        <f>+Z13/(I13*8)</f>
        <v>2.585</v>
      </c>
      <c r="AA15" s="48"/>
      <c r="AC15" s="1">
        <f>+W15*30</f>
        <v>960</v>
      </c>
    </row>
    <row r="16" spans="2:30" ht="18.75" customHeight="1" thickTop="1" x14ac:dyDescent="0.3">
      <c r="B16" s="86">
        <f>+B17</f>
        <v>3</v>
      </c>
      <c r="C16" s="54"/>
      <c r="D16" s="54"/>
      <c r="E16" s="54"/>
      <c r="F16" s="54"/>
      <c r="G16" s="68" t="s">
        <v>20</v>
      </c>
      <c r="H16" s="69" t="s">
        <v>23</v>
      </c>
      <c r="I16" s="69" t="s">
        <v>23</v>
      </c>
      <c r="J16" s="5" t="s">
        <v>21</v>
      </c>
      <c r="K16" s="27"/>
      <c r="L16" s="27"/>
      <c r="M16" s="27"/>
      <c r="N16" s="27"/>
      <c r="O16" s="27"/>
      <c r="P16" s="27"/>
      <c r="Q16" s="27"/>
      <c r="R16" s="27">
        <v>126</v>
      </c>
      <c r="S16" s="27"/>
      <c r="T16" s="5"/>
      <c r="U16" s="5"/>
      <c r="V16" s="31"/>
      <c r="W16" s="49">
        <f t="shared" si="0"/>
        <v>126</v>
      </c>
      <c r="X16" s="49">
        <v>126</v>
      </c>
      <c r="Y16" s="42">
        <v>13504</v>
      </c>
      <c r="Z16" s="75"/>
      <c r="AA16" s="50"/>
    </row>
    <row r="17" spans="2:30" ht="18.75" customHeight="1" x14ac:dyDescent="0.3">
      <c r="B17" s="15">
        <v>3</v>
      </c>
      <c r="C17" s="52" t="s">
        <v>48</v>
      </c>
      <c r="D17" s="52" t="s">
        <v>31</v>
      </c>
      <c r="E17" s="52" t="s">
        <v>74</v>
      </c>
      <c r="F17" s="52" t="s">
        <v>33</v>
      </c>
      <c r="G17" s="57"/>
      <c r="H17" s="58"/>
      <c r="I17" s="59"/>
      <c r="J17" s="8" t="s">
        <v>17</v>
      </c>
      <c r="K17" s="24"/>
      <c r="L17" s="24"/>
      <c r="M17" s="24"/>
      <c r="N17" s="24"/>
      <c r="O17" s="24"/>
      <c r="P17" s="24"/>
      <c r="Q17" s="24"/>
      <c r="R17" s="24"/>
      <c r="S17" s="24"/>
      <c r="T17" s="8"/>
      <c r="U17" s="8"/>
      <c r="V17" s="36">
        <f>+IF(COUNTA(K17:U17)=0,0,W17/COUNTA(K17:U17))</f>
        <v>0</v>
      </c>
      <c r="W17" s="37">
        <f t="shared" si="0"/>
        <v>0</v>
      </c>
      <c r="X17" s="37"/>
      <c r="Y17" s="38">
        <v>12344</v>
      </c>
      <c r="Z17" s="73">
        <f>+X16-X17</f>
        <v>126</v>
      </c>
      <c r="AA17" s="40" t="str">
        <f>+IF(((W18+(W19/2))*60)=0,"",(G17*W17)/((W18+(W19/2))*60))</f>
        <v/>
      </c>
      <c r="AD17" s="1">
        <f>+W17*G17</f>
        <v>0</v>
      </c>
    </row>
    <row r="18" spans="2:30" ht="18.75" customHeight="1" x14ac:dyDescent="0.3">
      <c r="B18" s="84">
        <f>+B17</f>
        <v>3</v>
      </c>
      <c r="C18" s="52"/>
      <c r="D18" s="52"/>
      <c r="E18" s="52"/>
      <c r="F18" s="52"/>
      <c r="G18" s="60"/>
      <c r="H18" s="61" t="s">
        <v>22</v>
      </c>
      <c r="I18" s="61" t="s">
        <v>22</v>
      </c>
      <c r="J18" s="3" t="s">
        <v>18</v>
      </c>
      <c r="K18" s="25"/>
      <c r="L18" s="25"/>
      <c r="M18" s="25"/>
      <c r="N18" s="25"/>
      <c r="O18" s="25"/>
      <c r="P18" s="25"/>
      <c r="Q18" s="25"/>
      <c r="R18" s="25"/>
      <c r="S18" s="25"/>
      <c r="T18" s="3"/>
      <c r="U18" s="3"/>
      <c r="V18" s="29"/>
      <c r="W18" s="41">
        <f t="shared" si="0"/>
        <v>0</v>
      </c>
      <c r="X18" s="41"/>
      <c r="Y18" s="42"/>
      <c r="Z18" s="74"/>
      <c r="AA18" s="44"/>
      <c r="AC18" s="1">
        <f>+W18*60</f>
        <v>0</v>
      </c>
    </row>
    <row r="19" spans="2:30" ht="18.75" customHeight="1" thickBot="1" x14ac:dyDescent="0.35">
      <c r="B19" s="85">
        <f>+B17</f>
        <v>3</v>
      </c>
      <c r="C19" s="53"/>
      <c r="D19" s="53"/>
      <c r="E19" s="53"/>
      <c r="F19" s="53"/>
      <c r="G19" s="62"/>
      <c r="H19" s="63"/>
      <c r="I19" s="64"/>
      <c r="J19" s="6" t="s">
        <v>19</v>
      </c>
      <c r="K19" s="26"/>
      <c r="L19" s="26"/>
      <c r="M19" s="26"/>
      <c r="N19" s="26"/>
      <c r="O19" s="26"/>
      <c r="P19" s="26"/>
      <c r="Q19" s="26"/>
      <c r="R19" s="26"/>
      <c r="S19" s="26"/>
      <c r="T19" s="6"/>
      <c r="U19" s="6"/>
      <c r="V19" s="30"/>
      <c r="W19" s="45">
        <f t="shared" si="0"/>
        <v>0</v>
      </c>
      <c r="X19" s="45"/>
      <c r="Y19" s="46"/>
      <c r="Z19" s="47" t="e">
        <f>+Z17/(I17*8)</f>
        <v>#DIV/0!</v>
      </c>
      <c r="AA19" s="48"/>
      <c r="AC19" s="1">
        <f>+W19*30</f>
        <v>0</v>
      </c>
    </row>
    <row r="20" spans="2:30" ht="18.75" customHeight="1" thickTop="1" x14ac:dyDescent="0.3">
      <c r="B20" s="9">
        <f>+B21</f>
        <v>4</v>
      </c>
      <c r="C20" s="54"/>
      <c r="D20" s="54"/>
      <c r="E20" s="54"/>
      <c r="F20" s="54"/>
      <c r="G20" s="55" t="s">
        <v>20</v>
      </c>
      <c r="H20" s="56" t="s">
        <v>23</v>
      </c>
      <c r="I20" s="56" t="s">
        <v>23</v>
      </c>
      <c r="J20" s="5" t="s">
        <v>21</v>
      </c>
      <c r="K20" s="27"/>
      <c r="L20" s="27"/>
      <c r="M20" s="27"/>
      <c r="N20" s="27"/>
      <c r="O20" s="27"/>
      <c r="P20" s="27"/>
      <c r="Q20" s="27"/>
      <c r="R20" s="27"/>
      <c r="S20" s="27"/>
      <c r="T20" s="5"/>
      <c r="U20" s="5"/>
      <c r="V20" s="31"/>
      <c r="W20" s="49">
        <f t="shared" si="0"/>
        <v>0</v>
      </c>
      <c r="X20" s="49">
        <v>1580</v>
      </c>
      <c r="Y20" s="42">
        <v>1325</v>
      </c>
      <c r="Z20" s="34"/>
      <c r="AA20" s="35"/>
    </row>
    <row r="21" spans="2:30" ht="18.75" customHeight="1" x14ac:dyDescent="0.3">
      <c r="B21" s="18">
        <v>4</v>
      </c>
      <c r="C21" s="52" t="s">
        <v>62</v>
      </c>
      <c r="D21" s="52" t="s">
        <v>64</v>
      </c>
      <c r="E21" s="52" t="s">
        <v>65</v>
      </c>
      <c r="F21" s="52" t="s">
        <v>38</v>
      </c>
      <c r="G21" s="57">
        <v>51.86</v>
      </c>
      <c r="H21" s="58">
        <v>60</v>
      </c>
      <c r="I21" s="59">
        <v>35</v>
      </c>
      <c r="J21" s="8" t="s">
        <v>17</v>
      </c>
      <c r="K21" s="24">
        <v>40</v>
      </c>
      <c r="L21" s="24">
        <v>20</v>
      </c>
      <c r="M21" s="24">
        <v>10</v>
      </c>
      <c r="N21" s="24"/>
      <c r="O21" s="24"/>
      <c r="P21" s="24"/>
      <c r="Q21" s="24"/>
      <c r="R21" s="24"/>
      <c r="S21" s="24"/>
      <c r="T21" s="8"/>
      <c r="U21" s="8"/>
      <c r="V21" s="36">
        <f>+IF(COUNTA(K21:U21)=0,0,W21/COUNTA(K21:U21))</f>
        <v>23.333333333333332</v>
      </c>
      <c r="W21" s="37">
        <f t="shared" si="0"/>
        <v>70</v>
      </c>
      <c r="X21" s="37">
        <f>972+W21</f>
        <v>1042</v>
      </c>
      <c r="Y21" s="38">
        <v>659</v>
      </c>
      <c r="Z21" s="39">
        <f>+X20-X21</f>
        <v>538</v>
      </c>
      <c r="AA21" s="40">
        <f>+IF(((W22+(W23/2))*60)=0,"",(G21*W21)/((W22+(W23/2))*60))</f>
        <v>0.5084313725490196</v>
      </c>
      <c r="AD21" s="1">
        <f>+W21*G21</f>
        <v>3630.2</v>
      </c>
    </row>
    <row r="22" spans="2:30" ht="18.75" customHeight="1" x14ac:dyDescent="0.3">
      <c r="B22" s="10">
        <f>+B21</f>
        <v>4</v>
      </c>
      <c r="C22" s="52"/>
      <c r="D22" s="52"/>
      <c r="E22" s="52"/>
      <c r="F22" s="52"/>
      <c r="G22" s="60"/>
      <c r="H22" s="61" t="s">
        <v>22</v>
      </c>
      <c r="I22" s="61" t="s">
        <v>22</v>
      </c>
      <c r="J22" s="3" t="s">
        <v>18</v>
      </c>
      <c r="K22" s="25">
        <v>39</v>
      </c>
      <c r="L22" s="25">
        <v>38</v>
      </c>
      <c r="M22" s="25">
        <v>36</v>
      </c>
      <c r="N22" s="25"/>
      <c r="O22" s="25"/>
      <c r="P22" s="25"/>
      <c r="Q22" s="25"/>
      <c r="R22" s="25"/>
      <c r="S22" s="25"/>
      <c r="T22" s="3"/>
      <c r="U22" s="3"/>
      <c r="V22" s="29"/>
      <c r="W22" s="41">
        <f t="shared" si="0"/>
        <v>113</v>
      </c>
      <c r="X22" s="41"/>
      <c r="Y22" s="42"/>
      <c r="Z22" s="43"/>
      <c r="AA22" s="44"/>
      <c r="AC22" s="1">
        <f>+W22*60</f>
        <v>6780</v>
      </c>
    </row>
    <row r="23" spans="2:30" ht="18.75" customHeight="1" thickBot="1" x14ac:dyDescent="0.35">
      <c r="B23" s="11">
        <f>+B21</f>
        <v>4</v>
      </c>
      <c r="C23" s="53"/>
      <c r="D23" s="53"/>
      <c r="E23" s="53"/>
      <c r="F23" s="53"/>
      <c r="G23" s="62"/>
      <c r="H23" s="63">
        <v>52</v>
      </c>
      <c r="I23" s="63">
        <v>47</v>
      </c>
      <c r="J23" s="6" t="s">
        <v>19</v>
      </c>
      <c r="K23" s="26">
        <v>4</v>
      </c>
      <c r="L23" s="26">
        <v>4</v>
      </c>
      <c r="M23" s="26">
        <v>4</v>
      </c>
      <c r="N23" s="26"/>
      <c r="O23" s="26"/>
      <c r="P23" s="26"/>
      <c r="Q23" s="26"/>
      <c r="R23" s="26"/>
      <c r="S23" s="26"/>
      <c r="T23" s="6"/>
      <c r="U23" s="6"/>
      <c r="V23" s="30"/>
      <c r="W23" s="45">
        <f t="shared" si="0"/>
        <v>12</v>
      </c>
      <c r="X23" s="45"/>
      <c r="Y23" s="46"/>
      <c r="Z23" s="47">
        <f>+Z21/(I21*8)</f>
        <v>1.9214285714285715</v>
      </c>
      <c r="AA23" s="48"/>
      <c r="AC23" s="1">
        <f>+W23*30</f>
        <v>360</v>
      </c>
    </row>
    <row r="24" spans="2:30" ht="18.75" customHeight="1" thickTop="1" x14ac:dyDescent="0.3">
      <c r="B24" s="9">
        <f>+B25</f>
        <v>4</v>
      </c>
      <c r="C24" s="54"/>
      <c r="D24" s="54"/>
      <c r="E24" s="54"/>
      <c r="F24" s="54"/>
      <c r="G24" s="55" t="s">
        <v>20</v>
      </c>
      <c r="H24" s="56" t="s">
        <v>23</v>
      </c>
      <c r="I24" s="56" t="s">
        <v>23</v>
      </c>
      <c r="J24" s="5" t="s">
        <v>21</v>
      </c>
      <c r="K24" s="27">
        <v>30</v>
      </c>
      <c r="L24" s="27">
        <v>30</v>
      </c>
      <c r="M24" s="27">
        <v>30</v>
      </c>
      <c r="N24" s="27">
        <v>30</v>
      </c>
      <c r="O24" s="27"/>
      <c r="P24" s="27"/>
      <c r="Q24" s="27"/>
      <c r="R24" s="27"/>
      <c r="S24" s="27"/>
      <c r="T24" s="5"/>
      <c r="U24" s="5"/>
      <c r="V24" s="31"/>
      <c r="W24" s="49">
        <f t="shared" si="0"/>
        <v>120</v>
      </c>
      <c r="X24" s="49">
        <v>90</v>
      </c>
      <c r="Y24" s="42">
        <v>1325</v>
      </c>
      <c r="Z24" s="34"/>
      <c r="AA24" s="35"/>
    </row>
    <row r="25" spans="2:30" ht="18.75" customHeight="1" x14ac:dyDescent="0.3">
      <c r="B25" s="18">
        <v>4</v>
      </c>
      <c r="C25" s="52" t="s">
        <v>70</v>
      </c>
      <c r="D25" s="52" t="s">
        <v>43</v>
      </c>
      <c r="E25" s="52" t="s">
        <v>71</v>
      </c>
      <c r="F25" s="52" t="s">
        <v>38</v>
      </c>
      <c r="G25" s="57"/>
      <c r="H25" s="58"/>
      <c r="I25" s="59">
        <v>40</v>
      </c>
      <c r="J25" s="8" t="s">
        <v>17</v>
      </c>
      <c r="K25" s="24"/>
      <c r="L25" s="24"/>
      <c r="M25" s="24"/>
      <c r="N25" s="24"/>
      <c r="O25" s="24"/>
      <c r="P25" s="24"/>
      <c r="Q25" s="24"/>
      <c r="R25" s="24"/>
      <c r="S25" s="24"/>
      <c r="T25" s="8"/>
      <c r="U25" s="8"/>
      <c r="V25" s="36">
        <f>+IF(COUNTA(K25:U25)=0,0,W25/COUNTA(K25:U25))</f>
        <v>0</v>
      </c>
      <c r="W25" s="37">
        <f t="shared" si="0"/>
        <v>0</v>
      </c>
      <c r="X25" s="37"/>
      <c r="Y25" s="38">
        <v>659</v>
      </c>
      <c r="Z25" s="39">
        <f>+X24-X25</f>
        <v>90</v>
      </c>
      <c r="AA25" s="40">
        <f>+IF(((W26+(W27/2))*60)=0,"",(G25*W25)/((W26+(W27/2))*60))</f>
        <v>0</v>
      </c>
      <c r="AD25" s="1">
        <f>+W25*G25</f>
        <v>0</v>
      </c>
    </row>
    <row r="26" spans="2:30" ht="18.75" customHeight="1" x14ac:dyDescent="0.3">
      <c r="B26" s="10">
        <f>+B25</f>
        <v>4</v>
      </c>
      <c r="C26" s="52"/>
      <c r="D26" s="52"/>
      <c r="E26" s="52"/>
      <c r="F26" s="52"/>
      <c r="G26" s="60"/>
      <c r="H26" s="61" t="s">
        <v>22</v>
      </c>
      <c r="I26" s="61" t="s">
        <v>22</v>
      </c>
      <c r="J26" s="3" t="s">
        <v>18</v>
      </c>
      <c r="K26" s="25">
        <v>6</v>
      </c>
      <c r="L26" s="25">
        <v>7</v>
      </c>
      <c r="M26" s="25">
        <v>9</v>
      </c>
      <c r="N26" s="25"/>
      <c r="O26" s="25"/>
      <c r="P26" s="25"/>
      <c r="Q26" s="25"/>
      <c r="R26" s="25"/>
      <c r="S26" s="25"/>
      <c r="T26" s="3"/>
      <c r="U26" s="3"/>
      <c r="V26" s="29"/>
      <c r="W26" s="41">
        <f t="shared" si="0"/>
        <v>22</v>
      </c>
      <c r="X26" s="41"/>
      <c r="Y26" s="42"/>
      <c r="Z26" s="43"/>
      <c r="AA26" s="44"/>
      <c r="AC26" s="1">
        <f>+W26*60</f>
        <v>1320</v>
      </c>
    </row>
    <row r="27" spans="2:30" ht="18.75" customHeight="1" thickBot="1" x14ac:dyDescent="0.35">
      <c r="B27" s="11">
        <f>+B25</f>
        <v>4</v>
      </c>
      <c r="C27" s="53"/>
      <c r="D27" s="53"/>
      <c r="E27" s="53"/>
      <c r="F27" s="53"/>
      <c r="G27" s="62"/>
      <c r="H27" s="63"/>
      <c r="I27" s="64"/>
      <c r="J27" s="6" t="s">
        <v>19</v>
      </c>
      <c r="K27" s="26"/>
      <c r="L27" s="26"/>
      <c r="M27" s="26"/>
      <c r="N27" s="26"/>
      <c r="O27" s="26"/>
      <c r="P27" s="26"/>
      <c r="Q27" s="26"/>
      <c r="R27" s="26"/>
      <c r="S27" s="26"/>
      <c r="T27" s="6"/>
      <c r="U27" s="6"/>
      <c r="V27" s="30"/>
      <c r="W27" s="45">
        <f t="shared" si="0"/>
        <v>0</v>
      </c>
      <c r="X27" s="45"/>
      <c r="Y27" s="46"/>
      <c r="Z27" s="47">
        <f>+Z25/(I25*8)</f>
        <v>0.28125</v>
      </c>
      <c r="AA27" s="48"/>
      <c r="AC27" s="1">
        <f>+W27*30</f>
        <v>0</v>
      </c>
    </row>
    <row r="28" spans="2:30" ht="18.75" customHeight="1" thickTop="1" x14ac:dyDescent="0.3">
      <c r="B28" s="9">
        <f>+B29</f>
        <v>6</v>
      </c>
      <c r="C28" s="54"/>
      <c r="D28" s="54"/>
      <c r="E28" s="54"/>
      <c r="F28" s="54"/>
      <c r="G28" s="55" t="s">
        <v>20</v>
      </c>
      <c r="H28" s="56" t="s">
        <v>23</v>
      </c>
      <c r="I28" s="56" t="s">
        <v>23</v>
      </c>
      <c r="J28" s="5" t="s">
        <v>21</v>
      </c>
      <c r="K28" s="27">
        <v>75</v>
      </c>
      <c r="L28" s="27">
        <v>75</v>
      </c>
      <c r="M28" s="27">
        <v>75</v>
      </c>
      <c r="N28" s="27">
        <v>75</v>
      </c>
      <c r="O28" s="27"/>
      <c r="P28" s="27"/>
      <c r="Q28" s="27"/>
      <c r="R28" s="27"/>
      <c r="S28" s="27"/>
      <c r="T28" s="5"/>
      <c r="U28" s="5"/>
      <c r="V28" s="31"/>
      <c r="W28" s="49">
        <f t="shared" si="0"/>
        <v>300</v>
      </c>
      <c r="X28" s="49">
        <f>+Y28+W28</f>
        <v>5050</v>
      </c>
      <c r="Y28" s="42">
        <v>4750</v>
      </c>
      <c r="Z28" s="34"/>
      <c r="AA28" s="35"/>
    </row>
    <row r="29" spans="2:30" ht="18.75" customHeight="1" x14ac:dyDescent="0.3">
      <c r="B29" s="18">
        <v>6</v>
      </c>
      <c r="C29" s="52" t="s">
        <v>61</v>
      </c>
      <c r="D29" s="52" t="s">
        <v>31</v>
      </c>
      <c r="E29" s="52" t="s">
        <v>32</v>
      </c>
      <c r="F29" s="52" t="s">
        <v>33</v>
      </c>
      <c r="G29" s="65">
        <v>43.38</v>
      </c>
      <c r="H29" s="58">
        <v>62</v>
      </c>
      <c r="I29" s="59">
        <v>58</v>
      </c>
      <c r="J29" s="8" t="s">
        <v>17</v>
      </c>
      <c r="K29" s="24">
        <v>58</v>
      </c>
      <c r="L29" s="24">
        <v>58</v>
      </c>
      <c r="M29" s="24">
        <v>50</v>
      </c>
      <c r="N29" s="24"/>
      <c r="O29" s="24"/>
      <c r="P29" s="24"/>
      <c r="Q29" s="24"/>
      <c r="R29" s="24"/>
      <c r="S29" s="24"/>
      <c r="T29" s="8"/>
      <c r="U29" s="8"/>
      <c r="V29" s="36">
        <f>+IF(COUNTA(K29:U29)=0,0,W29/COUNTA(K29:U29))</f>
        <v>55.333333333333336</v>
      </c>
      <c r="W29" s="37">
        <f t="shared" si="0"/>
        <v>166</v>
      </c>
      <c r="X29" s="37">
        <f>+W29+Y29</f>
        <v>4451</v>
      </c>
      <c r="Y29" s="38">
        <v>4285</v>
      </c>
      <c r="Z29" s="39">
        <f>+X28-X29</f>
        <v>599</v>
      </c>
      <c r="AA29" s="40">
        <f>+IF(((W30+(W31/2))*60)=0,"",(G29*W29)/((W30+(W31/2))*60))</f>
        <v>0.87285818181818187</v>
      </c>
      <c r="AC29" s="21"/>
      <c r="AD29" s="1">
        <f>+W29*G29</f>
        <v>7201.0800000000008</v>
      </c>
    </row>
    <row r="30" spans="2:30" ht="18.75" customHeight="1" x14ac:dyDescent="0.3">
      <c r="B30" s="10">
        <f>+B29</f>
        <v>6</v>
      </c>
      <c r="C30" s="52"/>
      <c r="D30" s="52"/>
      <c r="E30" s="52"/>
      <c r="F30" s="52"/>
      <c r="G30" s="66"/>
      <c r="H30" s="61" t="s">
        <v>22</v>
      </c>
      <c r="I30" s="61" t="s">
        <v>22</v>
      </c>
      <c r="J30" s="3" t="s">
        <v>18</v>
      </c>
      <c r="K30" s="25">
        <v>43</v>
      </c>
      <c r="L30" s="25">
        <v>45</v>
      </c>
      <c r="M30" s="25">
        <v>45</v>
      </c>
      <c r="N30" s="25"/>
      <c r="O30" s="25"/>
      <c r="P30" s="25"/>
      <c r="Q30" s="25"/>
      <c r="R30" s="25"/>
      <c r="S30" s="25"/>
      <c r="T30" s="3"/>
      <c r="U30" s="3"/>
      <c r="V30" s="29"/>
      <c r="W30" s="41">
        <f t="shared" si="0"/>
        <v>133</v>
      </c>
      <c r="X30" s="41"/>
      <c r="Y30" s="42"/>
      <c r="Z30" s="43"/>
      <c r="AA30" s="44"/>
      <c r="AC30" s="1">
        <f>+W30*60</f>
        <v>7980</v>
      </c>
    </row>
    <row r="31" spans="2:30" ht="18.75" customHeight="1" thickBot="1" x14ac:dyDescent="0.35">
      <c r="B31" s="11">
        <f>+B29</f>
        <v>6</v>
      </c>
      <c r="C31" s="53"/>
      <c r="D31" s="53"/>
      <c r="E31" s="53"/>
      <c r="F31" s="53"/>
      <c r="G31" s="67"/>
      <c r="H31" s="63">
        <v>50</v>
      </c>
      <c r="I31" s="64">
        <v>46.5</v>
      </c>
      <c r="J31" s="6" t="s">
        <v>19</v>
      </c>
      <c r="K31" s="26">
        <v>3</v>
      </c>
      <c r="L31" s="26">
        <v>3</v>
      </c>
      <c r="M31" s="26">
        <v>3</v>
      </c>
      <c r="N31" s="26"/>
      <c r="O31" s="26"/>
      <c r="P31" s="26"/>
      <c r="Q31" s="26"/>
      <c r="R31" s="26"/>
      <c r="S31" s="26"/>
      <c r="T31" s="6"/>
      <c r="U31" s="6"/>
      <c r="V31" s="30"/>
      <c r="W31" s="45">
        <f t="shared" si="0"/>
        <v>9</v>
      </c>
      <c r="X31" s="45"/>
      <c r="Y31" s="46"/>
      <c r="Z31" s="47">
        <f>+Z29/(I29*8)</f>
        <v>1.290948275862069</v>
      </c>
      <c r="AA31" s="48"/>
      <c r="AC31" s="1">
        <f>+W31*30</f>
        <v>270</v>
      </c>
    </row>
    <row r="32" spans="2:30" ht="18.75" customHeight="1" thickTop="1" x14ac:dyDescent="0.3">
      <c r="B32" s="86">
        <f>+B33</f>
        <v>7</v>
      </c>
      <c r="C32" s="54"/>
      <c r="D32" s="54"/>
      <c r="E32" s="54"/>
      <c r="F32" s="54"/>
      <c r="G32" s="55" t="s">
        <v>20</v>
      </c>
      <c r="H32" s="56" t="s">
        <v>23</v>
      </c>
      <c r="I32" s="56" t="s">
        <v>23</v>
      </c>
      <c r="J32" s="5" t="s">
        <v>21</v>
      </c>
      <c r="K32" s="27"/>
      <c r="L32" s="27"/>
      <c r="M32" s="27"/>
      <c r="N32" s="27"/>
      <c r="O32" s="27"/>
      <c r="P32" s="27"/>
      <c r="Q32" s="27"/>
      <c r="R32" s="27">
        <v>500</v>
      </c>
      <c r="S32" s="27"/>
      <c r="T32" s="5"/>
      <c r="U32" s="5"/>
      <c r="V32" s="31"/>
      <c r="W32" s="49">
        <f t="shared" si="0"/>
        <v>500</v>
      </c>
      <c r="X32" s="49">
        <f>+Y32+W32</f>
        <v>2900</v>
      </c>
      <c r="Y32" s="42">
        <v>2400</v>
      </c>
      <c r="Z32" s="72"/>
      <c r="AA32" s="35"/>
    </row>
    <row r="33" spans="2:30" ht="18.75" customHeight="1" x14ac:dyDescent="0.3">
      <c r="B33" s="15">
        <v>7</v>
      </c>
      <c r="C33" s="52" t="s">
        <v>59</v>
      </c>
      <c r="D33" s="52" t="s">
        <v>35</v>
      </c>
      <c r="E33" s="52" t="s">
        <v>60</v>
      </c>
      <c r="F33" s="52" t="s">
        <v>37</v>
      </c>
      <c r="G33" s="57">
        <v>38</v>
      </c>
      <c r="H33" s="58">
        <v>65</v>
      </c>
      <c r="I33" s="59">
        <v>62</v>
      </c>
      <c r="J33" s="8" t="s">
        <v>17</v>
      </c>
      <c r="K33" s="24">
        <v>40</v>
      </c>
      <c r="L33" s="24">
        <v>60</v>
      </c>
      <c r="M33" s="24">
        <v>60</v>
      </c>
      <c r="N33" s="24">
        <v>60</v>
      </c>
      <c r="O33" s="24">
        <v>26</v>
      </c>
      <c r="P33" s="24">
        <v>60</v>
      </c>
      <c r="Q33" s="24">
        <v>60</v>
      </c>
      <c r="R33" s="24">
        <v>60</v>
      </c>
      <c r="S33" s="24"/>
      <c r="T33" s="8"/>
      <c r="U33" s="8"/>
      <c r="V33" s="36">
        <f>+IF(COUNTA(K33:U33)=0,0,W33/COUNTA(K33:U33))</f>
        <v>53.25</v>
      </c>
      <c r="W33" s="37">
        <f t="shared" si="0"/>
        <v>426</v>
      </c>
      <c r="X33" s="37">
        <f>+W33+Y33</f>
        <v>1906</v>
      </c>
      <c r="Y33" s="38">
        <v>1480</v>
      </c>
      <c r="Z33" s="73">
        <f>+X32-X33</f>
        <v>994</v>
      </c>
      <c r="AA33" s="40">
        <f>+IF(((W34+(W35/2))*60)=0,"",(G33*W33)/((W34+(W35/2))*60))</f>
        <v>0.74019204389574755</v>
      </c>
      <c r="AD33" s="1">
        <f>+W33*G33</f>
        <v>16188</v>
      </c>
    </row>
    <row r="34" spans="2:30" ht="18.75" customHeight="1" x14ac:dyDescent="0.3">
      <c r="B34" s="84">
        <f>+B33</f>
        <v>7</v>
      </c>
      <c r="C34" s="52"/>
      <c r="D34" s="52"/>
      <c r="E34" s="52"/>
      <c r="F34" s="52"/>
      <c r="G34" s="60"/>
      <c r="H34" s="61" t="s">
        <v>22</v>
      </c>
      <c r="I34" s="61" t="s">
        <v>22</v>
      </c>
      <c r="J34" s="3" t="s">
        <v>18</v>
      </c>
      <c r="K34" s="25">
        <v>39</v>
      </c>
      <c r="L34" s="25">
        <v>42</v>
      </c>
      <c r="M34" s="25">
        <v>42</v>
      </c>
      <c r="N34" s="25">
        <v>46</v>
      </c>
      <c r="O34" s="25">
        <v>46</v>
      </c>
      <c r="P34" s="25">
        <v>46</v>
      </c>
      <c r="Q34" s="25">
        <v>46</v>
      </c>
      <c r="R34" s="25">
        <v>46</v>
      </c>
      <c r="S34" s="25"/>
      <c r="T34" s="3"/>
      <c r="U34" s="3"/>
      <c r="V34" s="29"/>
      <c r="W34" s="41">
        <f t="shared" si="0"/>
        <v>353</v>
      </c>
      <c r="X34" s="41"/>
      <c r="Y34" s="42"/>
      <c r="Z34" s="74"/>
      <c r="AA34" s="44"/>
      <c r="AC34" s="1">
        <f>+W34*60</f>
        <v>21180</v>
      </c>
    </row>
    <row r="35" spans="2:30" ht="18.75" customHeight="1" thickBot="1" x14ac:dyDescent="0.35">
      <c r="B35" s="85">
        <f>+B33</f>
        <v>7</v>
      </c>
      <c r="C35" s="53"/>
      <c r="D35" s="53"/>
      <c r="E35" s="53"/>
      <c r="F35" s="53"/>
      <c r="G35" s="62"/>
      <c r="H35" s="63">
        <v>46</v>
      </c>
      <c r="I35" s="64">
        <v>43.5</v>
      </c>
      <c r="J35" s="6" t="s">
        <v>19</v>
      </c>
      <c r="K35" s="26">
        <v>2</v>
      </c>
      <c r="L35" s="26">
        <v>3</v>
      </c>
      <c r="M35" s="26">
        <v>3</v>
      </c>
      <c r="N35" s="26">
        <v>3</v>
      </c>
      <c r="O35" s="26">
        <v>3</v>
      </c>
      <c r="P35" s="26">
        <v>3</v>
      </c>
      <c r="Q35" s="26">
        <v>3</v>
      </c>
      <c r="R35" s="26">
        <v>3</v>
      </c>
      <c r="S35" s="26"/>
      <c r="T35" s="6"/>
      <c r="U35" s="6"/>
      <c r="V35" s="30"/>
      <c r="W35" s="45">
        <f t="shared" si="0"/>
        <v>23</v>
      </c>
      <c r="X35" s="45"/>
      <c r="Y35" s="46"/>
      <c r="Z35" s="47">
        <f>+Z33/(I33*8)</f>
        <v>2.004032258064516</v>
      </c>
      <c r="AA35" s="48"/>
      <c r="AC35" s="1">
        <f>+W35*30</f>
        <v>690</v>
      </c>
    </row>
    <row r="36" spans="2:30" ht="18.75" customHeight="1" thickTop="1" x14ac:dyDescent="0.3">
      <c r="B36" s="9">
        <f>+B37</f>
        <v>8</v>
      </c>
      <c r="C36" s="54"/>
      <c r="D36" s="54"/>
      <c r="E36" s="54"/>
      <c r="F36" s="54"/>
      <c r="G36" s="55" t="s">
        <v>20</v>
      </c>
      <c r="H36" s="56" t="s">
        <v>23</v>
      </c>
      <c r="I36" s="56" t="s">
        <v>23</v>
      </c>
      <c r="J36" s="5" t="s">
        <v>21</v>
      </c>
      <c r="K36" s="27">
        <v>1450</v>
      </c>
      <c r="L36" s="27">
        <v>1450</v>
      </c>
      <c r="M36" s="27">
        <v>1450</v>
      </c>
      <c r="N36" s="27">
        <v>2175</v>
      </c>
      <c r="O36" s="27"/>
      <c r="P36" s="27"/>
      <c r="Q36" s="27"/>
      <c r="R36" s="27"/>
      <c r="S36" s="27"/>
      <c r="T36" s="5"/>
      <c r="U36" s="5"/>
      <c r="V36" s="31"/>
      <c r="W36" s="49">
        <f t="shared" ref="W36:W67" si="1">+SUM(K36:U36)</f>
        <v>6525</v>
      </c>
      <c r="X36" s="49">
        <f>+Y36+W36</f>
        <v>37761</v>
      </c>
      <c r="Y36" s="42">
        <v>31236</v>
      </c>
      <c r="Z36" s="34"/>
      <c r="AA36" s="35"/>
    </row>
    <row r="37" spans="2:30" ht="18.75" customHeight="1" x14ac:dyDescent="0.3">
      <c r="B37" s="18">
        <v>8</v>
      </c>
      <c r="C37" s="52"/>
      <c r="D37" s="52" t="s">
        <v>42</v>
      </c>
      <c r="E37" s="52" t="s">
        <v>39</v>
      </c>
      <c r="F37" s="52" t="s">
        <v>39</v>
      </c>
      <c r="G37" s="65">
        <v>2.5299999999999998</v>
      </c>
      <c r="H37" s="58"/>
      <c r="I37" s="59">
        <v>1089</v>
      </c>
      <c r="J37" s="8" t="s">
        <v>17</v>
      </c>
      <c r="K37" s="24">
        <v>1050</v>
      </c>
      <c r="L37" s="24">
        <v>1100</v>
      </c>
      <c r="M37" s="24">
        <v>1100</v>
      </c>
      <c r="N37" s="24"/>
      <c r="O37" s="24"/>
      <c r="P37" s="24"/>
      <c r="Q37" s="24"/>
      <c r="R37" s="24"/>
      <c r="S37" s="24"/>
      <c r="T37" s="8"/>
      <c r="U37" s="8"/>
      <c r="V37" s="36">
        <f>+IF(COUNTA(K37:U37)=0,0,W37/COUNTA(K37:U37))</f>
        <v>1083.3333333333333</v>
      </c>
      <c r="W37" s="37">
        <f t="shared" si="1"/>
        <v>3250</v>
      </c>
      <c r="X37" s="37">
        <f>+W37+Y37</f>
        <v>26540</v>
      </c>
      <c r="Y37" s="38">
        <v>23290</v>
      </c>
      <c r="Z37" s="39">
        <f>+X36-X37</f>
        <v>11221</v>
      </c>
      <c r="AA37" s="40">
        <f>+IF(((W38+(W39/2))*60)=0,"",(G37*W37)/((W38+(W39/2))*60))</f>
        <v>0.907560706401766</v>
      </c>
      <c r="AD37" s="1">
        <f>+W37*G37</f>
        <v>8222.5</v>
      </c>
    </row>
    <row r="38" spans="2:30" ht="18.75" customHeight="1" x14ac:dyDescent="0.3">
      <c r="B38" s="10">
        <f>+B37</f>
        <v>8</v>
      </c>
      <c r="C38" s="52"/>
      <c r="D38" s="52"/>
      <c r="E38" s="52"/>
      <c r="F38" s="52"/>
      <c r="G38" s="66"/>
      <c r="H38" s="61" t="s">
        <v>22</v>
      </c>
      <c r="I38" s="61" t="s">
        <v>22</v>
      </c>
      <c r="J38" s="3" t="s">
        <v>18</v>
      </c>
      <c r="K38" s="25">
        <v>48</v>
      </c>
      <c r="L38" s="25">
        <v>50</v>
      </c>
      <c r="M38" s="25">
        <v>50</v>
      </c>
      <c r="N38" s="25"/>
      <c r="O38" s="25"/>
      <c r="P38" s="25"/>
      <c r="Q38" s="25"/>
      <c r="R38" s="25"/>
      <c r="S38" s="25"/>
      <c r="T38" s="3"/>
      <c r="U38" s="3"/>
      <c r="V38" s="29"/>
      <c r="W38" s="41">
        <f t="shared" si="1"/>
        <v>148</v>
      </c>
      <c r="X38" s="41"/>
      <c r="Y38" s="42"/>
      <c r="Z38" s="43"/>
      <c r="AA38" s="44"/>
      <c r="AC38" s="1">
        <f>+W38*60</f>
        <v>8880</v>
      </c>
    </row>
    <row r="39" spans="2:30" ht="18.75" customHeight="1" thickBot="1" x14ac:dyDescent="0.35">
      <c r="B39" s="11">
        <f>+B37</f>
        <v>8</v>
      </c>
      <c r="C39" s="53"/>
      <c r="D39" s="53"/>
      <c r="E39" s="53"/>
      <c r="F39" s="53"/>
      <c r="G39" s="67"/>
      <c r="H39" s="63"/>
      <c r="I39" s="63">
        <v>51</v>
      </c>
      <c r="J39" s="6" t="s">
        <v>19</v>
      </c>
      <c r="K39" s="26">
        <v>2</v>
      </c>
      <c r="L39" s="26">
        <v>2</v>
      </c>
      <c r="M39" s="26">
        <v>2</v>
      </c>
      <c r="N39" s="26"/>
      <c r="O39" s="26"/>
      <c r="P39" s="26"/>
      <c r="Q39" s="26"/>
      <c r="R39" s="26"/>
      <c r="S39" s="26"/>
      <c r="T39" s="6"/>
      <c r="U39" s="6"/>
      <c r="V39" s="30"/>
      <c r="W39" s="45">
        <f t="shared" si="1"/>
        <v>6</v>
      </c>
      <c r="X39" s="45"/>
      <c r="Y39" s="46"/>
      <c r="Z39" s="47">
        <f>+Z37/(I37*8)</f>
        <v>1.2879935720844813</v>
      </c>
      <c r="AA39" s="48"/>
      <c r="AC39" s="1">
        <f>+W39*30</f>
        <v>180</v>
      </c>
    </row>
    <row r="40" spans="2:30" ht="18.75" customHeight="1" thickTop="1" x14ac:dyDescent="0.3">
      <c r="B40" s="86">
        <f>+B41</f>
        <v>9</v>
      </c>
      <c r="C40" s="54"/>
      <c r="D40" s="54"/>
      <c r="E40" s="54"/>
      <c r="F40" s="54"/>
      <c r="G40" s="55" t="s">
        <v>20</v>
      </c>
      <c r="H40" s="56" t="s">
        <v>23</v>
      </c>
      <c r="I40" s="56" t="s">
        <v>23</v>
      </c>
      <c r="J40" s="5" t="s">
        <v>21</v>
      </c>
      <c r="K40" s="27"/>
      <c r="L40" s="27"/>
      <c r="M40" s="27"/>
      <c r="N40" s="27"/>
      <c r="O40" s="27"/>
      <c r="P40" s="27"/>
      <c r="Q40" s="27"/>
      <c r="R40" s="27">
        <v>7645</v>
      </c>
      <c r="S40" s="27"/>
      <c r="T40" s="5"/>
      <c r="U40" s="5"/>
      <c r="V40" s="31"/>
      <c r="W40" s="49">
        <f t="shared" si="1"/>
        <v>7645</v>
      </c>
      <c r="X40" s="49">
        <f>+Y40+W40</f>
        <v>24183</v>
      </c>
      <c r="Y40" s="42">
        <v>16538</v>
      </c>
      <c r="Z40" s="72"/>
      <c r="AA40" s="35"/>
    </row>
    <row r="41" spans="2:30" ht="18.75" customHeight="1" x14ac:dyDescent="0.3">
      <c r="B41" s="82">
        <v>9</v>
      </c>
      <c r="C41" s="52"/>
      <c r="D41" s="52" t="s">
        <v>42</v>
      </c>
      <c r="E41" s="52" t="s">
        <v>39</v>
      </c>
      <c r="F41" s="52" t="s">
        <v>39</v>
      </c>
      <c r="G41" s="57">
        <v>2.83</v>
      </c>
      <c r="H41" s="58">
        <v>1067</v>
      </c>
      <c r="I41" s="59">
        <v>1046</v>
      </c>
      <c r="J41" s="8" t="s">
        <v>17</v>
      </c>
      <c r="K41" s="24">
        <v>700</v>
      </c>
      <c r="L41" s="24">
        <v>1000</v>
      </c>
      <c r="M41" s="24">
        <v>1050</v>
      </c>
      <c r="N41" s="24">
        <v>1100</v>
      </c>
      <c r="O41" s="24">
        <v>1100</v>
      </c>
      <c r="P41" s="24">
        <v>1125</v>
      </c>
      <c r="Q41" s="24">
        <v>1100</v>
      </c>
      <c r="R41" s="24">
        <v>1100</v>
      </c>
      <c r="S41" s="24"/>
      <c r="T41" s="8"/>
      <c r="U41" s="8"/>
      <c r="V41" s="36">
        <f>+IF(COUNTA(K41:U41)=0,0,W41/COUNTA(K41:U41))</f>
        <v>1034.375</v>
      </c>
      <c r="W41" s="37">
        <f t="shared" si="1"/>
        <v>8275</v>
      </c>
      <c r="X41" s="37">
        <f>+W41+Y41</f>
        <v>21226</v>
      </c>
      <c r="Y41" s="38">
        <v>12951</v>
      </c>
      <c r="Z41" s="73">
        <f>+X40-X41</f>
        <v>2957</v>
      </c>
      <c r="AA41" s="40">
        <f>+IF(((W42+(W43/2))*60)=0,"",(G41*W41)/((W42+(W43/2))*60))</f>
        <v>0.99567389455782318</v>
      </c>
      <c r="AD41" s="1">
        <f>+W41*G41</f>
        <v>23418.25</v>
      </c>
    </row>
    <row r="42" spans="2:30" ht="18.75" customHeight="1" x14ac:dyDescent="0.3">
      <c r="B42" s="84">
        <f>+B41</f>
        <v>9</v>
      </c>
      <c r="C42" s="52"/>
      <c r="D42" s="52"/>
      <c r="E42" s="52"/>
      <c r="F42" s="52"/>
      <c r="G42" s="60"/>
      <c r="H42" s="61" t="s">
        <v>22</v>
      </c>
      <c r="I42" s="61" t="s">
        <v>22</v>
      </c>
      <c r="J42" s="3" t="s">
        <v>18</v>
      </c>
      <c r="K42" s="25">
        <v>41</v>
      </c>
      <c r="L42" s="25">
        <v>47</v>
      </c>
      <c r="M42" s="25">
        <v>47</v>
      </c>
      <c r="N42" s="25">
        <v>47</v>
      </c>
      <c r="O42" s="25">
        <v>47</v>
      </c>
      <c r="P42" s="25">
        <v>49</v>
      </c>
      <c r="Q42" s="25">
        <v>49</v>
      </c>
      <c r="R42" s="25">
        <v>49</v>
      </c>
      <c r="S42" s="25"/>
      <c r="T42" s="3"/>
      <c r="U42" s="3"/>
      <c r="V42" s="29"/>
      <c r="W42" s="41">
        <f t="shared" si="1"/>
        <v>376</v>
      </c>
      <c r="X42" s="41"/>
      <c r="Y42" s="42"/>
      <c r="Z42" s="74"/>
      <c r="AA42" s="44"/>
      <c r="AC42" s="1">
        <f>+W42*60</f>
        <v>22560</v>
      </c>
    </row>
    <row r="43" spans="2:30" ht="18.75" customHeight="1" thickBot="1" x14ac:dyDescent="0.35">
      <c r="B43" s="85">
        <f>+B41</f>
        <v>9</v>
      </c>
      <c r="C43" s="53"/>
      <c r="D43" s="53"/>
      <c r="E43" s="53"/>
      <c r="F43" s="53"/>
      <c r="G43" s="62"/>
      <c r="H43" s="63">
        <v>50</v>
      </c>
      <c r="I43" s="64">
        <v>49</v>
      </c>
      <c r="J43" s="6" t="s">
        <v>19</v>
      </c>
      <c r="K43" s="26">
        <v>4</v>
      </c>
      <c r="L43" s="26">
        <v>4</v>
      </c>
      <c r="M43" s="26">
        <v>4</v>
      </c>
      <c r="N43" s="26">
        <v>4</v>
      </c>
      <c r="O43" s="26">
        <v>4</v>
      </c>
      <c r="P43" s="26">
        <v>4</v>
      </c>
      <c r="Q43" s="26">
        <v>4</v>
      </c>
      <c r="R43" s="26">
        <v>4</v>
      </c>
      <c r="S43" s="26"/>
      <c r="T43" s="6"/>
      <c r="U43" s="6"/>
      <c r="V43" s="30"/>
      <c r="W43" s="45">
        <f t="shared" si="1"/>
        <v>32</v>
      </c>
      <c r="X43" s="45"/>
      <c r="Y43" s="46"/>
      <c r="Z43" s="47">
        <f>+Z41/(I41*8)</f>
        <v>0.35336998087954113</v>
      </c>
      <c r="AA43" s="48"/>
      <c r="AC43" s="1">
        <f>+W43*30</f>
        <v>960</v>
      </c>
    </row>
    <row r="44" spans="2:30" ht="18.75" customHeight="1" thickTop="1" x14ac:dyDescent="0.3">
      <c r="B44" s="9">
        <f>+B45</f>
        <v>11</v>
      </c>
      <c r="C44" s="54"/>
      <c r="D44" s="54"/>
      <c r="E44" s="54"/>
      <c r="F44" s="54"/>
      <c r="G44" s="55" t="s">
        <v>20</v>
      </c>
      <c r="H44" s="56" t="s">
        <v>23</v>
      </c>
      <c r="I44" s="56" t="s">
        <v>23</v>
      </c>
      <c r="J44" s="5" t="s">
        <v>21</v>
      </c>
      <c r="K44" s="27"/>
      <c r="L44" s="27">
        <v>100</v>
      </c>
      <c r="M44" s="27"/>
      <c r="N44" s="27"/>
      <c r="O44" s="27"/>
      <c r="P44" s="27"/>
      <c r="Q44" s="27"/>
      <c r="R44" s="27"/>
      <c r="S44" s="27"/>
      <c r="T44" s="5"/>
      <c r="U44" s="5"/>
      <c r="V44" s="31"/>
      <c r="W44" s="49">
        <f t="shared" si="1"/>
        <v>100</v>
      </c>
      <c r="X44" s="49">
        <f>+Y44+W44</f>
        <v>1500</v>
      </c>
      <c r="Y44" s="42">
        <v>1400</v>
      </c>
      <c r="Z44" s="34"/>
      <c r="AA44" s="35"/>
    </row>
    <row r="45" spans="2:30" ht="18.75" customHeight="1" x14ac:dyDescent="0.3">
      <c r="B45" s="18">
        <v>11</v>
      </c>
      <c r="C45" s="52" t="s">
        <v>68</v>
      </c>
      <c r="D45" s="52" t="s">
        <v>35</v>
      </c>
      <c r="E45" s="52" t="s">
        <v>69</v>
      </c>
      <c r="F45" s="52" t="s">
        <v>40</v>
      </c>
      <c r="G45" s="65">
        <v>29.78</v>
      </c>
      <c r="H45" s="58">
        <v>100</v>
      </c>
      <c r="I45" s="59">
        <v>60</v>
      </c>
      <c r="J45" s="8" t="s">
        <v>17</v>
      </c>
      <c r="K45" s="24">
        <v>0</v>
      </c>
      <c r="L45" s="24">
        <v>0</v>
      </c>
      <c r="M45" s="24">
        <v>0</v>
      </c>
      <c r="N45" s="24"/>
      <c r="O45" s="24"/>
      <c r="P45" s="24"/>
      <c r="Q45" s="24"/>
      <c r="R45" s="24"/>
      <c r="S45" s="24"/>
      <c r="T45" s="8"/>
      <c r="U45" s="8"/>
      <c r="V45" s="36">
        <f>+IF(COUNTA(K45:U45)=0,0,W45/COUNTA(K45:U45))</f>
        <v>0</v>
      </c>
      <c r="W45" s="37">
        <f t="shared" si="1"/>
        <v>0</v>
      </c>
      <c r="X45" s="37">
        <v>308</v>
      </c>
      <c r="Y45" s="38">
        <v>0</v>
      </c>
      <c r="Z45" s="39">
        <f>+X44-X45</f>
        <v>1192</v>
      </c>
      <c r="AA45" s="40">
        <f>+IF(((W46+(W47/2))*60)=0,"",(G45*W45)/((W46+(W47/2))*60))</f>
        <v>0</v>
      </c>
      <c r="AD45" s="1">
        <f>+W45*G45</f>
        <v>0</v>
      </c>
    </row>
    <row r="46" spans="2:30" ht="18.75" customHeight="1" x14ac:dyDescent="0.3">
      <c r="B46" s="10">
        <f>+B45</f>
        <v>11</v>
      </c>
      <c r="C46" s="52"/>
      <c r="D46" s="52"/>
      <c r="E46" s="52"/>
      <c r="F46" s="52"/>
      <c r="G46" s="66"/>
      <c r="H46" s="61" t="s">
        <v>22</v>
      </c>
      <c r="I46" s="61" t="s">
        <v>22</v>
      </c>
      <c r="J46" s="3" t="s">
        <v>18</v>
      </c>
      <c r="K46" s="25">
        <v>36</v>
      </c>
      <c r="L46" s="25">
        <v>42</v>
      </c>
      <c r="M46" s="25">
        <v>42</v>
      </c>
      <c r="N46" s="25"/>
      <c r="O46" s="25"/>
      <c r="P46" s="25"/>
      <c r="Q46" s="25"/>
      <c r="R46" s="25"/>
      <c r="S46" s="25"/>
      <c r="T46" s="3"/>
      <c r="U46" s="3"/>
      <c r="V46" s="29"/>
      <c r="W46" s="41">
        <f t="shared" si="1"/>
        <v>120</v>
      </c>
      <c r="X46" s="41"/>
      <c r="Y46" s="42"/>
      <c r="Z46" s="43"/>
      <c r="AA46" s="44"/>
      <c r="AC46" s="1">
        <f>+W46*60</f>
        <v>7200</v>
      </c>
    </row>
    <row r="47" spans="2:30" ht="18.75" customHeight="1" thickBot="1" x14ac:dyDescent="0.35">
      <c r="B47" s="11">
        <f>+B45</f>
        <v>11</v>
      </c>
      <c r="C47" s="53"/>
      <c r="D47" s="53"/>
      <c r="E47" s="53"/>
      <c r="F47" s="53"/>
      <c r="G47" s="67"/>
      <c r="H47" s="63">
        <v>52</v>
      </c>
      <c r="I47" s="64">
        <v>43.5</v>
      </c>
      <c r="J47" s="6" t="s">
        <v>19</v>
      </c>
      <c r="K47" s="26">
        <v>2</v>
      </c>
      <c r="L47" s="26">
        <v>3</v>
      </c>
      <c r="M47" s="26">
        <v>3</v>
      </c>
      <c r="N47" s="26"/>
      <c r="O47" s="26"/>
      <c r="P47" s="26"/>
      <c r="Q47" s="26"/>
      <c r="R47" s="26"/>
      <c r="S47" s="26"/>
      <c r="T47" s="6"/>
      <c r="U47" s="6"/>
      <c r="V47" s="30"/>
      <c r="W47" s="45">
        <f t="shared" si="1"/>
        <v>8</v>
      </c>
      <c r="X47" s="45"/>
      <c r="Y47" s="46"/>
      <c r="Z47" s="47">
        <f>+Z45/(I45*8)</f>
        <v>2.4833333333333334</v>
      </c>
      <c r="AA47" s="48"/>
      <c r="AC47" s="1">
        <f>+W47*30</f>
        <v>240</v>
      </c>
    </row>
    <row r="48" spans="2:30" ht="18.75" customHeight="1" thickTop="1" x14ac:dyDescent="0.3">
      <c r="B48" s="86">
        <f>+B49</f>
        <v>12</v>
      </c>
      <c r="C48" s="54"/>
      <c r="D48" s="54"/>
      <c r="E48" s="54"/>
      <c r="F48" s="54"/>
      <c r="G48" s="55" t="s">
        <v>20</v>
      </c>
      <c r="H48" s="56" t="s">
        <v>23</v>
      </c>
      <c r="I48" s="56" t="s">
        <v>23</v>
      </c>
      <c r="J48" s="5" t="s">
        <v>21</v>
      </c>
      <c r="K48" s="27"/>
      <c r="L48" s="27"/>
      <c r="M48" s="27"/>
      <c r="N48" s="27"/>
      <c r="O48" s="27"/>
      <c r="P48" s="27"/>
      <c r="Q48" s="27"/>
      <c r="R48" s="27">
        <v>600</v>
      </c>
      <c r="S48" s="27"/>
      <c r="T48" s="5"/>
      <c r="U48" s="5"/>
      <c r="V48" s="31"/>
      <c r="W48" s="49">
        <f t="shared" si="1"/>
        <v>600</v>
      </c>
      <c r="X48" s="49">
        <f>+Y48+W48</f>
        <v>4450</v>
      </c>
      <c r="Y48" s="42">
        <v>3850</v>
      </c>
      <c r="Z48" s="72"/>
      <c r="AA48" s="35"/>
    </row>
    <row r="49" spans="2:30" ht="18.75" customHeight="1" x14ac:dyDescent="0.3">
      <c r="B49" s="15">
        <v>12</v>
      </c>
      <c r="C49" s="52" t="s">
        <v>55</v>
      </c>
      <c r="D49" s="52" t="s">
        <v>35</v>
      </c>
      <c r="E49" s="52" t="s">
        <v>56</v>
      </c>
      <c r="F49" s="52" t="s">
        <v>46</v>
      </c>
      <c r="G49" s="57">
        <v>28</v>
      </c>
      <c r="H49" s="58">
        <v>90</v>
      </c>
      <c r="I49" s="59">
        <v>90</v>
      </c>
      <c r="J49" s="8" t="s">
        <v>17</v>
      </c>
      <c r="K49" s="24">
        <v>40</v>
      </c>
      <c r="L49" s="24">
        <v>60</v>
      </c>
      <c r="M49" s="24">
        <v>90</v>
      </c>
      <c r="N49" s="24">
        <v>90</v>
      </c>
      <c r="O49" s="24">
        <v>71</v>
      </c>
      <c r="P49" s="24">
        <v>60</v>
      </c>
      <c r="Q49" s="24">
        <v>120</v>
      </c>
      <c r="R49" s="24">
        <v>190</v>
      </c>
      <c r="S49" s="24"/>
      <c r="T49" s="8"/>
      <c r="U49" s="8"/>
      <c r="V49" s="36">
        <f>+IF(COUNTA(K49:U49)=0,0,W49/COUNTA(K49:U49))</f>
        <v>90.125</v>
      </c>
      <c r="W49" s="37">
        <f t="shared" si="1"/>
        <v>721</v>
      </c>
      <c r="X49" s="37">
        <f>+W49+Y49</f>
        <v>3607</v>
      </c>
      <c r="Y49" s="38">
        <v>2886</v>
      </c>
      <c r="Z49" s="73">
        <f>+X48-X49</f>
        <v>843</v>
      </c>
      <c r="AA49" s="40">
        <f>+IF(((W50+(W51/2))*60)=0,"",(G49*W49)/((W50+(W51/2))*60))</f>
        <v>0.9752657004830918</v>
      </c>
      <c r="AD49" s="1">
        <f>+W49*G49</f>
        <v>20188</v>
      </c>
    </row>
    <row r="50" spans="2:30" ht="18.75" customHeight="1" x14ac:dyDescent="0.3">
      <c r="B50" s="84">
        <f>+B49</f>
        <v>12</v>
      </c>
      <c r="C50" s="52"/>
      <c r="D50" s="52"/>
      <c r="E50" s="52"/>
      <c r="F50" s="52"/>
      <c r="G50" s="60"/>
      <c r="H50" s="61" t="s">
        <v>22</v>
      </c>
      <c r="I50" s="61" t="s">
        <v>22</v>
      </c>
      <c r="J50" s="3" t="s">
        <v>18</v>
      </c>
      <c r="K50" s="25">
        <v>43</v>
      </c>
      <c r="L50" s="25">
        <v>42</v>
      </c>
      <c r="M50" s="25">
        <v>42</v>
      </c>
      <c r="N50" s="25">
        <v>42</v>
      </c>
      <c r="O50" s="25">
        <v>42</v>
      </c>
      <c r="P50" s="25">
        <v>42</v>
      </c>
      <c r="Q50" s="25">
        <v>42</v>
      </c>
      <c r="R50" s="25">
        <v>42</v>
      </c>
      <c r="S50" s="25"/>
      <c r="T50" s="3"/>
      <c r="U50" s="3"/>
      <c r="V50" s="29"/>
      <c r="W50" s="41">
        <f t="shared" si="1"/>
        <v>337</v>
      </c>
      <c r="X50" s="41"/>
      <c r="Y50" s="42"/>
      <c r="Z50" s="74"/>
      <c r="AA50" s="44"/>
      <c r="AC50" s="1">
        <f>+W50*60</f>
        <v>20220</v>
      </c>
    </row>
    <row r="51" spans="2:30" ht="18.75" customHeight="1" thickBot="1" x14ac:dyDescent="0.35">
      <c r="B51" s="85">
        <f>+B49</f>
        <v>12</v>
      </c>
      <c r="C51" s="53"/>
      <c r="D51" s="53"/>
      <c r="E51" s="53"/>
      <c r="F51" s="53"/>
      <c r="G51" s="62"/>
      <c r="H51" s="63">
        <v>44</v>
      </c>
      <c r="I51" s="64">
        <v>44</v>
      </c>
      <c r="J51" s="6" t="s">
        <v>19</v>
      </c>
      <c r="K51" s="26">
        <v>2</v>
      </c>
      <c r="L51" s="26">
        <v>2</v>
      </c>
      <c r="M51" s="26">
        <v>2</v>
      </c>
      <c r="N51" s="26">
        <v>2</v>
      </c>
      <c r="O51" s="26">
        <v>2</v>
      </c>
      <c r="P51" s="26">
        <v>2</v>
      </c>
      <c r="Q51" s="26">
        <v>2</v>
      </c>
      <c r="R51" s="26">
        <v>2</v>
      </c>
      <c r="S51" s="26"/>
      <c r="T51" s="6"/>
      <c r="U51" s="6"/>
      <c r="V51" s="30"/>
      <c r="W51" s="45">
        <f t="shared" si="1"/>
        <v>16</v>
      </c>
      <c r="X51" s="45"/>
      <c r="Y51" s="46"/>
      <c r="Z51" s="47">
        <f>+Z49/(I49*8)</f>
        <v>1.1708333333333334</v>
      </c>
      <c r="AA51" s="48"/>
      <c r="AC51" s="1">
        <f>+W51*30</f>
        <v>480</v>
      </c>
    </row>
    <row r="52" spans="2:30" ht="18.75" customHeight="1" thickTop="1" x14ac:dyDescent="0.3">
      <c r="B52" s="9">
        <f>+B53</f>
        <v>13</v>
      </c>
      <c r="C52" s="54"/>
      <c r="D52" s="54"/>
      <c r="E52" s="54"/>
      <c r="F52" s="54"/>
      <c r="G52" s="55" t="s">
        <v>20</v>
      </c>
      <c r="H52" s="56" t="s">
        <v>23</v>
      </c>
      <c r="I52" s="56" t="s">
        <v>23</v>
      </c>
      <c r="J52" s="5" t="s">
        <v>21</v>
      </c>
      <c r="K52" s="27">
        <v>66</v>
      </c>
      <c r="L52" s="27">
        <v>72</v>
      </c>
      <c r="M52" s="27">
        <v>109</v>
      </c>
      <c r="N52" s="27">
        <v>103</v>
      </c>
      <c r="O52" s="27"/>
      <c r="P52" s="27"/>
      <c r="Q52" s="27"/>
      <c r="R52" s="27"/>
      <c r="S52" s="27"/>
      <c r="T52" s="5"/>
      <c r="U52" s="5"/>
      <c r="V52" s="31"/>
      <c r="W52" s="49">
        <f t="shared" si="1"/>
        <v>350</v>
      </c>
      <c r="X52" s="49">
        <f>+Y52+W52</f>
        <v>6222</v>
      </c>
      <c r="Y52" s="42">
        <v>5872</v>
      </c>
      <c r="Z52" s="34"/>
      <c r="AA52" s="35"/>
    </row>
    <row r="53" spans="2:30" ht="18.75" customHeight="1" x14ac:dyDescent="0.3">
      <c r="B53" s="18">
        <v>13</v>
      </c>
      <c r="C53" s="52" t="s">
        <v>58</v>
      </c>
      <c r="D53" s="52" t="s">
        <v>35</v>
      </c>
      <c r="E53" s="52" t="s">
        <v>66</v>
      </c>
      <c r="F53" s="52" t="s">
        <v>45</v>
      </c>
      <c r="G53" s="65">
        <v>35.19</v>
      </c>
      <c r="H53" s="58">
        <v>84</v>
      </c>
      <c r="I53" s="59">
        <v>73</v>
      </c>
      <c r="J53" s="8" t="s">
        <v>17</v>
      </c>
      <c r="K53" s="24">
        <v>73</v>
      </c>
      <c r="L53" s="24">
        <v>73</v>
      </c>
      <c r="M53" s="24">
        <v>73</v>
      </c>
      <c r="N53" s="24"/>
      <c r="O53" s="24"/>
      <c r="P53" s="24"/>
      <c r="Q53" s="24"/>
      <c r="R53" s="24"/>
      <c r="S53" s="24"/>
      <c r="T53" s="8"/>
      <c r="U53" s="8"/>
      <c r="V53" s="36">
        <f>+IF(COUNTA(K53:U53)=0,0,W53/COUNTA(K53:U53))</f>
        <v>73</v>
      </c>
      <c r="W53" s="37">
        <f t="shared" si="1"/>
        <v>219</v>
      </c>
      <c r="X53" s="37">
        <f>+W53+Y53</f>
        <v>4976</v>
      </c>
      <c r="Y53" s="38">
        <v>4757</v>
      </c>
      <c r="Z53" s="39">
        <f>+X52-X53</f>
        <v>1246</v>
      </c>
      <c r="AA53" s="40">
        <f>+IF(((W54+(W55/2))*60)=0,"",(G53*W53)/((W54+(W55/2))*60))</f>
        <v>0.92074193548387095</v>
      </c>
      <c r="AD53" s="1">
        <f>+W53*G53</f>
        <v>7706.61</v>
      </c>
    </row>
    <row r="54" spans="2:30" ht="18.75" customHeight="1" x14ac:dyDescent="0.3">
      <c r="B54" s="10">
        <f>+B53</f>
        <v>13</v>
      </c>
      <c r="C54" s="52"/>
      <c r="D54" s="52"/>
      <c r="E54" s="52"/>
      <c r="F54" s="52"/>
      <c r="G54" s="66"/>
      <c r="H54" s="61" t="s">
        <v>22</v>
      </c>
      <c r="I54" s="61" t="s">
        <v>22</v>
      </c>
      <c r="J54" s="3" t="s">
        <v>18</v>
      </c>
      <c r="K54" s="25">
        <v>41</v>
      </c>
      <c r="L54" s="25">
        <v>44</v>
      </c>
      <c r="M54" s="25">
        <v>44</v>
      </c>
      <c r="N54" s="25"/>
      <c r="O54" s="25"/>
      <c r="P54" s="25"/>
      <c r="Q54" s="25"/>
      <c r="R54" s="25"/>
      <c r="S54" s="25"/>
      <c r="T54" s="3"/>
      <c r="U54" s="3"/>
      <c r="V54" s="29"/>
      <c r="W54" s="41">
        <f t="shared" si="1"/>
        <v>129</v>
      </c>
      <c r="X54" s="41"/>
      <c r="Y54" s="42"/>
      <c r="Z54" s="43"/>
      <c r="AA54" s="44"/>
      <c r="AC54" s="1">
        <f>+W54*60</f>
        <v>7740</v>
      </c>
    </row>
    <row r="55" spans="2:30" ht="18.75" customHeight="1" thickBot="1" x14ac:dyDescent="0.35">
      <c r="B55" s="11">
        <f>+B53</f>
        <v>13</v>
      </c>
      <c r="C55" s="53"/>
      <c r="D55" s="53"/>
      <c r="E55" s="53"/>
      <c r="F55" s="53"/>
      <c r="G55" s="67"/>
      <c r="H55" s="63">
        <v>52</v>
      </c>
      <c r="I55" s="64">
        <v>47.5</v>
      </c>
      <c r="J55" s="6" t="s">
        <v>19</v>
      </c>
      <c r="K55" s="26">
        <v>7</v>
      </c>
      <c r="L55" s="26">
        <v>7</v>
      </c>
      <c r="M55" s="26">
        <v>7</v>
      </c>
      <c r="N55" s="26"/>
      <c r="O55" s="26"/>
      <c r="P55" s="26"/>
      <c r="Q55" s="26"/>
      <c r="R55" s="26"/>
      <c r="S55" s="26"/>
      <c r="T55" s="6"/>
      <c r="U55" s="6"/>
      <c r="V55" s="30"/>
      <c r="W55" s="45">
        <f t="shared" si="1"/>
        <v>21</v>
      </c>
      <c r="X55" s="45"/>
      <c r="Y55" s="46"/>
      <c r="Z55" s="47">
        <f>+Z53/(I53*8)</f>
        <v>2.1335616438356166</v>
      </c>
      <c r="AA55" s="48"/>
      <c r="AC55" s="1">
        <f>+W55*30</f>
        <v>630</v>
      </c>
    </row>
    <row r="56" spans="2:30" ht="18.75" customHeight="1" thickTop="1" x14ac:dyDescent="0.3">
      <c r="B56" s="86">
        <f>+B57</f>
        <v>14</v>
      </c>
      <c r="C56" s="54"/>
      <c r="D56" s="54"/>
      <c r="E56" s="54"/>
      <c r="F56" s="54"/>
      <c r="G56" s="55" t="s">
        <v>20</v>
      </c>
      <c r="H56" s="56" t="s">
        <v>23</v>
      </c>
      <c r="I56" s="56" t="s">
        <v>23</v>
      </c>
      <c r="J56" s="5" t="s">
        <v>21</v>
      </c>
      <c r="K56" s="27"/>
      <c r="L56" s="27"/>
      <c r="M56" s="27"/>
      <c r="N56" s="27"/>
      <c r="O56" s="27"/>
      <c r="P56" s="27"/>
      <c r="Q56" s="27"/>
      <c r="R56" s="27">
        <v>300</v>
      </c>
      <c r="S56" s="27"/>
      <c r="T56" s="5"/>
      <c r="U56" s="5"/>
      <c r="V56" s="31"/>
      <c r="W56" s="49">
        <f t="shared" si="1"/>
        <v>300</v>
      </c>
      <c r="X56" s="49">
        <f>+Y56+W56</f>
        <v>3000</v>
      </c>
      <c r="Y56" s="42">
        <v>2700</v>
      </c>
      <c r="Z56" s="72"/>
      <c r="AA56" s="35"/>
    </row>
    <row r="57" spans="2:30" ht="18.75" customHeight="1" x14ac:dyDescent="0.3">
      <c r="B57" s="15">
        <v>14</v>
      </c>
      <c r="C57" s="52" t="s">
        <v>34</v>
      </c>
      <c r="D57" s="52" t="s">
        <v>35</v>
      </c>
      <c r="E57" s="52" t="s">
        <v>36</v>
      </c>
      <c r="F57" s="52" t="s">
        <v>37</v>
      </c>
      <c r="G57" s="57">
        <v>40.049999999999997</v>
      </c>
      <c r="H57" s="58">
        <v>57</v>
      </c>
      <c r="I57" s="59">
        <v>63</v>
      </c>
      <c r="J57" s="8" t="s">
        <v>17</v>
      </c>
      <c r="K57" s="24">
        <v>45</v>
      </c>
      <c r="L57" s="24">
        <v>40</v>
      </c>
      <c r="M57" s="24">
        <v>50</v>
      </c>
      <c r="N57" s="24">
        <v>50</v>
      </c>
      <c r="O57" s="24">
        <v>50</v>
      </c>
      <c r="P57" s="24">
        <v>55</v>
      </c>
      <c r="Q57" s="24">
        <v>55</v>
      </c>
      <c r="R57" s="24">
        <v>55</v>
      </c>
      <c r="S57" s="24"/>
      <c r="T57" s="8"/>
      <c r="U57" s="8"/>
      <c r="V57" s="36">
        <f>+IF(COUNTA(K57:U57)=0,0,W57/COUNTA(K57:U57))</f>
        <v>50</v>
      </c>
      <c r="W57" s="37">
        <f t="shared" si="1"/>
        <v>400</v>
      </c>
      <c r="X57" s="37">
        <f>+W57+Y57</f>
        <v>1689</v>
      </c>
      <c r="Y57" s="38">
        <v>1289</v>
      </c>
      <c r="Z57" s="73">
        <f>+X56-X57</f>
        <v>1311</v>
      </c>
      <c r="AA57" s="40">
        <f>+IF(((W58+(W59/2))*60)=0,"",(G57*W57)/((W58+(W59/2))*60))</f>
        <v>0.74373259052924778</v>
      </c>
      <c r="AD57" s="1">
        <f>+W57*G57</f>
        <v>16019.999999999998</v>
      </c>
    </row>
    <row r="58" spans="2:30" ht="18.75" customHeight="1" x14ac:dyDescent="0.3">
      <c r="B58" s="84">
        <f>+B57</f>
        <v>14</v>
      </c>
      <c r="C58" s="52"/>
      <c r="D58" s="52"/>
      <c r="E58" s="52"/>
      <c r="F58" s="52"/>
      <c r="G58" s="60"/>
      <c r="H58" s="61" t="s">
        <v>22</v>
      </c>
      <c r="I58" s="61" t="s">
        <v>22</v>
      </c>
      <c r="J58" s="3" t="s">
        <v>18</v>
      </c>
      <c r="K58" s="25">
        <v>41</v>
      </c>
      <c r="L58" s="25">
        <v>42</v>
      </c>
      <c r="M58" s="25">
        <v>42</v>
      </c>
      <c r="N58" s="25">
        <v>42</v>
      </c>
      <c r="O58" s="25">
        <v>42</v>
      </c>
      <c r="P58" s="25">
        <v>42</v>
      </c>
      <c r="Q58" s="25">
        <v>42</v>
      </c>
      <c r="R58" s="25">
        <v>42</v>
      </c>
      <c r="S58" s="25"/>
      <c r="T58" s="3"/>
      <c r="U58" s="3"/>
      <c r="V58" s="29"/>
      <c r="W58" s="41">
        <f t="shared" si="1"/>
        <v>335</v>
      </c>
      <c r="X58" s="41"/>
      <c r="Y58" s="42"/>
      <c r="Z58" s="74"/>
      <c r="AA58" s="44"/>
      <c r="AC58" s="1">
        <f>+W58*60</f>
        <v>20100</v>
      </c>
    </row>
    <row r="59" spans="2:30" ht="18.75" customHeight="1" thickBot="1" x14ac:dyDescent="0.35">
      <c r="B59" s="85">
        <f>+B57</f>
        <v>14</v>
      </c>
      <c r="C59" s="53"/>
      <c r="D59" s="53"/>
      <c r="E59" s="53"/>
      <c r="F59" s="53"/>
      <c r="G59" s="62"/>
      <c r="H59" s="63">
        <v>42</v>
      </c>
      <c r="I59" s="64">
        <v>46.5</v>
      </c>
      <c r="J59" s="6" t="s">
        <v>19</v>
      </c>
      <c r="K59" s="26">
        <v>6</v>
      </c>
      <c r="L59" s="26">
        <v>6</v>
      </c>
      <c r="M59" s="26">
        <v>6</v>
      </c>
      <c r="N59" s="26">
        <v>6</v>
      </c>
      <c r="O59" s="26">
        <v>6</v>
      </c>
      <c r="P59" s="26">
        <v>6</v>
      </c>
      <c r="Q59" s="26">
        <v>6</v>
      </c>
      <c r="R59" s="26">
        <v>6</v>
      </c>
      <c r="S59" s="26"/>
      <c r="T59" s="6"/>
      <c r="U59" s="6"/>
      <c r="V59" s="30"/>
      <c r="W59" s="45">
        <f t="shared" si="1"/>
        <v>48</v>
      </c>
      <c r="X59" s="45"/>
      <c r="Y59" s="46"/>
      <c r="Z59" s="47">
        <f>+Z57/(I57*8)</f>
        <v>2.6011904761904763</v>
      </c>
      <c r="AA59" s="48"/>
      <c r="AC59" s="1">
        <f>+W59*30</f>
        <v>1440</v>
      </c>
    </row>
    <row r="60" spans="2:30" ht="18.75" customHeight="1" thickTop="1" x14ac:dyDescent="0.3">
      <c r="B60" s="9">
        <f>+B61</f>
        <v>15</v>
      </c>
      <c r="C60" s="54"/>
      <c r="D60" s="54"/>
      <c r="E60" s="54"/>
      <c r="F60" s="54"/>
      <c r="G60" s="55" t="s">
        <v>20</v>
      </c>
      <c r="H60" s="56" t="s">
        <v>23</v>
      </c>
      <c r="I60" s="56" t="s">
        <v>23</v>
      </c>
      <c r="J60" s="5" t="s">
        <v>21</v>
      </c>
      <c r="K60" s="27"/>
      <c r="L60" s="27">
        <v>100</v>
      </c>
      <c r="M60" s="27"/>
      <c r="N60" s="27"/>
      <c r="O60" s="27"/>
      <c r="P60" s="27"/>
      <c r="Q60" s="27"/>
      <c r="R60" s="27"/>
      <c r="S60" s="27"/>
      <c r="T60" s="5"/>
      <c r="U60" s="5"/>
      <c r="V60" s="31"/>
      <c r="W60" s="49">
        <f t="shared" si="1"/>
        <v>100</v>
      </c>
      <c r="X60" s="49">
        <f>+Y60+W60</f>
        <v>4200</v>
      </c>
      <c r="Y60" s="42">
        <v>4100</v>
      </c>
      <c r="Z60" s="34"/>
      <c r="AA60" s="35"/>
    </row>
    <row r="61" spans="2:30" ht="18.75" customHeight="1" x14ac:dyDescent="0.3">
      <c r="B61" s="18">
        <v>15</v>
      </c>
      <c r="C61" s="52" t="s">
        <v>63</v>
      </c>
      <c r="D61" s="52" t="s">
        <v>35</v>
      </c>
      <c r="E61" s="52" t="s">
        <v>67</v>
      </c>
      <c r="F61" s="52" t="s">
        <v>45</v>
      </c>
      <c r="G61" s="65">
        <v>43.07</v>
      </c>
      <c r="H61" s="58">
        <v>69</v>
      </c>
      <c r="I61" s="59">
        <v>61</v>
      </c>
      <c r="J61" s="8" t="s">
        <v>17</v>
      </c>
      <c r="K61" s="24">
        <v>33</v>
      </c>
      <c r="L61" s="24">
        <v>50</v>
      </c>
      <c r="M61" s="24">
        <v>32</v>
      </c>
      <c r="N61" s="24"/>
      <c r="O61" s="24"/>
      <c r="P61" s="24"/>
      <c r="Q61" s="24"/>
      <c r="R61" s="24"/>
      <c r="S61" s="24"/>
      <c r="T61" s="8"/>
      <c r="U61" s="8"/>
      <c r="V61" s="36">
        <f>+IF(COUNTA(K61:U61)=0,0,W61/COUNTA(K61:U61))</f>
        <v>38.333333333333336</v>
      </c>
      <c r="W61" s="37">
        <f t="shared" si="1"/>
        <v>115</v>
      </c>
      <c r="X61" s="37">
        <f>+W61+Y61</f>
        <v>3124</v>
      </c>
      <c r="Y61" s="38">
        <v>3009</v>
      </c>
      <c r="Z61" s="39">
        <f>+X60-X61</f>
        <v>1076</v>
      </c>
      <c r="AA61" s="40">
        <f>+IF(((W62+(W63/2))*60)=0,"",(G61*W61)/((W62+(W63/2))*60))</f>
        <v>0.57727855477855483</v>
      </c>
      <c r="AD61" s="1">
        <f>+W61*G61</f>
        <v>4953.05</v>
      </c>
    </row>
    <row r="62" spans="2:30" ht="18.75" customHeight="1" x14ac:dyDescent="0.3">
      <c r="B62" s="10">
        <f>+B61</f>
        <v>15</v>
      </c>
      <c r="C62" s="52"/>
      <c r="D62" s="52"/>
      <c r="E62" s="52"/>
      <c r="F62" s="52"/>
      <c r="G62" s="70"/>
      <c r="H62" s="61" t="s">
        <v>22</v>
      </c>
      <c r="I62" s="61" t="s">
        <v>22</v>
      </c>
      <c r="J62" s="3" t="s">
        <v>18</v>
      </c>
      <c r="K62" s="25">
        <v>44</v>
      </c>
      <c r="L62" s="25">
        <v>48</v>
      </c>
      <c r="M62" s="25">
        <v>48</v>
      </c>
      <c r="N62" s="25"/>
      <c r="O62" s="25"/>
      <c r="P62" s="25"/>
      <c r="Q62" s="25"/>
      <c r="R62" s="25"/>
      <c r="S62" s="25"/>
      <c r="T62" s="3"/>
      <c r="U62" s="3"/>
      <c r="V62" s="29"/>
      <c r="W62" s="41">
        <f t="shared" si="1"/>
        <v>140</v>
      </c>
      <c r="X62" s="41"/>
      <c r="Y62" s="42"/>
      <c r="Z62" s="43"/>
      <c r="AA62" s="44"/>
      <c r="AC62" s="1">
        <f>+W62*60</f>
        <v>8400</v>
      </c>
    </row>
    <row r="63" spans="2:30" ht="18.75" customHeight="1" thickBot="1" x14ac:dyDescent="0.35">
      <c r="B63" s="11">
        <f>+B61</f>
        <v>15</v>
      </c>
      <c r="C63" s="53"/>
      <c r="D63" s="53"/>
      <c r="E63" s="53"/>
      <c r="F63" s="53"/>
      <c r="G63" s="71"/>
      <c r="H63" s="63">
        <v>52</v>
      </c>
      <c r="I63" s="63">
        <v>49</v>
      </c>
      <c r="J63" s="6" t="s">
        <v>19</v>
      </c>
      <c r="K63" s="26">
        <v>2</v>
      </c>
      <c r="L63" s="26">
        <v>2</v>
      </c>
      <c r="M63" s="26">
        <v>2</v>
      </c>
      <c r="N63" s="26"/>
      <c r="O63" s="26"/>
      <c r="P63" s="26"/>
      <c r="Q63" s="26"/>
      <c r="R63" s="26"/>
      <c r="S63" s="26"/>
      <c r="T63" s="6"/>
      <c r="U63" s="6"/>
      <c r="V63" s="30"/>
      <c r="W63" s="45">
        <f t="shared" si="1"/>
        <v>6</v>
      </c>
      <c r="X63" s="45"/>
      <c r="Y63" s="46"/>
      <c r="Z63" s="47">
        <f>+Z61/(I61*8)</f>
        <v>2.2049180327868854</v>
      </c>
      <c r="AA63" s="48"/>
      <c r="AC63" s="1">
        <f>+W63*30</f>
        <v>180</v>
      </c>
    </row>
    <row r="64" spans="2:30" ht="18.75" customHeight="1" thickTop="1" x14ac:dyDescent="0.3">
      <c r="B64" s="86">
        <f>+B65</f>
        <v>16</v>
      </c>
      <c r="C64" s="54"/>
      <c r="D64" s="54"/>
      <c r="E64" s="54"/>
      <c r="F64" s="54"/>
      <c r="G64" s="55" t="s">
        <v>20</v>
      </c>
      <c r="H64" s="56" t="s">
        <v>23</v>
      </c>
      <c r="I64" s="56" t="s">
        <v>23</v>
      </c>
      <c r="J64" s="5" t="s">
        <v>21</v>
      </c>
      <c r="K64" s="27"/>
      <c r="L64" s="27"/>
      <c r="M64" s="27"/>
      <c r="N64" s="27"/>
      <c r="O64" s="27"/>
      <c r="P64" s="27"/>
      <c r="Q64" s="27"/>
      <c r="R64" s="27">
        <v>286</v>
      </c>
      <c r="S64" s="27"/>
      <c r="T64" s="5"/>
      <c r="U64" s="5"/>
      <c r="V64" s="31"/>
      <c r="W64" s="49">
        <f t="shared" si="1"/>
        <v>286</v>
      </c>
      <c r="X64" s="49">
        <f>+Y64+W64</f>
        <v>5336</v>
      </c>
      <c r="Y64" s="42">
        <v>5050</v>
      </c>
      <c r="Z64" s="72"/>
      <c r="AA64" s="35"/>
    </row>
    <row r="65" spans="2:30" ht="18.75" customHeight="1" x14ac:dyDescent="0.3">
      <c r="B65" s="15">
        <v>16</v>
      </c>
      <c r="C65" s="52" t="s">
        <v>61</v>
      </c>
      <c r="D65" s="52" t="s">
        <v>31</v>
      </c>
      <c r="E65" s="52" t="s">
        <v>32</v>
      </c>
      <c r="F65" s="52" t="s">
        <v>33</v>
      </c>
      <c r="G65" s="57">
        <v>43.38</v>
      </c>
      <c r="H65" s="58">
        <f>+H67*60*0.9/G65</f>
        <v>49.792531120331944</v>
      </c>
      <c r="I65" s="59">
        <v>54</v>
      </c>
      <c r="J65" s="8" t="s">
        <v>17</v>
      </c>
      <c r="K65" s="24">
        <v>40</v>
      </c>
      <c r="L65" s="24">
        <v>40</v>
      </c>
      <c r="M65" s="24">
        <v>68</v>
      </c>
      <c r="N65" s="24">
        <v>68</v>
      </c>
      <c r="O65" s="24">
        <v>54</v>
      </c>
      <c r="P65" s="24">
        <v>54</v>
      </c>
      <c r="Q65" s="24">
        <v>54</v>
      </c>
      <c r="R65" s="24">
        <v>54</v>
      </c>
      <c r="S65" s="24"/>
      <c r="T65" s="8"/>
      <c r="U65" s="8"/>
      <c r="V65" s="36">
        <f>+IF(COUNTA(K65:U65)=0,0,W65/COUNTA(K65:U65))</f>
        <v>54</v>
      </c>
      <c r="W65" s="37">
        <f t="shared" si="1"/>
        <v>432</v>
      </c>
      <c r="X65" s="37">
        <f>+W65+Y65</f>
        <v>4484</v>
      </c>
      <c r="Y65" s="38">
        <v>4052</v>
      </c>
      <c r="Z65" s="73">
        <f>+X64-X65</f>
        <v>852</v>
      </c>
      <c r="AA65" s="40">
        <f>+IF(((W66+(W67/2))*60)=0,"",(G65*W65)/((W66+(W67/2))*60))</f>
        <v>0.90270520231213869</v>
      </c>
      <c r="AD65" s="1">
        <f>+W65*G65</f>
        <v>18740.16</v>
      </c>
    </row>
    <row r="66" spans="2:30" ht="18.75" customHeight="1" x14ac:dyDescent="0.3">
      <c r="B66" s="84">
        <f>+B65</f>
        <v>16</v>
      </c>
      <c r="C66" s="52"/>
      <c r="D66" s="52"/>
      <c r="E66" s="52"/>
      <c r="F66" s="52"/>
      <c r="G66" s="60"/>
      <c r="H66" s="61" t="s">
        <v>22</v>
      </c>
      <c r="I66" s="61" t="s">
        <v>22</v>
      </c>
      <c r="J66" s="3" t="s">
        <v>18</v>
      </c>
      <c r="K66" s="25">
        <v>40</v>
      </c>
      <c r="L66" s="25">
        <v>42</v>
      </c>
      <c r="M66" s="25">
        <v>42</v>
      </c>
      <c r="N66" s="25">
        <v>42</v>
      </c>
      <c r="O66" s="25">
        <v>42</v>
      </c>
      <c r="P66" s="25">
        <v>42</v>
      </c>
      <c r="Q66" s="25">
        <v>42</v>
      </c>
      <c r="R66" s="25">
        <v>42</v>
      </c>
      <c r="S66" s="25"/>
      <c r="T66" s="3"/>
      <c r="U66" s="3"/>
      <c r="V66" s="29"/>
      <c r="W66" s="41">
        <f t="shared" si="1"/>
        <v>334</v>
      </c>
      <c r="X66" s="41"/>
      <c r="Y66" s="42"/>
      <c r="Z66" s="74"/>
      <c r="AA66" s="44"/>
      <c r="AC66" s="1">
        <f>+W66*60</f>
        <v>20040</v>
      </c>
    </row>
    <row r="67" spans="2:30" ht="18.75" customHeight="1" thickBot="1" x14ac:dyDescent="0.35">
      <c r="B67" s="85">
        <f>+B65</f>
        <v>16</v>
      </c>
      <c r="C67" s="53"/>
      <c r="D67" s="53"/>
      <c r="E67" s="53"/>
      <c r="F67" s="53"/>
      <c r="G67" s="62"/>
      <c r="H67" s="63">
        <v>40</v>
      </c>
      <c r="I67" s="64">
        <v>43.5</v>
      </c>
      <c r="J67" s="6" t="s">
        <v>19</v>
      </c>
      <c r="K67" s="26">
        <v>3</v>
      </c>
      <c r="L67" s="26">
        <v>3</v>
      </c>
      <c r="M67" s="26">
        <v>3</v>
      </c>
      <c r="N67" s="26">
        <v>3</v>
      </c>
      <c r="O67" s="26">
        <v>3</v>
      </c>
      <c r="P67" s="26">
        <v>3</v>
      </c>
      <c r="Q67" s="26">
        <v>3</v>
      </c>
      <c r="R67" s="26">
        <v>3</v>
      </c>
      <c r="S67" s="26"/>
      <c r="T67" s="6"/>
      <c r="U67" s="6"/>
      <c r="V67" s="30"/>
      <c r="W67" s="45">
        <f t="shared" si="1"/>
        <v>24</v>
      </c>
      <c r="X67" s="45"/>
      <c r="Y67" s="46"/>
      <c r="Z67" s="47">
        <f>+Z65/(I65*8)</f>
        <v>1.9722222222222223</v>
      </c>
      <c r="AA67" s="48"/>
      <c r="AC67" s="1">
        <f>+W67*30</f>
        <v>720</v>
      </c>
    </row>
    <row r="68" spans="2:30" ht="18.75" customHeight="1" thickTop="1" x14ac:dyDescent="0.3">
      <c r="B68" s="9">
        <f>+B69</f>
        <v>17</v>
      </c>
      <c r="C68" s="54"/>
      <c r="D68" s="54"/>
      <c r="E68" s="54"/>
      <c r="F68" s="54"/>
      <c r="G68" s="55" t="s">
        <v>20</v>
      </c>
      <c r="H68" s="56" t="s">
        <v>23</v>
      </c>
      <c r="I68" s="56" t="s">
        <v>23</v>
      </c>
      <c r="J68" s="5" t="s">
        <v>21</v>
      </c>
      <c r="K68" s="27">
        <v>1450</v>
      </c>
      <c r="L68" s="27">
        <v>1450</v>
      </c>
      <c r="M68" s="27">
        <v>1450</v>
      </c>
      <c r="N68" s="27"/>
      <c r="O68" s="27"/>
      <c r="P68" s="27"/>
      <c r="Q68" s="27"/>
      <c r="R68" s="27"/>
      <c r="S68" s="27"/>
      <c r="T68" s="5"/>
      <c r="U68" s="5"/>
      <c r="V68" s="31"/>
      <c r="W68" s="49">
        <f t="shared" ref="W68:W79" si="2">+SUM(K68:U68)</f>
        <v>4350</v>
      </c>
      <c r="X68" s="49">
        <f>+Y68+W68</f>
        <v>34811</v>
      </c>
      <c r="Y68" s="42">
        <v>30461</v>
      </c>
      <c r="Z68" s="34"/>
      <c r="AA68" s="35"/>
    </row>
    <row r="69" spans="2:30" ht="18.75" customHeight="1" x14ac:dyDescent="0.3">
      <c r="B69" s="18">
        <v>17</v>
      </c>
      <c r="C69" s="52"/>
      <c r="D69" s="52" t="s">
        <v>42</v>
      </c>
      <c r="E69" s="52" t="s">
        <v>39</v>
      </c>
      <c r="F69" s="52" t="s">
        <v>39</v>
      </c>
      <c r="G69" s="65">
        <v>2.5299999999999998</v>
      </c>
      <c r="H69" s="58"/>
      <c r="I69" s="59">
        <v>1067</v>
      </c>
      <c r="J69" s="8" t="s">
        <v>17</v>
      </c>
      <c r="K69" s="24">
        <v>850</v>
      </c>
      <c r="L69" s="24">
        <v>1100</v>
      </c>
      <c r="M69" s="24">
        <v>1000</v>
      </c>
      <c r="N69" s="24"/>
      <c r="O69" s="24"/>
      <c r="P69" s="24"/>
      <c r="Q69" s="24"/>
      <c r="R69" s="24"/>
      <c r="S69" s="24"/>
      <c r="T69" s="8"/>
      <c r="U69" s="8"/>
      <c r="V69" s="36">
        <f>+IF(COUNTA(K69:U69)=0,0,W69/COUNTA(K69:U69))</f>
        <v>983.33333333333337</v>
      </c>
      <c r="W69" s="37">
        <f t="shared" si="2"/>
        <v>2950</v>
      </c>
      <c r="X69" s="37">
        <f>+W69+Y69</f>
        <v>23187</v>
      </c>
      <c r="Y69" s="38">
        <v>20237</v>
      </c>
      <c r="Z69" s="39">
        <f>+X68-X69</f>
        <v>11624</v>
      </c>
      <c r="AA69" s="40">
        <f>+IF(((W70+(W71/2))*60)=0,"",(G69*W69)/((W70+(W71/2))*60))</f>
        <v>0.84048423423423413</v>
      </c>
      <c r="AD69" s="1">
        <f>+W69*G69</f>
        <v>7463.4999999999991</v>
      </c>
    </row>
    <row r="70" spans="2:30" ht="18.75" customHeight="1" x14ac:dyDescent="0.3">
      <c r="B70" s="10">
        <f>+B69</f>
        <v>17</v>
      </c>
      <c r="C70" s="52"/>
      <c r="D70" s="52"/>
      <c r="E70" s="52"/>
      <c r="F70" s="52"/>
      <c r="G70" s="70"/>
      <c r="H70" s="61" t="s">
        <v>22</v>
      </c>
      <c r="I70" s="61" t="s">
        <v>22</v>
      </c>
      <c r="J70" s="3" t="s">
        <v>18</v>
      </c>
      <c r="K70" s="25">
        <v>47</v>
      </c>
      <c r="L70" s="25">
        <v>49</v>
      </c>
      <c r="M70" s="25">
        <v>49</v>
      </c>
      <c r="N70" s="25"/>
      <c r="O70" s="25"/>
      <c r="P70" s="25"/>
      <c r="Q70" s="25"/>
      <c r="R70" s="25"/>
      <c r="S70" s="25"/>
      <c r="T70" s="3"/>
      <c r="U70" s="3"/>
      <c r="V70" s="29"/>
      <c r="W70" s="41">
        <f t="shared" si="2"/>
        <v>145</v>
      </c>
      <c r="X70" s="41"/>
      <c r="Y70" s="42"/>
      <c r="Z70" s="43"/>
      <c r="AA70" s="44"/>
      <c r="AC70" s="1">
        <f>+W70*60</f>
        <v>8700</v>
      </c>
    </row>
    <row r="71" spans="2:30" ht="18.75" customHeight="1" thickBot="1" x14ac:dyDescent="0.35">
      <c r="B71" s="11">
        <f>+B69</f>
        <v>17</v>
      </c>
      <c r="C71" s="53"/>
      <c r="D71" s="53"/>
      <c r="E71" s="53"/>
      <c r="F71" s="53"/>
      <c r="G71" s="71"/>
      <c r="H71" s="63"/>
      <c r="I71" s="63">
        <v>50</v>
      </c>
      <c r="J71" s="6" t="s">
        <v>19</v>
      </c>
      <c r="K71" s="26">
        <v>2</v>
      </c>
      <c r="L71" s="26">
        <v>2</v>
      </c>
      <c r="M71" s="26">
        <v>2</v>
      </c>
      <c r="N71" s="26"/>
      <c r="O71" s="26"/>
      <c r="P71" s="26"/>
      <c r="Q71" s="26"/>
      <c r="R71" s="26"/>
      <c r="S71" s="26"/>
      <c r="T71" s="6"/>
      <c r="U71" s="6"/>
      <c r="V71" s="30"/>
      <c r="W71" s="45">
        <f t="shared" si="2"/>
        <v>6</v>
      </c>
      <c r="X71" s="45"/>
      <c r="Y71" s="46"/>
      <c r="Z71" s="47">
        <f>+Z69/(I69*8)</f>
        <v>1.3617619493908153</v>
      </c>
      <c r="AA71" s="48"/>
      <c r="AC71" s="1">
        <f>+W71*30</f>
        <v>180</v>
      </c>
    </row>
    <row r="72" spans="2:30" ht="18.75" customHeight="1" thickTop="1" x14ac:dyDescent="0.3">
      <c r="B72" s="86">
        <f>+B73</f>
        <v>18</v>
      </c>
      <c r="C72" s="54"/>
      <c r="D72" s="54"/>
      <c r="E72" s="54"/>
      <c r="F72" s="54"/>
      <c r="G72" s="55" t="s">
        <v>20</v>
      </c>
      <c r="H72" s="56" t="s">
        <v>23</v>
      </c>
      <c r="I72" s="56" t="s">
        <v>23</v>
      </c>
      <c r="J72" s="5" t="s">
        <v>21</v>
      </c>
      <c r="K72" s="27"/>
      <c r="L72" s="27"/>
      <c r="M72" s="27"/>
      <c r="N72" s="27"/>
      <c r="O72" s="27"/>
      <c r="P72" s="27"/>
      <c r="Q72" s="27"/>
      <c r="R72" s="27">
        <v>10798</v>
      </c>
      <c r="S72" s="27"/>
      <c r="T72" s="5"/>
      <c r="U72" s="5"/>
      <c r="V72" s="31"/>
      <c r="W72" s="49">
        <f t="shared" si="2"/>
        <v>10798</v>
      </c>
      <c r="X72" s="49">
        <f>+Y72+W72</f>
        <v>34634</v>
      </c>
      <c r="Y72" s="42">
        <v>23836</v>
      </c>
      <c r="Z72" s="72"/>
      <c r="AA72" s="35"/>
    </row>
    <row r="73" spans="2:30" ht="18.75" customHeight="1" x14ac:dyDescent="0.3">
      <c r="B73" s="15">
        <v>18</v>
      </c>
      <c r="C73" s="52"/>
      <c r="D73" s="52" t="s">
        <v>42</v>
      </c>
      <c r="E73" s="52" t="s">
        <v>39</v>
      </c>
      <c r="F73" s="52" t="s">
        <v>39</v>
      </c>
      <c r="G73" s="57">
        <v>2.83</v>
      </c>
      <c r="H73" s="58">
        <v>1067</v>
      </c>
      <c r="I73" s="59">
        <v>1067</v>
      </c>
      <c r="J73" s="8" t="s">
        <v>17</v>
      </c>
      <c r="K73" s="24">
        <v>1000</v>
      </c>
      <c r="L73" s="24">
        <v>1000</v>
      </c>
      <c r="M73" s="24">
        <v>1000</v>
      </c>
      <c r="N73" s="24">
        <v>1200</v>
      </c>
      <c r="O73" s="24">
        <v>1040</v>
      </c>
      <c r="P73" s="24">
        <v>1100</v>
      </c>
      <c r="Q73" s="24">
        <v>1150</v>
      </c>
      <c r="R73" s="24">
        <f>800+250</f>
        <v>1050</v>
      </c>
      <c r="S73" s="24"/>
      <c r="T73" s="8"/>
      <c r="U73" s="8"/>
      <c r="V73" s="36">
        <f>+IF(COUNTA(K73:U73)=0,0,W73/COUNTA(K73:U73))</f>
        <v>1067.5</v>
      </c>
      <c r="W73" s="37">
        <f t="shared" si="2"/>
        <v>8540</v>
      </c>
      <c r="X73" s="37">
        <f>+W73+Y73</f>
        <v>28775</v>
      </c>
      <c r="Y73" s="38">
        <v>20235</v>
      </c>
      <c r="Z73" s="73">
        <f>+X72-X73</f>
        <v>5859</v>
      </c>
      <c r="AA73" s="40">
        <f>+IF(((W74+(W75/2))*60)=0,"",(G73*W73)/((W74+(W75/2))*60))</f>
        <v>0.99212643678160928</v>
      </c>
      <c r="AD73" s="1">
        <f>+W73*G73</f>
        <v>24168.2</v>
      </c>
    </row>
    <row r="74" spans="2:30" ht="18.75" customHeight="1" x14ac:dyDescent="0.3">
      <c r="B74" s="84">
        <f>+B73</f>
        <v>18</v>
      </c>
      <c r="C74" s="52"/>
      <c r="D74" s="52"/>
      <c r="E74" s="52"/>
      <c r="F74" s="52"/>
      <c r="G74" s="60"/>
      <c r="H74" s="61" t="s">
        <v>22</v>
      </c>
      <c r="I74" s="61" t="s">
        <v>22</v>
      </c>
      <c r="J74" s="3" t="s">
        <v>18</v>
      </c>
      <c r="K74" s="25">
        <v>49</v>
      </c>
      <c r="L74" s="25">
        <v>49</v>
      </c>
      <c r="M74" s="25">
        <v>49</v>
      </c>
      <c r="N74" s="25">
        <v>49</v>
      </c>
      <c r="O74" s="25">
        <v>49</v>
      </c>
      <c r="P74" s="25">
        <v>51</v>
      </c>
      <c r="Q74" s="25">
        <v>51</v>
      </c>
      <c r="R74" s="25">
        <v>51</v>
      </c>
      <c r="S74" s="25"/>
      <c r="T74" s="3"/>
      <c r="U74" s="3"/>
      <c r="V74" s="29"/>
      <c r="W74" s="41">
        <f t="shared" si="2"/>
        <v>398</v>
      </c>
      <c r="X74" s="41"/>
      <c r="Y74" s="42"/>
      <c r="Z74" s="74"/>
      <c r="AA74" s="44"/>
      <c r="AC74" s="1">
        <f>+W74*60</f>
        <v>23880</v>
      </c>
    </row>
    <row r="75" spans="2:30" ht="18.75" customHeight="1" thickBot="1" x14ac:dyDescent="0.35">
      <c r="B75" s="85">
        <f>+B73</f>
        <v>18</v>
      </c>
      <c r="C75" s="53"/>
      <c r="D75" s="53"/>
      <c r="E75" s="53"/>
      <c r="F75" s="53"/>
      <c r="G75" s="62"/>
      <c r="H75" s="63">
        <v>50</v>
      </c>
      <c r="I75" s="64">
        <v>50</v>
      </c>
      <c r="J75" s="6" t="s">
        <v>19</v>
      </c>
      <c r="K75" s="26">
        <v>2</v>
      </c>
      <c r="L75" s="26">
        <v>2</v>
      </c>
      <c r="M75" s="26">
        <v>2</v>
      </c>
      <c r="N75" s="26">
        <v>2</v>
      </c>
      <c r="O75" s="26">
        <v>2</v>
      </c>
      <c r="P75" s="26">
        <v>2</v>
      </c>
      <c r="Q75" s="26">
        <v>2</v>
      </c>
      <c r="R75" s="26">
        <v>2</v>
      </c>
      <c r="S75" s="26"/>
      <c r="T75" s="6"/>
      <c r="U75" s="6"/>
      <c r="V75" s="30"/>
      <c r="W75" s="45">
        <f t="shared" si="2"/>
        <v>16</v>
      </c>
      <c r="X75" s="45"/>
      <c r="Y75" s="46"/>
      <c r="Z75" s="47">
        <f>+Z73/(I73*8)</f>
        <v>0.68638706654170567</v>
      </c>
      <c r="AA75" s="48"/>
      <c r="AC75" s="1">
        <f>+W75*30</f>
        <v>480</v>
      </c>
    </row>
    <row r="76" spans="2:30" ht="18.75" customHeight="1" thickTop="1" x14ac:dyDescent="0.3">
      <c r="B76" s="9">
        <f>+B77</f>
        <v>19</v>
      </c>
      <c r="C76" s="54"/>
      <c r="D76" s="54"/>
      <c r="E76" s="54"/>
      <c r="F76" s="54"/>
      <c r="G76" s="55" t="s">
        <v>20</v>
      </c>
      <c r="H76" s="56" t="s">
        <v>23</v>
      </c>
      <c r="I76" s="56" t="s">
        <v>23</v>
      </c>
      <c r="J76" s="5" t="s">
        <v>21</v>
      </c>
      <c r="K76" s="27">
        <v>100</v>
      </c>
      <c r="L76" s="27">
        <v>100</v>
      </c>
      <c r="M76" s="27">
        <v>100</v>
      </c>
      <c r="N76" s="27"/>
      <c r="O76" s="27"/>
      <c r="P76" s="27"/>
      <c r="Q76" s="27"/>
      <c r="R76" s="27"/>
      <c r="S76" s="27"/>
      <c r="T76" s="5"/>
      <c r="U76" s="5"/>
      <c r="V76" s="31"/>
      <c r="W76" s="49">
        <f t="shared" si="2"/>
        <v>300</v>
      </c>
      <c r="X76" s="49">
        <f>+Y76+W76</f>
        <v>2900</v>
      </c>
      <c r="Y76" s="42">
        <v>2600</v>
      </c>
      <c r="Z76" s="34"/>
      <c r="AA76" s="35"/>
    </row>
    <row r="77" spans="2:30" ht="18.75" customHeight="1" x14ac:dyDescent="0.3">
      <c r="B77" s="18">
        <v>19</v>
      </c>
      <c r="C77" s="52" t="s">
        <v>34</v>
      </c>
      <c r="D77" s="52" t="s">
        <v>31</v>
      </c>
      <c r="E77" s="52" t="s">
        <v>36</v>
      </c>
      <c r="F77" s="52" t="s">
        <v>37</v>
      </c>
      <c r="G77" s="65">
        <v>40.049999999999997</v>
      </c>
      <c r="H77" s="58">
        <v>67</v>
      </c>
      <c r="I77" s="59">
        <v>60</v>
      </c>
      <c r="J77" s="8" t="s">
        <v>17</v>
      </c>
      <c r="K77" s="24">
        <v>35</v>
      </c>
      <c r="L77" s="24">
        <v>45</v>
      </c>
      <c r="M77" s="24">
        <v>55</v>
      </c>
      <c r="N77" s="24"/>
      <c r="O77" s="24"/>
      <c r="P77" s="24"/>
      <c r="Q77" s="24"/>
      <c r="R77" s="24"/>
      <c r="S77" s="24"/>
      <c r="T77" s="8"/>
      <c r="U77" s="8"/>
      <c r="V77" s="36">
        <f>+IF(COUNTA(K77:U77)=0,0,W77/COUNTA(K77:U77))</f>
        <v>45</v>
      </c>
      <c r="W77" s="37">
        <f t="shared" si="2"/>
        <v>135</v>
      </c>
      <c r="X77" s="37">
        <f>+W77+Y77</f>
        <v>1495</v>
      </c>
      <c r="Y77" s="38">
        <v>1360</v>
      </c>
      <c r="Z77" s="39">
        <f>+X76-X77</f>
        <v>1405</v>
      </c>
      <c r="AA77" s="40">
        <f>+IF(((W78+(W79/2))*60)=0,"",(G77*W77)/((W78+(W79/2))*60))</f>
        <v>0.69051724137931036</v>
      </c>
      <c r="AD77" s="1">
        <f>+W77*G77</f>
        <v>5406.75</v>
      </c>
    </row>
    <row r="78" spans="2:30" ht="18.75" customHeight="1" x14ac:dyDescent="0.3">
      <c r="B78" s="10">
        <f>+B77</f>
        <v>19</v>
      </c>
      <c r="C78" s="52"/>
      <c r="D78" s="52"/>
      <c r="E78" s="52"/>
      <c r="F78" s="52"/>
      <c r="G78" s="70"/>
      <c r="H78" s="61" t="s">
        <v>22</v>
      </c>
      <c r="I78" s="61" t="s">
        <v>22</v>
      </c>
      <c r="J78" s="3" t="s">
        <v>18</v>
      </c>
      <c r="K78" s="25">
        <v>40</v>
      </c>
      <c r="L78" s="25">
        <v>43</v>
      </c>
      <c r="M78" s="25">
        <v>43</v>
      </c>
      <c r="N78" s="25"/>
      <c r="O78" s="25"/>
      <c r="P78" s="25"/>
      <c r="Q78" s="25"/>
      <c r="R78" s="25"/>
      <c r="S78" s="25"/>
      <c r="T78" s="3"/>
      <c r="U78" s="3"/>
      <c r="V78" s="29"/>
      <c r="W78" s="41">
        <f t="shared" si="2"/>
        <v>126</v>
      </c>
      <c r="X78" s="41"/>
      <c r="Y78" s="42"/>
      <c r="Z78" s="43"/>
      <c r="AA78" s="44"/>
      <c r="AC78" s="1">
        <f>+W78*60</f>
        <v>7560</v>
      </c>
    </row>
    <row r="79" spans="2:30" ht="18.75" customHeight="1" thickBot="1" x14ac:dyDescent="0.35">
      <c r="B79" s="11">
        <f>+B77</f>
        <v>19</v>
      </c>
      <c r="C79" s="53"/>
      <c r="D79" s="53"/>
      <c r="E79" s="53"/>
      <c r="F79" s="53"/>
      <c r="G79" s="71"/>
      <c r="H79" s="63">
        <v>50</v>
      </c>
      <c r="I79" s="64">
        <v>44.5</v>
      </c>
      <c r="J79" s="6" t="s">
        <v>19</v>
      </c>
      <c r="K79" s="26">
        <v>3</v>
      </c>
      <c r="L79" s="26">
        <v>3</v>
      </c>
      <c r="M79" s="26">
        <v>3</v>
      </c>
      <c r="N79" s="26"/>
      <c r="O79" s="26"/>
      <c r="P79" s="26"/>
      <c r="Q79" s="26"/>
      <c r="R79" s="26"/>
      <c r="S79" s="26"/>
      <c r="T79" s="6"/>
      <c r="U79" s="6"/>
      <c r="V79" s="30"/>
      <c r="W79" s="45">
        <f t="shared" si="2"/>
        <v>9</v>
      </c>
      <c r="X79" s="45"/>
      <c r="Y79" s="46"/>
      <c r="Z79" s="47">
        <f>+Z77/(I77*8)</f>
        <v>2.9270833333333335</v>
      </c>
      <c r="AA79" s="48"/>
      <c r="AC79" s="1">
        <f>+W79*30</f>
        <v>270</v>
      </c>
    </row>
    <row r="80" spans="2:30" ht="32.25" thickTop="1" x14ac:dyDescent="0.5"/>
  </sheetData>
  <autoFilter ref="B3:AA79">
    <sortState ref="B4:AA79">
      <sortCondition ref="B3:B79"/>
    </sortState>
  </autoFilter>
  <mergeCells count="4">
    <mergeCell ref="B1:Z1"/>
    <mergeCell ref="B2:E2"/>
    <mergeCell ref="G3:H3"/>
    <mergeCell ref="Z2:AA2"/>
  </mergeCells>
  <pageMargins left="0.15748031496062992" right="0.15748031496062992" top="0.27" bottom="0.35433070866141736" header="0.15748031496062992" footer="0.31496062992125984"/>
  <pageSetup paperSize="9" scale="63" orientation="landscape"/>
  <ignoredErrors>
    <ignoredError sqref="K3:S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tabColor rgb="FF00B0F0"/>
  </sheetPr>
  <dimension ref="A1:BC108"/>
  <sheetViews>
    <sheetView zoomScale="23" zoomScaleNormal="23" zoomScaleSheetLayoutView="23" zoomScalePageLayoutView="23" workbookViewId="0">
      <pane xSplit="2" ySplit="5" topLeftCell="F60" activePane="bottomRight" state="frozen"/>
      <selection pane="topRight" activeCell="C1" sqref="C1"/>
      <selection pane="bottomLeft" activeCell="A6" sqref="A6"/>
      <selection pane="bottomRight" activeCell="L52" sqref="L52:S52"/>
    </sheetView>
  </sheetViews>
  <sheetFormatPr defaultColWidth="9.140625" defaultRowHeight="36" x14ac:dyDescent="0.55000000000000004"/>
  <cols>
    <col min="1" max="1" width="1" style="91" customWidth="1"/>
    <col min="2" max="2" width="23.140625" style="94" customWidth="1"/>
    <col min="3" max="3" width="53.140625" style="92" customWidth="1"/>
    <col min="4" max="4" width="3.85546875" style="92" hidden="1" customWidth="1"/>
    <col min="5" max="5" width="29.140625" style="92" customWidth="1"/>
    <col min="6" max="6" width="57.7109375" style="92" customWidth="1"/>
    <col min="7" max="7" width="28" style="92" customWidth="1"/>
    <col min="8" max="8" width="54.42578125" style="92" customWidth="1"/>
    <col min="9" max="9" width="26.7109375" style="93" customWidth="1"/>
    <col min="10" max="10" width="28.7109375" style="92" customWidth="1"/>
    <col min="11" max="11" width="45" style="99" customWidth="1"/>
    <col min="12" max="22" width="25.85546875" style="91" customWidth="1"/>
    <col min="23" max="23" width="27" style="91" customWidth="1"/>
    <col min="24" max="24" width="32.28515625" style="91" customWidth="1"/>
    <col min="25" max="25" width="30.7109375" style="91" customWidth="1"/>
    <col min="26" max="26" width="33.140625" style="91" customWidth="1"/>
    <col min="27" max="27" width="31" style="91" hidden="1" customWidth="1"/>
    <col min="28" max="28" width="29.42578125" style="91" customWidth="1"/>
    <col min="29" max="29" width="29.42578125" style="95" customWidth="1"/>
    <col min="30" max="30" width="28.42578125" style="155" customWidth="1"/>
    <col min="31" max="31" width="32.42578125" style="98" hidden="1" customWidth="1"/>
    <col min="32" max="32" width="34" style="98" hidden="1" customWidth="1"/>
    <col min="33" max="33" width="35.42578125" style="98" customWidth="1"/>
    <col min="34" max="34" width="40.7109375" style="91" customWidth="1"/>
    <col min="35" max="35" width="38.28515625" style="91" customWidth="1"/>
    <col min="36" max="42" width="9.140625" style="91" customWidth="1"/>
    <col min="43" max="43" width="30.28515625" style="91" customWidth="1"/>
    <col min="44" max="99" width="9.140625" style="91" customWidth="1"/>
    <col min="100" max="16384" width="9.140625" style="91"/>
  </cols>
  <sheetData>
    <row r="1" spans="1:34" ht="23.25" customHeight="1" x14ac:dyDescent="0.5">
      <c r="B1" s="518" t="s">
        <v>29</v>
      </c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B1" s="519" t="s">
        <v>81</v>
      </c>
      <c r="AC1" s="519"/>
    </row>
    <row r="2" spans="1:34" ht="67.5" customHeight="1" x14ac:dyDescent="0.7">
      <c r="A2" s="91">
        <v>77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  <c r="Z2" s="518"/>
      <c r="AA2" s="96"/>
      <c r="AB2" s="520">
        <f>+AF2/AE2</f>
        <v>3.6857333333333333</v>
      </c>
      <c r="AC2" s="520"/>
      <c r="AE2" s="183">
        <f>+SUBTOTAL(9,AE6:AE103)</f>
        <v>7200</v>
      </c>
      <c r="AF2" s="183">
        <f>+SUBTOTAL(9,AF6:AF103)</f>
        <v>26537.279999999999</v>
      </c>
    </row>
    <row r="3" spans="1:34" ht="64.5" customHeight="1" x14ac:dyDescent="0.7">
      <c r="B3" s="233"/>
      <c r="C3" s="233"/>
      <c r="D3" s="233"/>
      <c r="E3" s="231"/>
      <c r="F3" s="231"/>
      <c r="G3" s="231"/>
      <c r="H3" s="231"/>
      <c r="I3" s="231"/>
      <c r="J3" s="521" t="s">
        <v>97</v>
      </c>
      <c r="K3" s="521"/>
      <c r="L3" s="147" t="s">
        <v>98</v>
      </c>
      <c r="M3" s="147" t="s">
        <v>99</v>
      </c>
      <c r="N3" s="147" t="s">
        <v>100</v>
      </c>
      <c r="O3" s="147" t="s">
        <v>101</v>
      </c>
      <c r="P3" s="147" t="s">
        <v>102</v>
      </c>
      <c r="Q3" s="147" t="s">
        <v>103</v>
      </c>
      <c r="R3" s="147" t="s">
        <v>104</v>
      </c>
      <c r="S3" s="147" t="s">
        <v>107</v>
      </c>
      <c r="T3" s="147" t="s">
        <v>106</v>
      </c>
      <c r="U3" s="147"/>
      <c r="V3" s="147"/>
      <c r="W3" s="199"/>
      <c r="X3" s="147"/>
      <c r="Y3" s="233"/>
      <c r="Z3" s="233"/>
      <c r="AA3" s="96"/>
      <c r="AB3" s="520"/>
      <c r="AC3" s="520"/>
      <c r="AE3" s="183"/>
      <c r="AF3" s="183"/>
    </row>
    <row r="4" spans="1:34" s="141" customFormat="1" ht="57" customHeight="1" thickBot="1" x14ac:dyDescent="0.75">
      <c r="B4" s="522" t="s">
        <v>108</v>
      </c>
      <c r="C4" s="522"/>
      <c r="D4" s="522"/>
      <c r="E4" s="522"/>
      <c r="F4" s="522"/>
      <c r="G4" s="217"/>
      <c r="I4" s="142"/>
      <c r="J4" s="523" t="s">
        <v>113</v>
      </c>
      <c r="K4" s="523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6" t="s">
        <v>106</v>
      </c>
      <c r="U4" s="172"/>
      <c r="V4" s="172"/>
      <c r="W4" s="143" t="s">
        <v>17</v>
      </c>
      <c r="X4" s="143"/>
      <c r="Y4" s="170">
        <f>+X87</f>
        <v>538</v>
      </c>
      <c r="Z4" s="144" t="s">
        <v>28</v>
      </c>
      <c r="AA4" s="145"/>
      <c r="AB4" s="524">
        <v>44653</v>
      </c>
      <c r="AC4" s="524"/>
      <c r="AD4" s="171">
        <f>+SUM(AD6:AD91)</f>
        <v>120</v>
      </c>
      <c r="AE4" s="98"/>
      <c r="AF4" s="98"/>
      <c r="AG4" s="148"/>
    </row>
    <row r="5" spans="1:34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516" t="s">
        <v>95</v>
      </c>
      <c r="J5" s="517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2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 t="s">
        <v>73</v>
      </c>
      <c r="AD5" s="156"/>
    </row>
    <row r="6" spans="1:34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/>
      <c r="M6" s="215"/>
      <c r="N6" s="215"/>
      <c r="O6" s="215"/>
      <c r="P6" s="215"/>
      <c r="Q6" s="215"/>
      <c r="R6" s="215"/>
      <c r="S6" s="213"/>
      <c r="T6" s="213"/>
      <c r="U6" s="213"/>
      <c r="V6" s="213"/>
      <c r="W6" s="135"/>
      <c r="X6" s="513">
        <f>+W8</f>
        <v>-53</v>
      </c>
      <c r="Y6" s="135">
        <f>+SUM(L6:V6)</f>
        <v>0</v>
      </c>
      <c r="Z6" s="136">
        <f>+AA6+Y6</f>
        <v>3954</v>
      </c>
      <c r="AA6" s="136">
        <v>3954</v>
      </c>
      <c r="AB6" s="109"/>
      <c r="AC6" s="110"/>
      <c r="AD6" s="157"/>
      <c r="AE6" s="167"/>
      <c r="AF6" s="167"/>
      <c r="AG6" s="167"/>
      <c r="AH6" s="91"/>
    </row>
    <row r="7" spans="1:34" s="98" customFormat="1" ht="62.25" customHeight="1" x14ac:dyDescent="0.9">
      <c r="A7" s="124"/>
      <c r="B7" s="132">
        <v>1</v>
      </c>
      <c r="C7" s="111" t="s">
        <v>195</v>
      </c>
      <c r="D7" s="111"/>
      <c r="E7" s="111" t="s">
        <v>35</v>
      </c>
      <c r="F7" s="111" t="s">
        <v>196</v>
      </c>
      <c r="G7" s="111">
        <v>5038</v>
      </c>
      <c r="H7" s="111" t="s">
        <v>33</v>
      </c>
      <c r="I7" s="113">
        <v>58.92</v>
      </c>
      <c r="J7" s="130">
        <v>53</v>
      </c>
      <c r="K7" s="101" t="s">
        <v>17</v>
      </c>
      <c r="L7" s="214"/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123">
        <f>+IF(COUNTA(L7:V7)=8,Y7/(COUNTA(L7:V7)-0.5),IF(COUNTA(L7:V7)=0,0,Y7/COUNTA(L7:V7)))</f>
        <v>0</v>
      </c>
      <c r="X7" s="514"/>
      <c r="Y7" s="134">
        <f>+SUM(L7:V7)</f>
        <v>0</v>
      </c>
      <c r="Z7" s="137">
        <f>+Y7+AA7</f>
        <v>3126</v>
      </c>
      <c r="AA7" s="137">
        <v>3126</v>
      </c>
      <c r="AB7" s="140">
        <f>+Z6-Z7</f>
        <v>828</v>
      </c>
      <c r="AC7" s="131" t="str">
        <f>+IF(((Y8+(Y9/2))*60)=0,"",(I7*Y7)/((Y8+(Y9/2))*60))</f>
        <v/>
      </c>
      <c r="AD7" s="157"/>
      <c r="AE7" s="167"/>
      <c r="AF7" s="167">
        <f>+Y7*I7</f>
        <v>0</v>
      </c>
      <c r="AG7" s="167"/>
      <c r="AH7" s="91"/>
    </row>
    <row r="8" spans="1:34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112"/>
      <c r="H8" s="210"/>
      <c r="I8" s="210">
        <v>1</v>
      </c>
      <c r="J8" s="114" t="s">
        <v>22</v>
      </c>
      <c r="K8" s="102" t="s">
        <v>18</v>
      </c>
      <c r="L8" s="215"/>
      <c r="M8" s="215"/>
      <c r="N8" s="215"/>
      <c r="O8" s="215"/>
      <c r="P8" s="215"/>
      <c r="Q8" s="215"/>
      <c r="R8" s="215"/>
      <c r="S8" s="215"/>
      <c r="T8" s="215"/>
      <c r="U8" s="215"/>
      <c r="V8" s="215"/>
      <c r="W8" s="160">
        <f>+W7-J7</f>
        <v>-53</v>
      </c>
      <c r="X8" s="514"/>
      <c r="Y8" s="103">
        <f>+SUM(L8:V8)-S8/2</f>
        <v>0</v>
      </c>
      <c r="Z8" s="103"/>
      <c r="AA8" s="103"/>
      <c r="AB8" s="115"/>
      <c r="AC8" s="116"/>
      <c r="AD8" s="157"/>
      <c r="AE8" s="167"/>
      <c r="AF8" s="167"/>
      <c r="AG8" s="167"/>
      <c r="AH8" s="91"/>
    </row>
    <row r="9" spans="1:34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111</v>
      </c>
      <c r="G9" s="218"/>
      <c r="H9" s="159" t="s">
        <v>190</v>
      </c>
      <c r="I9" s="165">
        <f>+IF(J9="","",IF(J7=0,"",(J7*I7)/(J9*60)))</f>
        <v>0.91308771929824573</v>
      </c>
      <c r="J9" s="118">
        <v>57</v>
      </c>
      <c r="K9" s="104" t="s">
        <v>19</v>
      </c>
      <c r="L9" s="216"/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173"/>
      <c r="X9" s="169">
        <v>7.85</v>
      </c>
      <c r="Y9" s="105">
        <f>+SUM(L9:V9)-S9/2</f>
        <v>0</v>
      </c>
      <c r="Z9" s="105"/>
      <c r="AA9" s="105"/>
      <c r="AB9" s="119">
        <f>+IFERROR(AB7/(J7*9),"")</f>
        <v>1.7358490566037736</v>
      </c>
      <c r="AC9" s="120"/>
      <c r="AD9" s="161">
        <f>+Y8+Y9/2</f>
        <v>0</v>
      </c>
      <c r="AE9" s="167">
        <f>+AD9*60</f>
        <v>0</v>
      </c>
      <c r="AF9" s="167"/>
      <c r="AG9" s="230">
        <f>+IF((Y7-J7*9)&gt;=0,"",Y7-J7*9)</f>
        <v>-477</v>
      </c>
      <c r="AH9" s="91"/>
    </row>
    <row r="10" spans="1:34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3"/>
      <c r="M10" s="213"/>
      <c r="N10" s="213"/>
      <c r="O10" s="213"/>
      <c r="P10" s="213"/>
      <c r="Q10" s="213"/>
      <c r="R10" s="213"/>
      <c r="S10" s="213"/>
      <c r="T10" s="213"/>
      <c r="U10" s="213"/>
      <c r="V10" s="213"/>
      <c r="W10" s="135"/>
      <c r="X10" s="513">
        <f>+W12</f>
        <v>-55</v>
      </c>
      <c r="Y10" s="135">
        <f t="shared" ref="Y10:Y71" si="0">+SUM(L10:V10)</f>
        <v>0</v>
      </c>
      <c r="Z10" s="136">
        <f>+AA10+Y10</f>
        <v>9370</v>
      </c>
      <c r="AA10" s="136">
        <v>9370</v>
      </c>
      <c r="AB10" s="109"/>
      <c r="AC10" s="110"/>
      <c r="AD10" s="157"/>
      <c r="AE10" s="167">
        <f t="shared" ref="AE10:AE77" si="1">+AD10*60</f>
        <v>0</v>
      </c>
      <c r="AF10" s="167"/>
      <c r="AG10" s="167"/>
      <c r="AH10" s="91"/>
    </row>
    <row r="11" spans="1:34" s="98" customFormat="1" ht="62.25" customHeight="1" x14ac:dyDescent="0.9">
      <c r="A11" s="124"/>
      <c r="B11" s="132">
        <v>2</v>
      </c>
      <c r="C11" s="111" t="s">
        <v>189</v>
      </c>
      <c r="D11" s="111"/>
      <c r="E11" s="111" t="s">
        <v>110</v>
      </c>
      <c r="F11" s="111" t="s">
        <v>186</v>
      </c>
      <c r="G11" s="111">
        <v>9000</v>
      </c>
      <c r="H11" s="111" t="s">
        <v>54</v>
      </c>
      <c r="I11" s="113">
        <v>51.85</v>
      </c>
      <c r="J11" s="130">
        <v>55</v>
      </c>
      <c r="K11" s="101" t="s">
        <v>17</v>
      </c>
      <c r="L11" s="214"/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123">
        <f>+IF(COUNTA(L11:V11)=8,Y11/(COUNTA(L11:V11)-0.5),IF(COUNTA(L11:V11)=0,0,Y11/COUNTA(L11:V11)))</f>
        <v>0</v>
      </c>
      <c r="X11" s="514"/>
      <c r="Y11" s="134">
        <f t="shared" si="0"/>
        <v>0</v>
      </c>
      <c r="Z11" s="137">
        <f>+Y11+AA11</f>
        <v>8462</v>
      </c>
      <c r="AA11" s="137">
        <v>8462</v>
      </c>
      <c r="AB11" s="140">
        <f>+Z10-Z11</f>
        <v>908</v>
      </c>
      <c r="AC11" s="131" t="str">
        <f>+IF(((Y12+(Y13/2))*60)=0,"",(I11*Y11)/((Y12+(Y13/2))*60))</f>
        <v/>
      </c>
      <c r="AD11" s="157"/>
      <c r="AE11" s="167">
        <f t="shared" si="1"/>
        <v>0</v>
      </c>
      <c r="AF11" s="167">
        <f>+Y11*I11</f>
        <v>0</v>
      </c>
      <c r="AG11" s="167"/>
      <c r="AH11" s="91"/>
    </row>
    <row r="12" spans="1:34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112"/>
      <c r="H12" s="210"/>
      <c r="I12" s="210"/>
      <c r="J12" s="114" t="s">
        <v>22</v>
      </c>
      <c r="K12" s="102" t="s">
        <v>18</v>
      </c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160">
        <f>+W11-J11</f>
        <v>-55</v>
      </c>
      <c r="X12" s="514"/>
      <c r="Y12" s="103">
        <f>+SUM(L12:V12)-S12/2</f>
        <v>0</v>
      </c>
      <c r="Z12" s="138"/>
      <c r="AA12" s="138"/>
      <c r="AB12" s="115"/>
      <c r="AC12" s="116"/>
      <c r="AD12" s="157"/>
      <c r="AE12" s="167">
        <f t="shared" si="1"/>
        <v>0</v>
      </c>
      <c r="AF12" s="167"/>
      <c r="AG12" s="167"/>
      <c r="AH12" s="91"/>
    </row>
    <row r="13" spans="1:34" s="98" customFormat="1" ht="62.25" customHeight="1" thickBot="1" x14ac:dyDescent="0.95">
      <c r="A13" s="124"/>
      <c r="B13" s="129">
        <f>+B11</f>
        <v>2</v>
      </c>
      <c r="C13" s="174" t="s">
        <v>75</v>
      </c>
      <c r="D13" s="175">
        <f>+D12+100</f>
        <v>102</v>
      </c>
      <c r="E13" s="175"/>
      <c r="F13" s="117" t="s">
        <v>111</v>
      </c>
      <c r="G13" s="218"/>
      <c r="H13" s="227"/>
      <c r="I13" s="165">
        <f>+IF(J13="","",IF(J11=0,"",(J11*I11)/(J13*60)))</f>
        <v>0.91402243589743593</v>
      </c>
      <c r="J13" s="118">
        <v>52</v>
      </c>
      <c r="K13" s="104" t="s">
        <v>19</v>
      </c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173"/>
      <c r="X13" s="169">
        <v>6.39</v>
      </c>
      <c r="Y13" s="105">
        <f>+SUM(L13:V13)-S13/2</f>
        <v>0</v>
      </c>
      <c r="Z13" s="139"/>
      <c r="AA13" s="139"/>
      <c r="AB13" s="119">
        <f>+IFERROR(AB11/(J11*9),"")</f>
        <v>1.8343434343434344</v>
      </c>
      <c r="AC13" s="162"/>
      <c r="AD13" s="161">
        <f>+Y12+Y13/2</f>
        <v>0</v>
      </c>
      <c r="AE13" s="167">
        <f t="shared" si="1"/>
        <v>0</v>
      </c>
      <c r="AF13" s="167"/>
      <c r="AG13" s="230">
        <f>+IF((Y11-J11*9)&gt;=0,"",Y11-J11*9)</f>
        <v>-495</v>
      </c>
      <c r="AH13" s="91"/>
    </row>
    <row r="14" spans="1:34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/>
      <c r="M14" s="215"/>
      <c r="N14" s="215"/>
      <c r="O14" s="215"/>
      <c r="P14" s="215"/>
      <c r="Q14" s="215"/>
      <c r="R14" s="215"/>
      <c r="S14" s="213"/>
      <c r="T14" s="213"/>
      <c r="U14" s="213"/>
      <c r="V14" s="213"/>
      <c r="W14" s="135"/>
      <c r="X14" s="513">
        <f>+W16</f>
        <v>-53</v>
      </c>
      <c r="Y14" s="135">
        <f t="shared" si="0"/>
        <v>0</v>
      </c>
      <c r="Z14" s="136">
        <f>+AA14+Y14</f>
        <v>4818</v>
      </c>
      <c r="AA14" s="136">
        <v>4818</v>
      </c>
      <c r="AB14" s="109"/>
      <c r="AC14" s="110"/>
      <c r="AD14" s="157"/>
      <c r="AE14" s="167">
        <f t="shared" si="1"/>
        <v>0</v>
      </c>
      <c r="AF14" s="167"/>
      <c r="AG14" s="167"/>
      <c r="AH14" s="91"/>
    </row>
    <row r="15" spans="1:34" s="98" customFormat="1" ht="62.25" customHeight="1" x14ac:dyDescent="0.9">
      <c r="A15" s="124"/>
      <c r="B15" s="132">
        <v>3</v>
      </c>
      <c r="C15" s="111" t="s">
        <v>195</v>
      </c>
      <c r="D15" s="111"/>
      <c r="E15" s="111" t="s">
        <v>35</v>
      </c>
      <c r="F15" s="111" t="s">
        <v>196</v>
      </c>
      <c r="G15" s="111">
        <v>5038</v>
      </c>
      <c r="H15" s="111" t="s">
        <v>33</v>
      </c>
      <c r="I15" s="113">
        <v>58.92</v>
      </c>
      <c r="J15" s="130">
        <v>53</v>
      </c>
      <c r="K15" s="101" t="s">
        <v>17</v>
      </c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123">
        <f>+IF(COUNTA(L15:V15)=8,Y15/(COUNTA(L15:V15)-0.5),IF(COUNTA(L15:V15)=0,0,Y15/COUNTA(L15:V15)))</f>
        <v>0</v>
      </c>
      <c r="X15" s="514"/>
      <c r="Y15" s="134">
        <f t="shared" si="0"/>
        <v>0</v>
      </c>
      <c r="Z15" s="137">
        <f>+Y15+AA15</f>
        <v>3982</v>
      </c>
      <c r="AA15" s="137">
        <v>3982</v>
      </c>
      <c r="AB15" s="140">
        <f>+Z14-Z15</f>
        <v>836</v>
      </c>
      <c r="AC15" s="131" t="str">
        <f>+IF(((Y16+(Y17/2))*60)=0,"",(I15*Y15)/((Y16+(Y17/2))*60))</f>
        <v/>
      </c>
      <c r="AD15" s="157"/>
      <c r="AE15" s="167">
        <f t="shared" si="1"/>
        <v>0</v>
      </c>
      <c r="AF15" s="167">
        <f>+Y15*I15</f>
        <v>0</v>
      </c>
      <c r="AG15" s="167"/>
      <c r="AH15" s="91"/>
    </row>
    <row r="16" spans="1:34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112"/>
      <c r="H16" s="210"/>
      <c r="I16" s="113">
        <v>1</v>
      </c>
      <c r="J16" s="114" t="s">
        <v>22</v>
      </c>
      <c r="K16" s="102" t="s">
        <v>18</v>
      </c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160">
        <f>+W15-J15</f>
        <v>-53</v>
      </c>
      <c r="X16" s="514"/>
      <c r="Y16" s="103">
        <f>+SUM(L16:V16)-S16/2</f>
        <v>0</v>
      </c>
      <c r="Z16" s="138"/>
      <c r="AA16" s="138"/>
      <c r="AB16" s="115"/>
      <c r="AC16" s="116"/>
      <c r="AD16" s="157"/>
      <c r="AE16" s="167">
        <f t="shared" si="1"/>
        <v>0</v>
      </c>
      <c r="AF16" s="167"/>
      <c r="AG16" s="167"/>
      <c r="AH16" s="91"/>
    </row>
    <row r="17" spans="1:55" s="98" customFormat="1" ht="62.25" customHeight="1" thickBot="1" x14ac:dyDescent="0.95">
      <c r="A17" s="124"/>
      <c r="B17" s="126">
        <f>+B15</f>
        <v>3</v>
      </c>
      <c r="C17" s="174" t="s">
        <v>78</v>
      </c>
      <c r="D17" s="175">
        <f>+D16+100</f>
        <v>103</v>
      </c>
      <c r="E17" s="175"/>
      <c r="F17" s="117" t="s">
        <v>111</v>
      </c>
      <c r="G17" s="117"/>
      <c r="H17" s="159" t="s">
        <v>190</v>
      </c>
      <c r="I17" s="165">
        <f>+IF(J17="","",IF(J15=0,"",(J15*I15)/(J17*60)))</f>
        <v>0.88213559322033908</v>
      </c>
      <c r="J17" s="118">
        <v>59</v>
      </c>
      <c r="K17" s="104" t="s">
        <v>19</v>
      </c>
      <c r="L17" s="216"/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173"/>
      <c r="X17" s="169">
        <v>25.71</v>
      </c>
      <c r="Y17" s="105">
        <f>+SUM(L17:V17)-S17/2</f>
        <v>0</v>
      </c>
      <c r="Z17" s="139"/>
      <c r="AA17" s="139"/>
      <c r="AB17" s="119">
        <f>+IFERROR(AB15/(J15*9),"")</f>
        <v>1.7526205450733752</v>
      </c>
      <c r="AC17" s="120"/>
      <c r="AD17" s="161">
        <f>+Y16+Y17/2</f>
        <v>0</v>
      </c>
      <c r="AE17" s="167">
        <f t="shared" si="1"/>
        <v>0</v>
      </c>
      <c r="AF17" s="167"/>
      <c r="AG17" s="230">
        <f>+IF((Y15-J15*9)&gt;=0,"",Y15-J15*9)</f>
        <v>-477</v>
      </c>
      <c r="AH17" s="91"/>
    </row>
    <row r="18" spans="1:55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/>
      <c r="M18" s="215"/>
      <c r="N18" s="215"/>
      <c r="O18" s="215"/>
      <c r="P18" s="215"/>
      <c r="Q18" s="215"/>
      <c r="R18" s="215"/>
      <c r="S18" s="213"/>
      <c r="T18" s="213"/>
      <c r="U18" s="213"/>
      <c r="V18" s="213"/>
      <c r="W18" s="135"/>
      <c r="X18" s="513">
        <f>+W20</f>
        <v>-53</v>
      </c>
      <c r="Y18" s="135">
        <f t="shared" si="0"/>
        <v>0</v>
      </c>
      <c r="Z18" s="136">
        <f>+AA18+Y18</f>
        <v>4381</v>
      </c>
      <c r="AA18" s="136">
        <v>4381</v>
      </c>
      <c r="AB18" s="109"/>
      <c r="AC18" s="110"/>
      <c r="AD18" s="157"/>
      <c r="AE18" s="167">
        <f t="shared" si="1"/>
        <v>0</v>
      </c>
      <c r="AF18" s="167"/>
      <c r="AG18" s="167"/>
      <c r="AH18" s="91"/>
    </row>
    <row r="19" spans="1:55" s="98" customFormat="1" ht="62.25" customHeight="1" x14ac:dyDescent="0.9">
      <c r="A19" s="124"/>
      <c r="B19" s="132">
        <v>4</v>
      </c>
      <c r="C19" s="111" t="s">
        <v>195</v>
      </c>
      <c r="D19" s="111"/>
      <c r="E19" s="111" t="s">
        <v>35</v>
      </c>
      <c r="F19" s="111" t="s">
        <v>196</v>
      </c>
      <c r="G19" s="111">
        <v>5038</v>
      </c>
      <c r="H19" s="111" t="s">
        <v>33</v>
      </c>
      <c r="I19" s="113">
        <v>58.92</v>
      </c>
      <c r="J19" s="130">
        <v>53</v>
      </c>
      <c r="K19" s="101" t="s">
        <v>17</v>
      </c>
      <c r="L19" s="214"/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123">
        <f>+IF(COUNTA(L19:V19)=8,Y19/(COUNTA(L19:V19)-0.5),IF(COUNTA(L19:V19)=0,0,Y19/COUNTA(L19:V19)))</f>
        <v>0</v>
      </c>
      <c r="X19" s="514"/>
      <c r="Y19" s="134">
        <f t="shared" si="0"/>
        <v>0</v>
      </c>
      <c r="Z19" s="137">
        <f>+Y19+AA19</f>
        <v>3425</v>
      </c>
      <c r="AA19" s="137">
        <v>3425</v>
      </c>
      <c r="AB19" s="140">
        <f>+Z18-Z19</f>
        <v>956</v>
      </c>
      <c r="AC19" s="131" t="str">
        <f>+IF(((Y20+(Y21/2))*60)=0,"",(I19*Y19)/((Y20+(Y21/2))*60))</f>
        <v/>
      </c>
      <c r="AD19" s="157"/>
      <c r="AE19" s="167">
        <f t="shared" si="1"/>
        <v>0</v>
      </c>
      <c r="AF19" s="167">
        <f>+Y19*I19</f>
        <v>0</v>
      </c>
      <c r="AG19" s="167"/>
      <c r="AH19" s="91"/>
    </row>
    <row r="20" spans="1:55" s="98" customFormat="1" ht="62.25" customHeight="1" x14ac:dyDescent="0.9">
      <c r="A20" s="124"/>
      <c r="B20" s="125">
        <f>+B19</f>
        <v>4</v>
      </c>
      <c r="C20" s="184" t="s">
        <v>96</v>
      </c>
      <c r="D20" s="111">
        <f>+B19</f>
        <v>4</v>
      </c>
      <c r="E20" s="111"/>
      <c r="F20" s="112" t="e">
        <f>+VLOOKUP(F19,'Obj Prix'!$H:$H,2,FALSE)</f>
        <v>#N/A</v>
      </c>
      <c r="G20" s="112"/>
      <c r="H20" s="210"/>
      <c r="I20" s="113">
        <v>1</v>
      </c>
      <c r="J20" s="114" t="s">
        <v>22</v>
      </c>
      <c r="K20" s="102" t="s">
        <v>18</v>
      </c>
      <c r="L20" s="215"/>
      <c r="M20" s="215"/>
      <c r="N20" s="215"/>
      <c r="O20" s="215"/>
      <c r="P20" s="215"/>
      <c r="Q20" s="215"/>
      <c r="R20" s="215"/>
      <c r="S20" s="215"/>
      <c r="T20" s="215"/>
      <c r="U20" s="215"/>
      <c r="V20" s="215"/>
      <c r="W20" s="160">
        <f>+W19-J19</f>
        <v>-53</v>
      </c>
      <c r="X20" s="514"/>
      <c r="Y20" s="103">
        <f>+SUM(L20:V20)-S20/2</f>
        <v>0</v>
      </c>
      <c r="Z20" s="138"/>
      <c r="AA20" s="138"/>
      <c r="AB20" s="115"/>
      <c r="AC20" s="116"/>
      <c r="AD20" s="157"/>
      <c r="AE20" s="167">
        <f t="shared" si="1"/>
        <v>0</v>
      </c>
      <c r="AF20" s="167"/>
      <c r="AG20" s="167"/>
      <c r="AH20" s="91"/>
    </row>
    <row r="21" spans="1:55" s="98" customFormat="1" ht="62.25" customHeight="1" thickBot="1" x14ac:dyDescent="0.95">
      <c r="A21" s="124"/>
      <c r="B21" s="126">
        <f>+B19</f>
        <v>4</v>
      </c>
      <c r="C21" s="174"/>
      <c r="D21" s="175">
        <f>+D20+100</f>
        <v>104</v>
      </c>
      <c r="E21" s="175"/>
      <c r="F21" s="117" t="s">
        <v>111</v>
      </c>
      <c r="G21" s="117"/>
      <c r="H21" s="159" t="s">
        <v>190</v>
      </c>
      <c r="I21" s="165">
        <f>+IF(J21="","",IF(J19=0,"",(J19*I19)/(J21*60)))</f>
        <v>0.88213559322033908</v>
      </c>
      <c r="J21" s="118">
        <v>59</v>
      </c>
      <c r="K21" s="104" t="s">
        <v>19</v>
      </c>
      <c r="L21" s="216"/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173"/>
      <c r="X21" s="169">
        <v>32.67</v>
      </c>
      <c r="Y21" s="105">
        <f>+SUM(L21:V21)-S21/2</f>
        <v>0</v>
      </c>
      <c r="Z21" s="139"/>
      <c r="AA21" s="139"/>
      <c r="AB21" s="119">
        <f>+IFERROR(AB19/(J19*9),"")</f>
        <v>2.0041928721174003</v>
      </c>
      <c r="AC21" s="120"/>
      <c r="AD21" s="161">
        <f>+Y20+Y21/2</f>
        <v>0</v>
      </c>
      <c r="AE21" s="167">
        <f t="shared" si="1"/>
        <v>0</v>
      </c>
      <c r="AF21" s="167"/>
      <c r="AG21" s="230">
        <f>+IF((Y19-J19*9)&gt;=0,"",Y19-J19*9)</f>
        <v>-477</v>
      </c>
      <c r="AH21" s="91"/>
    </row>
    <row r="22" spans="1:55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3"/>
      <c r="M22" s="213"/>
      <c r="N22" s="213"/>
      <c r="O22" s="213"/>
      <c r="P22" s="213"/>
      <c r="Q22" s="213"/>
      <c r="R22" s="213"/>
      <c r="S22" s="213"/>
      <c r="T22" s="213"/>
      <c r="U22" s="213"/>
      <c r="V22" s="213"/>
      <c r="W22" s="135"/>
      <c r="X22" s="513">
        <f>+W24</f>
        <v>-50</v>
      </c>
      <c r="Y22" s="135">
        <f t="shared" si="0"/>
        <v>0</v>
      </c>
      <c r="Z22" s="136">
        <f>+AA22+Y22</f>
        <v>4861</v>
      </c>
      <c r="AA22" s="136">
        <v>4861</v>
      </c>
      <c r="AB22" s="121"/>
      <c r="AC22" s="110"/>
      <c r="AD22" s="157"/>
      <c r="AE22" s="167">
        <f t="shared" si="1"/>
        <v>0</v>
      </c>
      <c r="AF22" s="167"/>
      <c r="AG22" s="167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</row>
    <row r="23" spans="1:55" ht="62.25" customHeight="1" x14ac:dyDescent="0.9">
      <c r="A23" s="124"/>
      <c r="B23" s="132">
        <v>5</v>
      </c>
      <c r="C23" s="111" t="s">
        <v>192</v>
      </c>
      <c r="D23" s="111"/>
      <c r="E23" s="111" t="s">
        <v>110</v>
      </c>
      <c r="F23" s="111" t="s">
        <v>193</v>
      </c>
      <c r="G23" s="111">
        <v>5500</v>
      </c>
      <c r="H23" s="111" t="s">
        <v>33</v>
      </c>
      <c r="I23" s="113">
        <v>62.7</v>
      </c>
      <c r="J23" s="130">
        <v>50</v>
      </c>
      <c r="K23" s="101" t="s">
        <v>17</v>
      </c>
      <c r="L23" s="214"/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123">
        <f>+IF(COUNTA(L23:V23)=8,Y23/(COUNTA(L23:V23)-0.5),IF(COUNTA(L23:V23)=0,0,Y23/COUNTA(L23:V23)))</f>
        <v>0</v>
      </c>
      <c r="X23" s="514"/>
      <c r="Y23" s="134">
        <f t="shared" si="0"/>
        <v>0</v>
      </c>
      <c r="Z23" s="137">
        <f>+Y23+AA23</f>
        <v>4080</v>
      </c>
      <c r="AA23" s="137">
        <v>4080</v>
      </c>
      <c r="AB23" s="140">
        <f>+Z22-Z23</f>
        <v>781</v>
      </c>
      <c r="AC23" s="131" t="str">
        <f>+IF(((Y24+(Y25/2))*60)=0,"",(I23*Y23)/((Y24+(Y25/2))*60))</f>
        <v/>
      </c>
      <c r="AD23" s="157"/>
      <c r="AE23" s="167">
        <f t="shared" si="1"/>
        <v>0</v>
      </c>
      <c r="AF23" s="167">
        <f>+Y23*I23</f>
        <v>0</v>
      </c>
      <c r="AG23" s="167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</row>
    <row r="24" spans="1:55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112"/>
      <c r="H24" s="210"/>
      <c r="I24" s="113">
        <v>1</v>
      </c>
      <c r="J24" s="114" t="s">
        <v>22</v>
      </c>
      <c r="K24" s="102" t="s">
        <v>18</v>
      </c>
      <c r="L24" s="215"/>
      <c r="M24" s="215"/>
      <c r="N24" s="215"/>
      <c r="O24" s="215"/>
      <c r="P24" s="215"/>
      <c r="Q24" s="215"/>
      <c r="R24" s="215"/>
      <c r="S24" s="215"/>
      <c r="T24" s="215"/>
      <c r="U24" s="215"/>
      <c r="V24" s="215"/>
      <c r="W24" s="160">
        <f>+W23-J23</f>
        <v>-50</v>
      </c>
      <c r="X24" s="514"/>
      <c r="Y24" s="103">
        <f>+SUM(L24:V24)-S24/2</f>
        <v>0</v>
      </c>
      <c r="Z24" s="138"/>
      <c r="AA24" s="138"/>
      <c r="AB24" s="122"/>
      <c r="AC24" s="116"/>
      <c r="AD24" s="157"/>
      <c r="AE24" s="167">
        <f t="shared" si="1"/>
        <v>0</v>
      </c>
      <c r="AF24" s="167"/>
      <c r="AG24" s="167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55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203</v>
      </c>
      <c r="G25" s="117"/>
      <c r="H25" s="159" t="s">
        <v>211</v>
      </c>
      <c r="I25" s="165">
        <f>+IF(J25="","",IF(J23=0,"",(J23*I23)/(J25*60)))</f>
        <v>0.90086206896551724</v>
      </c>
      <c r="J25" s="118">
        <v>58</v>
      </c>
      <c r="K25" s="104" t="s">
        <v>19</v>
      </c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173"/>
      <c r="X25" s="169">
        <v>11</v>
      </c>
      <c r="Y25" s="105">
        <f>+SUM(L25:V25)-S25/2</f>
        <v>0</v>
      </c>
      <c r="Z25" s="139"/>
      <c r="AA25" s="139"/>
      <c r="AB25" s="119">
        <f>+IFERROR(AB23/(J23*9),"")</f>
        <v>1.7355555555555555</v>
      </c>
      <c r="AC25" s="120"/>
      <c r="AD25" s="161">
        <f>+Y24+Y25/2</f>
        <v>0</v>
      </c>
      <c r="AE25" s="167">
        <f t="shared" si="1"/>
        <v>0</v>
      </c>
      <c r="AF25" s="167"/>
      <c r="AG25" s="230">
        <f>+IF((Y23-J23*9)&gt;=0,"",Y23-J23*9)</f>
        <v>-450</v>
      </c>
      <c r="AH25" s="91"/>
    </row>
    <row r="26" spans="1:55" s="98" customFormat="1" ht="65.25" customHeight="1" thickTop="1" x14ac:dyDescent="0.9">
      <c r="A26" s="124"/>
      <c r="B26" s="127">
        <f>+B27</f>
        <v>7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135"/>
      <c r="X26" s="513">
        <f>+W28</f>
        <v>-50</v>
      </c>
      <c r="Y26" s="135">
        <f t="shared" si="0"/>
        <v>0</v>
      </c>
      <c r="Z26" s="136">
        <f>+AA26+Y26</f>
        <v>5548</v>
      </c>
      <c r="AA26" s="136">
        <v>5548</v>
      </c>
      <c r="AB26" s="121"/>
      <c r="AC26" s="110"/>
      <c r="AD26" s="157"/>
      <c r="AE26" s="167">
        <f t="shared" si="1"/>
        <v>0</v>
      </c>
      <c r="AF26" s="167"/>
      <c r="AG26" s="167"/>
      <c r="AH26" s="91"/>
    </row>
    <row r="27" spans="1:55" s="98" customFormat="1" ht="62.25" customHeight="1" x14ac:dyDescent="0.9">
      <c r="A27" s="124"/>
      <c r="B27" s="132">
        <v>7</v>
      </c>
      <c r="C27" s="111" t="s">
        <v>192</v>
      </c>
      <c r="D27" s="111"/>
      <c r="E27" s="111" t="s">
        <v>110</v>
      </c>
      <c r="F27" s="111" t="s">
        <v>193</v>
      </c>
      <c r="G27" s="111">
        <v>5500</v>
      </c>
      <c r="H27" s="111" t="s">
        <v>33</v>
      </c>
      <c r="I27" s="113">
        <v>62.7</v>
      </c>
      <c r="J27" s="130">
        <v>50</v>
      </c>
      <c r="K27" s="101" t="s">
        <v>17</v>
      </c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123">
        <f>+IF(COUNTA(L27:V27)=8,Y27/(COUNTA(L27:V27)-0.5),IF(COUNTA(L27:V27)=0,0,Y27/COUNTA(L27:V27)))</f>
        <v>0</v>
      </c>
      <c r="X27" s="514"/>
      <c r="Y27" s="134">
        <f t="shared" si="0"/>
        <v>0</v>
      </c>
      <c r="Z27" s="137">
        <f>+Y27+AA27</f>
        <v>4976</v>
      </c>
      <c r="AA27" s="137">
        <v>4976</v>
      </c>
      <c r="AB27" s="140">
        <f>+Z26-Z27</f>
        <v>572</v>
      </c>
      <c r="AC27" s="131" t="str">
        <f>+IF(((Y28+(Y29/2))*60)=0,"",(I27*Y27)/((Y28+(Y29/2))*60))</f>
        <v/>
      </c>
      <c r="AD27" s="157"/>
      <c r="AE27" s="167">
        <f t="shared" si="1"/>
        <v>0</v>
      </c>
      <c r="AF27" s="167">
        <f>+Y27*I27</f>
        <v>0</v>
      </c>
      <c r="AG27" s="167"/>
      <c r="AH27" s="91"/>
    </row>
    <row r="28" spans="1:55" s="98" customFormat="1" ht="62.25" customHeight="1" x14ac:dyDescent="0.9">
      <c r="A28" s="124"/>
      <c r="B28" s="125">
        <f>+B27</f>
        <v>7</v>
      </c>
      <c r="C28" s="184"/>
      <c r="D28" s="111">
        <f>+B27</f>
        <v>7</v>
      </c>
      <c r="E28" s="111"/>
      <c r="F28" s="112" t="e">
        <f>+VLOOKUP(F27,'Obj Prix'!$H:$H,2,FALSE)</f>
        <v>#N/A</v>
      </c>
      <c r="G28" s="112"/>
      <c r="H28" s="210">
        <v>1</v>
      </c>
      <c r="I28" s="210">
        <v>3</v>
      </c>
      <c r="J28" s="114" t="s">
        <v>22</v>
      </c>
      <c r="K28" s="102" t="s">
        <v>18</v>
      </c>
      <c r="L28" s="215"/>
      <c r="M28" s="215"/>
      <c r="N28" s="215"/>
      <c r="O28" s="215"/>
      <c r="P28" s="215"/>
      <c r="Q28" s="215"/>
      <c r="R28" s="215"/>
      <c r="S28" s="215"/>
      <c r="T28" s="215"/>
      <c r="U28" s="215"/>
      <c r="V28" s="215"/>
      <c r="W28" s="160">
        <f>+W27-J27</f>
        <v>-50</v>
      </c>
      <c r="X28" s="514"/>
      <c r="Y28" s="103">
        <f>+SUM(L28:V28)-S28/2</f>
        <v>0</v>
      </c>
      <c r="Z28" s="138"/>
      <c r="AA28" s="138"/>
      <c r="AB28" s="122"/>
      <c r="AC28" s="116"/>
      <c r="AD28" s="157"/>
      <c r="AE28" s="167">
        <f t="shared" si="1"/>
        <v>0</v>
      </c>
      <c r="AF28" s="167"/>
      <c r="AG28" s="167"/>
      <c r="AH28" s="91"/>
    </row>
    <row r="29" spans="1:55" s="98" customFormat="1" ht="62.25" customHeight="1" thickBot="1" x14ac:dyDescent="0.95">
      <c r="A29" s="124"/>
      <c r="B29" s="126">
        <f>+B27</f>
        <v>7</v>
      </c>
      <c r="C29" s="174" t="s">
        <v>93</v>
      </c>
      <c r="D29" s="175">
        <f>+D28+100</f>
        <v>107</v>
      </c>
      <c r="E29" s="175"/>
      <c r="F29" s="117" t="s">
        <v>203</v>
      </c>
      <c r="G29" s="218"/>
      <c r="H29" s="146" t="s">
        <v>202</v>
      </c>
      <c r="I29" s="165">
        <f>+IF(J29="","",IF(J27=0,"",(J27*I27)/(J29*60)))</f>
        <v>0.90086206896551724</v>
      </c>
      <c r="J29" s="118">
        <v>58</v>
      </c>
      <c r="K29" s="104" t="s">
        <v>19</v>
      </c>
      <c r="L29" s="216"/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173"/>
      <c r="X29" s="169">
        <v>12.91</v>
      </c>
      <c r="Y29" s="105">
        <f>+SUM(L29:V29)-S29/2</f>
        <v>0</v>
      </c>
      <c r="Z29" s="139"/>
      <c r="AA29" s="139"/>
      <c r="AB29" s="119">
        <f>+IFERROR(AB27/(J27*9),"")</f>
        <v>1.2711111111111111</v>
      </c>
      <c r="AC29" s="120"/>
      <c r="AD29" s="161">
        <f>+Y28+Y29/2</f>
        <v>0</v>
      </c>
      <c r="AE29" s="167">
        <f t="shared" si="1"/>
        <v>0</v>
      </c>
      <c r="AF29" s="167"/>
      <c r="AG29" s="230">
        <f>+IF((Y27-J27*9)&gt;=0,"",Y27-J27*9)</f>
        <v>-450</v>
      </c>
      <c r="AH29" s="91"/>
    </row>
    <row r="30" spans="1:55" s="98" customFormat="1" ht="65.25" customHeight="1" thickTop="1" x14ac:dyDescent="0.9">
      <c r="A30" s="124"/>
      <c r="B30" s="127">
        <f>+B31</f>
        <v>7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135"/>
      <c r="X30" s="513">
        <f>+W32</f>
        <v>0</v>
      </c>
      <c r="Y30" s="135">
        <f t="shared" si="0"/>
        <v>0</v>
      </c>
      <c r="Z30" s="136">
        <f>+AA30+Y30</f>
        <v>100</v>
      </c>
      <c r="AA30" s="136">
        <v>100</v>
      </c>
      <c r="AB30" s="121"/>
      <c r="AC30" s="110"/>
      <c r="AD30" s="157"/>
      <c r="AE30" s="167">
        <f t="shared" si="1"/>
        <v>0</v>
      </c>
      <c r="AF30" s="167"/>
      <c r="AG30" s="167"/>
      <c r="AH30" s="91"/>
    </row>
    <row r="31" spans="1:55" s="98" customFormat="1" ht="62.25" customHeight="1" x14ac:dyDescent="0.9">
      <c r="A31" s="124"/>
      <c r="B31" s="132">
        <v>7</v>
      </c>
      <c r="C31" s="111" t="s">
        <v>218</v>
      </c>
      <c r="D31" s="111"/>
      <c r="E31" s="111" t="s">
        <v>219</v>
      </c>
      <c r="F31" s="111">
        <v>221404197</v>
      </c>
      <c r="G31" s="111"/>
      <c r="H31" s="111" t="s">
        <v>210</v>
      </c>
      <c r="I31" s="113"/>
      <c r="J31" s="130"/>
      <c r="K31" s="101" t="s">
        <v>17</v>
      </c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123">
        <f>+IF(COUNTA(L31:V31)=8,Y31/(COUNTA(L31:V31)-0.5),IF(COUNTA(L31:V31)=0,0,Y31/COUNTA(L31:V31)))</f>
        <v>0</v>
      </c>
      <c r="X31" s="514"/>
      <c r="Y31" s="134">
        <f t="shared" si="0"/>
        <v>0</v>
      </c>
      <c r="Z31" s="137">
        <f>+Y31+AA31</f>
        <v>0</v>
      </c>
      <c r="AA31" s="137">
        <v>0</v>
      </c>
      <c r="AB31" s="140">
        <f>+Z30-Z31</f>
        <v>100</v>
      </c>
      <c r="AC31" s="131" t="str">
        <f>+IF(((Y32+(Y33/2))*60)=0,"",(I31*Y31)/((Y32+(Y33/2))*60))</f>
        <v/>
      </c>
      <c r="AD31" s="157"/>
      <c r="AE31" s="167">
        <f t="shared" si="1"/>
        <v>0</v>
      </c>
      <c r="AF31" s="167">
        <f>+Y31*I31</f>
        <v>0</v>
      </c>
      <c r="AG31" s="167"/>
      <c r="AH31" s="91"/>
    </row>
    <row r="32" spans="1:55" s="98" customFormat="1" ht="62.25" customHeight="1" x14ac:dyDescent="0.9">
      <c r="A32" s="124"/>
      <c r="B32" s="125">
        <f>+B31</f>
        <v>7</v>
      </c>
      <c r="C32" s="184"/>
      <c r="D32" s="111">
        <f>+B31</f>
        <v>7</v>
      </c>
      <c r="E32" s="111"/>
      <c r="F32" s="112" t="e">
        <f>+VLOOKUP(F31,'Obj Prix'!$H:$H,2,FALSE)</f>
        <v>#N/A</v>
      </c>
      <c r="G32" s="112"/>
      <c r="H32" s="210"/>
      <c r="I32" s="210"/>
      <c r="J32" s="114" t="s">
        <v>22</v>
      </c>
      <c r="K32" s="102" t="s">
        <v>18</v>
      </c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160">
        <f>+W31-J31</f>
        <v>0</v>
      </c>
      <c r="X32" s="514"/>
      <c r="Y32" s="103">
        <f>+SUM(L32:V32)-S32/2</f>
        <v>0</v>
      </c>
      <c r="Z32" s="138"/>
      <c r="AA32" s="138"/>
      <c r="AB32" s="122"/>
      <c r="AC32" s="116"/>
      <c r="AD32" s="157"/>
      <c r="AE32" s="167">
        <f t="shared" si="1"/>
        <v>0</v>
      </c>
      <c r="AF32" s="167"/>
      <c r="AG32" s="167"/>
      <c r="AH32" s="91"/>
    </row>
    <row r="33" spans="1:34" s="98" customFormat="1" ht="62.25" customHeight="1" thickBot="1" x14ac:dyDescent="0.95">
      <c r="A33" s="124"/>
      <c r="B33" s="126">
        <f>+B31</f>
        <v>7</v>
      </c>
      <c r="C33" s="174" t="s">
        <v>93</v>
      </c>
      <c r="D33" s="175">
        <f>+D32+100</f>
        <v>107</v>
      </c>
      <c r="E33" s="175"/>
      <c r="F33" s="117" t="s">
        <v>203</v>
      </c>
      <c r="G33" s="218"/>
      <c r="H33" s="146" t="s">
        <v>202</v>
      </c>
      <c r="I33" s="165" t="str">
        <f>+IF(J33="","",IF(J31=0,"",(J31*I31)/(J33*60)))</f>
        <v/>
      </c>
      <c r="J33" s="118">
        <v>58</v>
      </c>
      <c r="K33" s="104" t="s">
        <v>19</v>
      </c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173"/>
      <c r="X33" s="168" t="e">
        <f>+(COUNTA(L31:V31)-(Y31/J31))</f>
        <v>#DIV/0!</v>
      </c>
      <c r="Y33" s="105">
        <f>+SUM(L33:V33)-S33/2</f>
        <v>0</v>
      </c>
      <c r="Z33" s="139"/>
      <c r="AA33" s="139"/>
      <c r="AB33" s="119" t="str">
        <f>+IFERROR(AB31/(J31*9),"")</f>
        <v/>
      </c>
      <c r="AC33" s="120"/>
      <c r="AD33" s="161">
        <f>+Y32+Y33/2</f>
        <v>0</v>
      </c>
      <c r="AE33" s="167">
        <f t="shared" si="1"/>
        <v>0</v>
      </c>
      <c r="AF33" s="167"/>
      <c r="AG33" s="230" t="str">
        <f>+IF((Y31-J31*9)&gt;=0,"",Y31-J31*9)</f>
        <v/>
      </c>
      <c r="AH33" s="91"/>
    </row>
    <row r="34" spans="1:34" ht="62.25" customHeight="1" thickTop="1" x14ac:dyDescent="0.9">
      <c r="A34" s="124"/>
      <c r="B34" s="127">
        <f>+B35</f>
        <v>8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3"/>
      <c r="M34" s="213"/>
      <c r="N34" s="213"/>
      <c r="O34" s="213"/>
      <c r="P34" s="213"/>
      <c r="Q34" s="213"/>
      <c r="R34" s="213"/>
      <c r="S34" s="213"/>
      <c r="T34" s="213"/>
      <c r="U34" s="213"/>
      <c r="V34" s="213"/>
      <c r="W34" s="135"/>
      <c r="X34" s="513">
        <f>+W36</f>
        <v>-55</v>
      </c>
      <c r="Y34" s="135">
        <f t="shared" si="0"/>
        <v>0</v>
      </c>
      <c r="Z34" s="136">
        <f>+AA34+Y34</f>
        <v>10253</v>
      </c>
      <c r="AA34" s="136">
        <v>10253</v>
      </c>
      <c r="AB34" s="109"/>
      <c r="AC34" s="110"/>
      <c r="AD34" s="157"/>
      <c r="AE34" s="167">
        <f t="shared" si="1"/>
        <v>0</v>
      </c>
      <c r="AF34" s="167"/>
      <c r="AG34" s="167"/>
    </row>
    <row r="35" spans="1:34" ht="62.25" customHeight="1" x14ac:dyDescent="0.9">
      <c r="A35" s="124"/>
      <c r="B35" s="132">
        <v>8</v>
      </c>
      <c r="C35" s="111" t="s">
        <v>183</v>
      </c>
      <c r="D35" s="111"/>
      <c r="E35" s="111" t="s">
        <v>35</v>
      </c>
      <c r="F35" s="111" t="s">
        <v>184</v>
      </c>
      <c r="G35" s="111">
        <v>7500</v>
      </c>
      <c r="H35" s="111" t="s">
        <v>33</v>
      </c>
      <c r="I35" s="113">
        <v>54.22</v>
      </c>
      <c r="J35" s="130">
        <v>55</v>
      </c>
      <c r="K35" s="101" t="s">
        <v>17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123">
        <f>+IF(COUNTA(L35:V35)=8,Y35/(COUNTA(L35:V35)-0.5),IF(COUNTA(L35:V35)=0,0,Y35/COUNTA(L35:V35)))</f>
        <v>0</v>
      </c>
      <c r="X35" s="514"/>
      <c r="Y35" s="134">
        <f t="shared" si="0"/>
        <v>0</v>
      </c>
      <c r="Z35" s="137">
        <f>+Y35+AA35</f>
        <v>9903</v>
      </c>
      <c r="AA35" s="137">
        <v>9903</v>
      </c>
      <c r="AB35" s="140">
        <f>+Z34-Z35</f>
        <v>350</v>
      </c>
      <c r="AC35" s="131" t="str">
        <f>+IF(((Y36+(Y37/2))*60)=0,"",(I35*Y35)/((Y36+(Y37/2))*60))</f>
        <v/>
      </c>
      <c r="AD35" s="157"/>
      <c r="AE35" s="167">
        <f t="shared" si="1"/>
        <v>0</v>
      </c>
      <c r="AF35" s="167">
        <f>+Y35*I35</f>
        <v>0</v>
      </c>
      <c r="AG35" s="167"/>
    </row>
    <row r="36" spans="1:34" ht="62.25" customHeight="1" x14ac:dyDescent="0.9">
      <c r="A36" s="124"/>
      <c r="B36" s="125">
        <f>+B35</f>
        <v>8</v>
      </c>
      <c r="C36" s="184"/>
      <c r="D36" s="111">
        <f>+B35</f>
        <v>8</v>
      </c>
      <c r="E36" s="111"/>
      <c r="F36" s="112" t="e">
        <f>+VLOOKUP(F35,'Obj Prix'!$H:$H,2,FALSE)</f>
        <v>#N/A</v>
      </c>
      <c r="G36" s="112"/>
      <c r="H36" s="210">
        <v>1</v>
      </c>
      <c r="I36" s="210">
        <v>2</v>
      </c>
      <c r="J36" s="114" t="s">
        <v>22</v>
      </c>
      <c r="K36" s="102" t="s">
        <v>18</v>
      </c>
      <c r="L36" s="215"/>
      <c r="M36" s="215"/>
      <c r="N36" s="215"/>
      <c r="O36" s="215"/>
      <c r="P36" s="215"/>
      <c r="Q36" s="215"/>
      <c r="R36" s="215"/>
      <c r="S36" s="215"/>
      <c r="T36" s="215"/>
      <c r="U36" s="215"/>
      <c r="V36" s="215"/>
      <c r="W36" s="160">
        <f>+W35-J35</f>
        <v>-55</v>
      </c>
      <c r="X36" s="514"/>
      <c r="Y36" s="103">
        <f>+SUM(L36:V36)-S36/2</f>
        <v>0</v>
      </c>
      <c r="Z36" s="138"/>
      <c r="AA36" s="138"/>
      <c r="AB36" s="115"/>
      <c r="AC36" s="116"/>
      <c r="AD36" s="157"/>
      <c r="AE36" s="167">
        <f t="shared" si="1"/>
        <v>0</v>
      </c>
      <c r="AF36" s="167"/>
      <c r="AG36" s="167"/>
    </row>
    <row r="37" spans="1:34" s="98" customFormat="1" ht="62.25" customHeight="1" thickBot="1" x14ac:dyDescent="0.95">
      <c r="A37" s="124"/>
      <c r="B37" s="126">
        <f>+B35</f>
        <v>8</v>
      </c>
      <c r="C37" s="174" t="s">
        <v>130</v>
      </c>
      <c r="D37" s="175">
        <f>+D36+100</f>
        <v>108</v>
      </c>
      <c r="E37" s="175"/>
      <c r="F37" s="117" t="s">
        <v>94</v>
      </c>
      <c r="G37" s="117"/>
      <c r="H37" s="146"/>
      <c r="I37" s="165">
        <f>+IF(J37="","",IF(J35=0,"",(J35*I35)/(J37*60)))</f>
        <v>0.90366666666666662</v>
      </c>
      <c r="J37" s="118">
        <v>55</v>
      </c>
      <c r="K37" s="104" t="s">
        <v>19</v>
      </c>
      <c r="L37" s="216"/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173"/>
      <c r="X37" s="169">
        <v>8.09</v>
      </c>
      <c r="Y37" s="105">
        <f>+SUM(L37:V37)-S37/2</f>
        <v>0</v>
      </c>
      <c r="Z37" s="139"/>
      <c r="AA37" s="139"/>
      <c r="AB37" s="119">
        <f>+IFERROR(AB35/(J35*9),"")</f>
        <v>0.70707070707070707</v>
      </c>
      <c r="AC37" s="120"/>
      <c r="AD37" s="161">
        <f>+Y36+Y37/2</f>
        <v>0</v>
      </c>
      <c r="AE37" s="167">
        <f t="shared" si="1"/>
        <v>0</v>
      </c>
      <c r="AF37" s="167"/>
      <c r="AG37" s="230">
        <f>+IF((Y35-J35*9)&gt;=0,"",Y35-J35*9)</f>
        <v>-495</v>
      </c>
      <c r="AH37" s="91"/>
    </row>
    <row r="38" spans="1:34" s="98" customFormat="1" ht="62.25" customHeight="1" thickTop="1" x14ac:dyDescent="0.9">
      <c r="A38" s="124"/>
      <c r="B38" s="127">
        <f>+B39</f>
        <v>9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135"/>
      <c r="X38" s="513">
        <f>+W40</f>
        <v>-53</v>
      </c>
      <c r="Y38" s="135">
        <f t="shared" si="0"/>
        <v>0</v>
      </c>
      <c r="Z38" s="136">
        <f>+AA38+Y38</f>
        <v>4621</v>
      </c>
      <c r="AA38" s="136">
        <v>4621</v>
      </c>
      <c r="AB38" s="109"/>
      <c r="AC38" s="110"/>
      <c r="AD38" s="157"/>
      <c r="AE38" s="167">
        <f t="shared" si="1"/>
        <v>0</v>
      </c>
      <c r="AF38" s="167"/>
      <c r="AG38" s="167"/>
      <c r="AH38" s="91"/>
    </row>
    <row r="39" spans="1:34" s="98" customFormat="1" ht="62.25" customHeight="1" x14ac:dyDescent="0.9">
      <c r="A39" s="124"/>
      <c r="B39" s="132">
        <v>9</v>
      </c>
      <c r="C39" s="111" t="s">
        <v>195</v>
      </c>
      <c r="D39" s="111"/>
      <c r="E39" s="111" t="s">
        <v>35</v>
      </c>
      <c r="F39" s="111" t="s">
        <v>196</v>
      </c>
      <c r="G39" s="111">
        <v>5038</v>
      </c>
      <c r="H39" s="111" t="s">
        <v>33</v>
      </c>
      <c r="I39" s="113">
        <v>61.42</v>
      </c>
      <c r="J39" s="130">
        <v>53</v>
      </c>
      <c r="K39" s="101" t="s">
        <v>17</v>
      </c>
      <c r="L39" s="214"/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123">
        <f>+IF(COUNTA(L39:V39)=8,Y39/(COUNTA(L39:V39)-0.5),IF(COUNTA(L39:V39)=0,0,Y39/COUNTA(L39:V39)))</f>
        <v>0</v>
      </c>
      <c r="X39" s="514"/>
      <c r="Y39" s="134">
        <f t="shared" si="0"/>
        <v>0</v>
      </c>
      <c r="Z39" s="137">
        <f>+Y39+AA39</f>
        <v>3611</v>
      </c>
      <c r="AA39" s="137">
        <v>3611</v>
      </c>
      <c r="AB39" s="140">
        <f>+Z38-Z39</f>
        <v>1010</v>
      </c>
      <c r="AC39" s="131" t="str">
        <f>+IF(((Y40+(Y41/2))*60)=0,"",(I39*Y39)/((Y40+(Y41/2))*60))</f>
        <v/>
      </c>
      <c r="AD39" s="157"/>
      <c r="AE39" s="167">
        <f t="shared" si="1"/>
        <v>0</v>
      </c>
      <c r="AF39" s="167">
        <f>+Y39*I39</f>
        <v>0</v>
      </c>
      <c r="AG39" s="167"/>
      <c r="AH39" s="91"/>
    </row>
    <row r="40" spans="1:34" ht="62.25" customHeight="1" x14ac:dyDescent="0.9">
      <c r="A40" s="124"/>
      <c r="B40" s="182">
        <f>+B39</f>
        <v>9</v>
      </c>
      <c r="C40" s="185"/>
      <c r="D40" s="111"/>
      <c r="E40" s="185"/>
      <c r="F40" s="112" t="e">
        <f>+VLOOKUP(F39,'Obj Prix'!$H:$H,2,FALSE)</f>
        <v>#N/A</v>
      </c>
      <c r="G40" s="112"/>
      <c r="H40" s="210">
        <v>1</v>
      </c>
      <c r="I40" s="210">
        <v>2</v>
      </c>
      <c r="J40" s="114" t="s">
        <v>22</v>
      </c>
      <c r="K40" s="102" t="s">
        <v>18</v>
      </c>
      <c r="L40" s="215"/>
      <c r="M40" s="215"/>
      <c r="N40" s="215"/>
      <c r="O40" s="215"/>
      <c r="P40" s="215"/>
      <c r="Q40" s="215"/>
      <c r="R40" s="215"/>
      <c r="S40" s="215"/>
      <c r="T40" s="215"/>
      <c r="U40" s="215"/>
      <c r="V40" s="215"/>
      <c r="W40" s="160">
        <f>+W39-J39</f>
        <v>-53</v>
      </c>
      <c r="X40" s="514"/>
      <c r="Y40" s="103">
        <f>+SUM(L40:V40)-S40/2</f>
        <v>0</v>
      </c>
      <c r="Z40" s="138"/>
      <c r="AA40" s="138"/>
      <c r="AB40" s="115"/>
      <c r="AC40" s="116"/>
      <c r="AD40" s="157"/>
      <c r="AE40" s="167">
        <f t="shared" si="1"/>
        <v>0</v>
      </c>
      <c r="AF40" s="180"/>
      <c r="AG40" s="167"/>
    </row>
    <row r="41" spans="1:34" s="98" customFormat="1" ht="62.25" customHeight="1" thickBot="1" x14ac:dyDescent="0.95">
      <c r="A41" s="124"/>
      <c r="B41" s="129">
        <f>+B39</f>
        <v>9</v>
      </c>
      <c r="C41" s="174" t="s">
        <v>112</v>
      </c>
      <c r="D41" s="175">
        <f>+D40+100</f>
        <v>100</v>
      </c>
      <c r="E41" s="175"/>
      <c r="F41" s="117" t="s">
        <v>111</v>
      </c>
      <c r="G41" s="117"/>
      <c r="H41" s="146" t="s">
        <v>201</v>
      </c>
      <c r="I41" s="165">
        <f>+IF(J41="","",IF(J39=0,"",(J39*I39)/(J41*60)))</f>
        <v>0.9195649717514125</v>
      </c>
      <c r="J41" s="118">
        <v>59</v>
      </c>
      <c r="K41" s="104" t="s">
        <v>19</v>
      </c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173"/>
      <c r="X41" s="169">
        <v>14.11</v>
      </c>
      <c r="Y41" s="105">
        <f>+SUM(L41:V41)-S41/2</f>
        <v>0</v>
      </c>
      <c r="Z41" s="139"/>
      <c r="AA41" s="139"/>
      <c r="AB41" s="119">
        <f>+IFERROR(AB39/(J39*9),"")</f>
        <v>2.1174004192872116</v>
      </c>
      <c r="AC41" s="120"/>
      <c r="AD41" s="161">
        <f>+Y40+Y41/2</f>
        <v>0</v>
      </c>
      <c r="AE41" s="167">
        <f t="shared" si="1"/>
        <v>0</v>
      </c>
      <c r="AF41" s="167"/>
      <c r="AG41" s="230">
        <f>+IF((Y39-J39*9)&gt;=0,"",Y39-J39*9)</f>
        <v>-477</v>
      </c>
      <c r="AH41" s="91"/>
    </row>
    <row r="42" spans="1:34" ht="62.25" customHeight="1" thickTop="1" x14ac:dyDescent="0.9">
      <c r="A42" s="124"/>
      <c r="B42" s="127">
        <f>+B43</f>
        <v>11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135"/>
      <c r="X42" s="513">
        <f>+W44</f>
        <v>-54</v>
      </c>
      <c r="Y42" s="135">
        <f t="shared" si="0"/>
        <v>0</v>
      </c>
      <c r="Z42" s="136">
        <f>+AA42+Y42</f>
        <v>8085</v>
      </c>
      <c r="AA42" s="136">
        <v>8085</v>
      </c>
      <c r="AB42" s="109"/>
      <c r="AC42" s="110"/>
      <c r="AD42" s="157"/>
      <c r="AE42" s="167">
        <f t="shared" si="1"/>
        <v>0</v>
      </c>
      <c r="AF42" s="167"/>
      <c r="AG42" s="167"/>
    </row>
    <row r="43" spans="1:34" ht="62.25" customHeight="1" x14ac:dyDescent="0.9">
      <c r="A43" s="124"/>
      <c r="B43" s="132">
        <v>11</v>
      </c>
      <c r="C43" s="111" t="s">
        <v>187</v>
      </c>
      <c r="D43" s="111"/>
      <c r="E43" s="111" t="s">
        <v>35</v>
      </c>
      <c r="F43" s="111" t="s">
        <v>188</v>
      </c>
      <c r="G43" s="111">
        <v>7500</v>
      </c>
      <c r="H43" s="111" t="s">
        <v>33</v>
      </c>
      <c r="I43" s="113">
        <v>56.15</v>
      </c>
      <c r="J43" s="130">
        <v>54</v>
      </c>
      <c r="K43" s="101" t="s">
        <v>17</v>
      </c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123">
        <f>+IF(COUNTA(L43:V43)=8,Y43/(COUNTA(L43:V43)-0.5),IF(COUNTA(L43:V43)=0,0,Y43/COUNTA(L43:V43)))</f>
        <v>0</v>
      </c>
      <c r="X43" s="514"/>
      <c r="Y43" s="134">
        <f t="shared" si="0"/>
        <v>0</v>
      </c>
      <c r="Z43" s="137">
        <f>+Y43+AA43</f>
        <v>8080</v>
      </c>
      <c r="AA43" s="137">
        <v>8080</v>
      </c>
      <c r="AB43" s="140">
        <f>+Z42-Z43</f>
        <v>5</v>
      </c>
      <c r="AC43" s="131" t="str">
        <f>+IF(((Y44+(Y45/2))*60)=0,"",(I43*Y43)/((Y44+(Y45/2))*60))</f>
        <v/>
      </c>
      <c r="AD43" s="157"/>
      <c r="AE43" s="167">
        <f t="shared" si="1"/>
        <v>0</v>
      </c>
      <c r="AF43" s="167">
        <f>+Y43*I43</f>
        <v>0</v>
      </c>
      <c r="AG43" s="167"/>
    </row>
    <row r="44" spans="1:34" ht="62.25" customHeight="1" x14ac:dyDescent="0.9">
      <c r="A44" s="124"/>
      <c r="B44" s="125">
        <f>+B43</f>
        <v>11</v>
      </c>
      <c r="C44" s="184"/>
      <c r="D44" s="111"/>
      <c r="E44" s="111"/>
      <c r="F44" s="112" t="e">
        <f>+VLOOKUP(F43,'Obj Prix'!$H:$H,2,FALSE)</f>
        <v>#N/A</v>
      </c>
      <c r="G44" s="112"/>
      <c r="H44" s="210"/>
      <c r="I44" s="210">
        <v>3</v>
      </c>
      <c r="J44" s="114" t="s">
        <v>22</v>
      </c>
      <c r="K44" s="102" t="s">
        <v>18</v>
      </c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160">
        <f>+W43-J43</f>
        <v>-54</v>
      </c>
      <c r="X44" s="514"/>
      <c r="Y44" s="103">
        <f>+SUM(L44:V44)-S44/2</f>
        <v>0</v>
      </c>
      <c r="Z44" s="138"/>
      <c r="AA44" s="138"/>
      <c r="AB44" s="115"/>
      <c r="AC44" s="116"/>
      <c r="AD44" s="157"/>
      <c r="AE44" s="167">
        <f t="shared" si="1"/>
        <v>0</v>
      </c>
      <c r="AF44" s="167"/>
      <c r="AG44" s="167"/>
    </row>
    <row r="45" spans="1:34" s="98" customFormat="1" ht="62.25" customHeight="1" thickBot="1" x14ac:dyDescent="0.95">
      <c r="A45" s="124"/>
      <c r="B45" s="126">
        <f>+B43</f>
        <v>11</v>
      </c>
      <c r="C45" s="174" t="s">
        <v>175</v>
      </c>
      <c r="D45" s="175">
        <f>+D44+100</f>
        <v>100</v>
      </c>
      <c r="E45" s="175"/>
      <c r="F45" s="117" t="s">
        <v>94</v>
      </c>
      <c r="G45" s="117"/>
      <c r="H45" s="159" t="s">
        <v>190</v>
      </c>
      <c r="I45" s="165">
        <f>+IF(J45="","",IF(J43=0,"",(J43*I43)/(J45*60)))</f>
        <v>0.85652542372881357</v>
      </c>
      <c r="J45" s="118">
        <v>59</v>
      </c>
      <c r="K45" s="104" t="s">
        <v>19</v>
      </c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173"/>
      <c r="X45" s="169">
        <v>19.38</v>
      </c>
      <c r="Y45" s="105">
        <f>+SUM(L45:V45)-S45/2</f>
        <v>0</v>
      </c>
      <c r="Z45" s="139"/>
      <c r="AA45" s="139"/>
      <c r="AB45" s="119">
        <f>+IFERROR(AB43/(J43*9),"")</f>
        <v>1.0288065843621399E-2</v>
      </c>
      <c r="AC45" s="120"/>
      <c r="AD45" s="161">
        <f>+Y44+Y45/2</f>
        <v>0</v>
      </c>
      <c r="AE45" s="167">
        <f t="shared" si="1"/>
        <v>0</v>
      </c>
      <c r="AF45" s="167"/>
      <c r="AG45" s="230">
        <f>+IF((Y43-J43*9)&gt;=0,"",Y43-J43*9)</f>
        <v>-486</v>
      </c>
      <c r="AH45" s="91"/>
    </row>
    <row r="46" spans="1:34" ht="62.25" customHeight="1" thickTop="1" x14ac:dyDescent="0.9">
      <c r="A46" s="124"/>
      <c r="B46" s="127">
        <f>+B47</f>
        <v>11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135"/>
      <c r="X46" s="513">
        <f>+W48</f>
        <v>-107</v>
      </c>
      <c r="Y46" s="135">
        <f t="shared" si="0"/>
        <v>0</v>
      </c>
      <c r="Z46" s="136">
        <f>+AA46+Y46</f>
        <v>752</v>
      </c>
      <c r="AA46" s="136">
        <v>752</v>
      </c>
      <c r="AB46" s="109"/>
      <c r="AC46" s="110"/>
      <c r="AD46" s="157"/>
      <c r="AE46" s="167">
        <f t="shared" si="1"/>
        <v>0</v>
      </c>
      <c r="AF46" s="167"/>
      <c r="AG46" s="167"/>
    </row>
    <row r="47" spans="1:34" ht="62.25" customHeight="1" x14ac:dyDescent="0.9">
      <c r="A47" s="124"/>
      <c r="B47" s="132">
        <v>11</v>
      </c>
      <c r="C47" s="111" t="s">
        <v>216</v>
      </c>
      <c r="D47" s="111"/>
      <c r="E47" s="111" t="s">
        <v>35</v>
      </c>
      <c r="F47" s="111" t="s">
        <v>215</v>
      </c>
      <c r="G47" s="111">
        <v>6666</v>
      </c>
      <c r="H47" s="111" t="s">
        <v>217</v>
      </c>
      <c r="I47" s="113">
        <v>27.28</v>
      </c>
      <c r="J47" s="130">
        <v>107</v>
      </c>
      <c r="K47" s="101" t="s">
        <v>17</v>
      </c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123">
        <f>+IF(COUNTA(L47:V47)=8,Y47/(COUNTA(L47:V47)-0.5),IF(COUNTA(L47:V47)=0,0,Y47/COUNTA(L47:V47)))</f>
        <v>0</v>
      </c>
      <c r="X47" s="514"/>
      <c r="Y47" s="134">
        <f t="shared" si="0"/>
        <v>0</v>
      </c>
      <c r="Z47" s="137">
        <f>+Y47+AA47</f>
        <v>0</v>
      </c>
      <c r="AA47" s="137">
        <v>0</v>
      </c>
      <c r="AB47" s="140">
        <f>+Z46-Z47</f>
        <v>752</v>
      </c>
      <c r="AC47" s="131" t="str">
        <f>+IF(((Y48+(Y49/2))*60)=0,"",(I47*Y47)/((Y48+(Y49/2))*60))</f>
        <v/>
      </c>
      <c r="AD47" s="157"/>
      <c r="AE47" s="167">
        <f t="shared" si="1"/>
        <v>0</v>
      </c>
      <c r="AF47" s="167">
        <f>+Y47*I47</f>
        <v>0</v>
      </c>
      <c r="AG47" s="167"/>
    </row>
    <row r="48" spans="1:34" ht="62.25" customHeight="1" x14ac:dyDescent="0.9">
      <c r="A48" s="124"/>
      <c r="B48" s="125">
        <f>+B47</f>
        <v>11</v>
      </c>
      <c r="C48" s="184"/>
      <c r="D48" s="111"/>
      <c r="E48" s="111"/>
      <c r="F48" s="112" t="e">
        <f>+VLOOKUP(F47,'Obj Prix'!$H:$H,2,FALSE)</f>
        <v>#N/A</v>
      </c>
      <c r="G48" s="112"/>
      <c r="H48" s="210"/>
      <c r="I48" s="210"/>
      <c r="J48" s="114" t="s">
        <v>22</v>
      </c>
      <c r="K48" s="102" t="s">
        <v>18</v>
      </c>
      <c r="L48" s="215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160">
        <f>+W47-J47</f>
        <v>-107</v>
      </c>
      <c r="X48" s="514"/>
      <c r="Y48" s="103">
        <f>+SUM(L48:V48)-S48/2</f>
        <v>0</v>
      </c>
      <c r="Z48" s="138"/>
      <c r="AA48" s="138"/>
      <c r="AB48" s="115"/>
      <c r="AC48" s="116"/>
      <c r="AD48" s="157"/>
      <c r="AE48" s="167">
        <f t="shared" si="1"/>
        <v>0</v>
      </c>
      <c r="AF48" s="167"/>
      <c r="AG48" s="167"/>
    </row>
    <row r="49" spans="1:34" s="98" customFormat="1" ht="62.25" customHeight="1" thickBot="1" x14ac:dyDescent="0.95">
      <c r="A49" s="124"/>
      <c r="B49" s="126">
        <f>+B47</f>
        <v>11</v>
      </c>
      <c r="C49" s="174" t="s">
        <v>175</v>
      </c>
      <c r="D49" s="175">
        <f>+D48+100</f>
        <v>100</v>
      </c>
      <c r="E49" s="175"/>
      <c r="F49" s="117" t="s">
        <v>94</v>
      </c>
      <c r="G49" s="117"/>
      <c r="H49" s="159"/>
      <c r="I49" s="165">
        <f>+IF(J49="","",IF(J47=0,"",(J47*I47)/(J49*60)))</f>
        <v>0.85349707602339187</v>
      </c>
      <c r="J49" s="118">
        <v>57</v>
      </c>
      <c r="K49" s="104" t="s">
        <v>19</v>
      </c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173"/>
      <c r="X49" s="168">
        <f>6+(COUNTA(L47:V47)-(Y47/J47))</f>
        <v>6</v>
      </c>
      <c r="Y49" s="105">
        <f>+SUM(L49:V49)-S49/2</f>
        <v>0</v>
      </c>
      <c r="Z49" s="139"/>
      <c r="AA49" s="139"/>
      <c r="AB49" s="119">
        <f>+IFERROR(AB47/(J47*9),"")</f>
        <v>0.78089304257528558</v>
      </c>
      <c r="AC49" s="120"/>
      <c r="AD49" s="161">
        <f>+Y48+Y49/2</f>
        <v>0</v>
      </c>
      <c r="AE49" s="167">
        <f t="shared" si="1"/>
        <v>0</v>
      </c>
      <c r="AF49" s="167"/>
      <c r="AG49" s="230">
        <f>+IF((Y47-J47*9)&gt;=0,"",Y47-J47*9)</f>
        <v>-963</v>
      </c>
      <c r="AH49" s="91"/>
    </row>
    <row r="50" spans="1:34" ht="62.25" customHeight="1" thickTop="1" x14ac:dyDescent="0.9">
      <c r="A50" s="124"/>
      <c r="B50" s="127">
        <f>+B51</f>
        <v>12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135"/>
      <c r="X50" s="513">
        <f>+W52</f>
        <v>-107</v>
      </c>
      <c r="Y50" s="135">
        <f t="shared" si="0"/>
        <v>0</v>
      </c>
      <c r="Z50" s="136">
        <f>+AA50+Y50</f>
        <v>6820</v>
      </c>
      <c r="AA50" s="136">
        <v>6820</v>
      </c>
      <c r="AB50" s="121"/>
      <c r="AC50" s="110"/>
      <c r="AD50" s="157"/>
      <c r="AE50" s="167">
        <f t="shared" si="1"/>
        <v>0</v>
      </c>
      <c r="AF50" s="167"/>
      <c r="AG50" s="167"/>
    </row>
    <row r="51" spans="1:34" ht="62.25" customHeight="1" x14ac:dyDescent="0.9">
      <c r="A51" s="124"/>
      <c r="B51" s="132">
        <v>12</v>
      </c>
      <c r="C51" s="111" t="s">
        <v>198</v>
      </c>
      <c r="D51" s="111"/>
      <c r="E51" s="111" t="s">
        <v>35</v>
      </c>
      <c r="F51" s="111" t="s">
        <v>204</v>
      </c>
      <c r="G51" s="111"/>
      <c r="H51" s="111" t="s">
        <v>199</v>
      </c>
      <c r="I51" s="113">
        <v>27.28</v>
      </c>
      <c r="J51" s="130">
        <v>107</v>
      </c>
      <c r="K51" s="101" t="s">
        <v>17</v>
      </c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123">
        <f>+IF(COUNTA(L51:V51)=8,Y51/(COUNTA(L51:V51)-0.5),IF(COUNTA(L51:V51)=0,0,Y51/COUNTA(L51:V51)))</f>
        <v>0</v>
      </c>
      <c r="X51" s="514"/>
      <c r="Y51" s="134">
        <f t="shared" si="0"/>
        <v>0</v>
      </c>
      <c r="Z51" s="137">
        <f>+Y51+AA51</f>
        <v>5183</v>
      </c>
      <c r="AA51" s="137">
        <v>5183</v>
      </c>
      <c r="AB51" s="140">
        <f>+Z50-Z51</f>
        <v>1637</v>
      </c>
      <c r="AC51" s="131">
        <f>+IF(((Y52+(Y53/2))*60)=0,"",(I51*Y51)/((Y52+(Y53/2))*60))</f>
        <v>0</v>
      </c>
      <c r="AD51" s="157"/>
      <c r="AE51" s="167">
        <f t="shared" si="1"/>
        <v>0</v>
      </c>
      <c r="AF51" s="167">
        <f>+Y51*I51</f>
        <v>0</v>
      </c>
      <c r="AG51" s="167"/>
    </row>
    <row r="52" spans="1:34" ht="62.25" customHeight="1" x14ac:dyDescent="0.9">
      <c r="A52" s="124"/>
      <c r="B52" s="125">
        <f>+B51</f>
        <v>12</v>
      </c>
      <c r="C52" s="184"/>
      <c r="D52" s="111">
        <f>+B51</f>
        <v>12</v>
      </c>
      <c r="E52" s="111"/>
      <c r="F52" s="112" t="e">
        <f>+VLOOKUP(F51,'Obj Prix'!$H:$H,2,FALSE)</f>
        <v>#N/A</v>
      </c>
      <c r="G52" s="112"/>
      <c r="H52" s="210"/>
      <c r="I52" s="113"/>
      <c r="J52" s="114" t="s">
        <v>22</v>
      </c>
      <c r="K52" s="102" t="s">
        <v>18</v>
      </c>
      <c r="L52" s="215">
        <v>5</v>
      </c>
      <c r="M52" s="215">
        <v>5</v>
      </c>
      <c r="N52" s="215">
        <v>5</v>
      </c>
      <c r="O52" s="215">
        <v>5</v>
      </c>
      <c r="P52" s="215">
        <v>5</v>
      </c>
      <c r="Q52" s="215">
        <v>5</v>
      </c>
      <c r="R52" s="215">
        <v>5</v>
      </c>
      <c r="S52" s="215">
        <v>5</v>
      </c>
      <c r="T52" s="215"/>
      <c r="U52" s="215"/>
      <c r="V52" s="215"/>
      <c r="W52" s="160">
        <f>+W51-J51</f>
        <v>-107</v>
      </c>
      <c r="X52" s="514"/>
      <c r="Y52" s="103">
        <f>+SUM(L52:V52)-S52/2</f>
        <v>37.5</v>
      </c>
      <c r="Z52" s="138"/>
      <c r="AA52" s="138"/>
      <c r="AB52" s="122"/>
      <c r="AC52" s="116"/>
      <c r="AD52" s="157"/>
      <c r="AE52" s="167">
        <f t="shared" si="1"/>
        <v>0</v>
      </c>
      <c r="AF52" s="167"/>
      <c r="AG52" s="167"/>
    </row>
    <row r="53" spans="1:34" ht="69" customHeight="1" thickBot="1" x14ac:dyDescent="0.95">
      <c r="A53" s="124"/>
      <c r="B53" s="126">
        <f>+B51</f>
        <v>12</v>
      </c>
      <c r="C53" s="174" t="s">
        <v>214</v>
      </c>
      <c r="D53" s="175">
        <f>+D52+100</f>
        <v>112</v>
      </c>
      <c r="E53" s="175"/>
      <c r="F53" s="117" t="s">
        <v>94</v>
      </c>
      <c r="G53" s="117"/>
      <c r="H53" s="159" t="s">
        <v>213</v>
      </c>
      <c r="I53" s="165">
        <f>+IF(J53="","",IF(J51=0,"",(J51*I51)/(J53*60)))</f>
        <v>0.85349707602339187</v>
      </c>
      <c r="J53" s="118">
        <v>57</v>
      </c>
      <c r="K53" s="104" t="s">
        <v>19</v>
      </c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173"/>
      <c r="X53" s="169">
        <v>29.25</v>
      </c>
      <c r="Y53" s="105">
        <f>+SUM(L53:V53)-S53/2</f>
        <v>0</v>
      </c>
      <c r="Z53" s="139"/>
      <c r="AA53" s="139"/>
      <c r="AB53" s="119">
        <f>+IFERROR(AB51/(J51*9),"")</f>
        <v>1.6998961578400831</v>
      </c>
      <c r="AC53" s="162"/>
      <c r="AD53" s="161">
        <f>+Y52+Y53/2</f>
        <v>37.5</v>
      </c>
      <c r="AE53" s="167">
        <f t="shared" si="1"/>
        <v>2250</v>
      </c>
      <c r="AF53" s="167"/>
      <c r="AG53" s="230">
        <f>+IF((Y51-J51*9)&gt;=0,"",Y51-J51*9)</f>
        <v>-963</v>
      </c>
    </row>
    <row r="54" spans="1:34" ht="62.25" customHeight="1" thickTop="1" x14ac:dyDescent="0.9">
      <c r="A54" s="124"/>
      <c r="B54" s="127">
        <f>+B55</f>
        <v>13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135"/>
      <c r="X54" s="513">
        <f>+W56</f>
        <v>-77.933333333333337</v>
      </c>
      <c r="Y54" s="135">
        <f t="shared" si="0"/>
        <v>0</v>
      </c>
      <c r="Z54" s="136">
        <f>+AA54+Y54</f>
        <v>3418</v>
      </c>
      <c r="AA54" s="136">
        <v>3418</v>
      </c>
      <c r="AB54" s="109"/>
      <c r="AC54" s="110"/>
      <c r="AD54" s="157"/>
      <c r="AE54" s="167">
        <f t="shared" si="1"/>
        <v>0</v>
      </c>
      <c r="AF54" s="167"/>
      <c r="AG54" s="167"/>
    </row>
    <row r="55" spans="1:34" ht="62.25" customHeight="1" x14ac:dyDescent="0.9">
      <c r="A55" s="124"/>
      <c r="B55" s="132">
        <v>13</v>
      </c>
      <c r="C55" s="111" t="s">
        <v>205</v>
      </c>
      <c r="D55" s="111"/>
      <c r="E55" s="111" t="s">
        <v>35</v>
      </c>
      <c r="F55" s="111" t="s">
        <v>206</v>
      </c>
      <c r="G55" s="111"/>
      <c r="H55" s="111" t="s">
        <v>207</v>
      </c>
      <c r="I55" s="113">
        <v>26.81</v>
      </c>
      <c r="J55" s="130">
        <v>103</v>
      </c>
      <c r="K55" s="101" t="s">
        <v>17</v>
      </c>
      <c r="L55" s="214">
        <v>25</v>
      </c>
      <c r="M55" s="214">
        <v>25</v>
      </c>
      <c r="N55" s="214">
        <v>25</v>
      </c>
      <c r="O55" s="214">
        <v>25</v>
      </c>
      <c r="P55" s="214">
        <v>25</v>
      </c>
      <c r="Q55" s="214">
        <v>25</v>
      </c>
      <c r="R55" s="214">
        <v>25</v>
      </c>
      <c r="S55" s="214">
        <v>13</v>
      </c>
      <c r="T55" s="214"/>
      <c r="U55" s="214"/>
      <c r="V55" s="214"/>
      <c r="W55" s="123">
        <f>+IF(COUNTA(L55:V55)=8,Y55/(COUNTA(L55:V55)-0.5),IF(COUNTA(L55:V55)=0,0,Y55/COUNTA(L55:V55)))</f>
        <v>25.066666666666666</v>
      </c>
      <c r="X55" s="514"/>
      <c r="Y55" s="134">
        <f t="shared" si="0"/>
        <v>188</v>
      </c>
      <c r="Z55" s="137">
        <f>+Y55+AA55</f>
        <v>1539</v>
      </c>
      <c r="AA55" s="137">
        <v>1351</v>
      </c>
      <c r="AB55" s="140">
        <f>+Z54-Z55</f>
        <v>1879</v>
      </c>
      <c r="AC55" s="131">
        <f>+IF(((Y56+(Y57/2))*60)=0,"",(I55*Y55)/((Y56+(Y57/2))*60))</f>
        <v>1.6000888888888889</v>
      </c>
      <c r="AD55" s="157"/>
      <c r="AE55" s="167">
        <f t="shared" si="1"/>
        <v>0</v>
      </c>
      <c r="AF55" s="167">
        <f>+Y55*I55</f>
        <v>5040.28</v>
      </c>
      <c r="AG55" s="167"/>
    </row>
    <row r="56" spans="1:34" ht="62.25" customHeight="1" x14ac:dyDescent="0.9">
      <c r="A56" s="124"/>
      <c r="B56" s="125">
        <f>+B55</f>
        <v>13</v>
      </c>
      <c r="C56" s="184"/>
      <c r="D56" s="111"/>
      <c r="E56" s="111"/>
      <c r="F56" s="112" t="e">
        <f>+VLOOKUP(F55,'Obj Prix'!$H:$H,2,FALSE)</f>
        <v>#N/A</v>
      </c>
      <c r="G56" s="112"/>
      <c r="H56" s="210"/>
      <c r="I56" s="210">
        <v>2</v>
      </c>
      <c r="J56" s="114" t="s">
        <v>22</v>
      </c>
      <c r="K56" s="102" t="s">
        <v>18</v>
      </c>
      <c r="L56" s="215">
        <v>7</v>
      </c>
      <c r="M56" s="215">
        <v>7</v>
      </c>
      <c r="N56" s="215">
        <v>7</v>
      </c>
      <c r="O56" s="215">
        <v>7</v>
      </c>
      <c r="P56" s="215">
        <v>7</v>
      </c>
      <c r="Q56" s="215">
        <v>7</v>
      </c>
      <c r="R56" s="215">
        <v>7</v>
      </c>
      <c r="S56" s="215">
        <v>7</v>
      </c>
      <c r="T56" s="215"/>
      <c r="U56" s="215"/>
      <c r="V56" s="215"/>
      <c r="W56" s="160">
        <f>+W55-J55</f>
        <v>-77.933333333333337</v>
      </c>
      <c r="X56" s="514"/>
      <c r="Y56" s="103">
        <f>+SUM(L56:V56)-S56/2</f>
        <v>52.5</v>
      </c>
      <c r="Z56" s="138"/>
      <c r="AA56" s="138"/>
      <c r="AB56" s="115"/>
      <c r="AC56" s="116"/>
      <c r="AD56" s="157"/>
      <c r="AE56" s="167">
        <f t="shared" si="1"/>
        <v>0</v>
      </c>
      <c r="AF56" s="167"/>
      <c r="AG56" s="167"/>
    </row>
    <row r="57" spans="1:34" ht="62.25" customHeight="1" thickBot="1" x14ac:dyDescent="0.95">
      <c r="A57" s="124"/>
      <c r="B57" s="126">
        <f>+B55</f>
        <v>13</v>
      </c>
      <c r="C57" s="174" t="s">
        <v>76</v>
      </c>
      <c r="D57" s="175">
        <f>+D56+100</f>
        <v>100</v>
      </c>
      <c r="E57" s="175"/>
      <c r="F57" s="117" t="s">
        <v>111</v>
      </c>
      <c r="G57" s="218"/>
      <c r="H57" s="159" t="s">
        <v>213</v>
      </c>
      <c r="I57" s="165">
        <f>+IF(J57="","",IF(J55=0,"",(J55*I55)/(J57*60)))</f>
        <v>0.83679696969696959</v>
      </c>
      <c r="J57" s="118">
        <v>55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173"/>
      <c r="X57" s="168">
        <f>17.14+(COUNTA(L55:V55)-(Y55/J55))</f>
        <v>23.314757281553398</v>
      </c>
      <c r="Y57" s="105">
        <f>+SUM(L57:V57)-S57/2</f>
        <v>0</v>
      </c>
      <c r="Z57" s="139"/>
      <c r="AA57" s="139"/>
      <c r="AB57" s="119">
        <f>+IFERROR(AB55/(J55*9),"")</f>
        <v>2.0269687162891046</v>
      </c>
      <c r="AC57" s="120"/>
      <c r="AD57" s="161">
        <f>+Y56+Y57/2</f>
        <v>52.5</v>
      </c>
      <c r="AE57" s="167">
        <f t="shared" si="1"/>
        <v>3150</v>
      </c>
      <c r="AF57" s="167"/>
      <c r="AG57" s="230">
        <f>+IF((Y55-J55*9)&gt;=0,"",Y55-J55*9)</f>
        <v>-739</v>
      </c>
    </row>
    <row r="58" spans="1:34" s="98" customFormat="1" ht="62.25" customHeight="1" thickTop="1" x14ac:dyDescent="0.9">
      <c r="A58" s="124"/>
      <c r="B58" s="127">
        <f>+B59</f>
        <v>14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/>
      <c r="M58" s="213"/>
      <c r="N58" s="213"/>
      <c r="O58" s="213"/>
      <c r="P58" s="213"/>
      <c r="Q58" s="213"/>
      <c r="R58" s="213"/>
      <c r="S58" s="213"/>
      <c r="T58" s="213"/>
      <c r="U58" s="213"/>
      <c r="V58" s="213"/>
      <c r="W58" s="135"/>
      <c r="X58" s="513">
        <f>+W60</f>
        <v>-50</v>
      </c>
      <c r="Y58" s="135">
        <f t="shared" si="0"/>
        <v>0</v>
      </c>
      <c r="Z58" s="136">
        <f>+AA58+Y58</f>
        <v>3837</v>
      </c>
      <c r="AA58" s="136">
        <v>3837</v>
      </c>
      <c r="AB58" s="109"/>
      <c r="AC58" s="110"/>
      <c r="AD58" s="157"/>
      <c r="AE58" s="167">
        <f t="shared" si="1"/>
        <v>0</v>
      </c>
      <c r="AF58" s="167"/>
      <c r="AG58" s="167"/>
      <c r="AH58" s="91"/>
    </row>
    <row r="59" spans="1:34" s="98" customFormat="1" ht="62.25" customHeight="1" x14ac:dyDescent="0.9">
      <c r="A59" s="124"/>
      <c r="B59" s="133">
        <v>14</v>
      </c>
      <c r="C59" s="111" t="s">
        <v>192</v>
      </c>
      <c r="D59" s="111"/>
      <c r="E59" s="111" t="s">
        <v>110</v>
      </c>
      <c r="F59" s="111" t="s">
        <v>193</v>
      </c>
      <c r="G59" s="111">
        <v>5500</v>
      </c>
      <c r="H59" s="111" t="s">
        <v>33</v>
      </c>
      <c r="I59" s="113">
        <v>62.7</v>
      </c>
      <c r="J59" s="130">
        <v>50</v>
      </c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+IF(COUNTA(L59:V59)=8,Y59/(COUNTA(L59:V59)-0.5),IF(COUNTA(L59:V59)=0,0,Y59/COUNTA(L59:V59)))</f>
        <v>0</v>
      </c>
      <c r="X59" s="514"/>
      <c r="Y59" s="134">
        <f t="shared" si="0"/>
        <v>0</v>
      </c>
      <c r="Z59" s="137">
        <f>+Y59+AA59</f>
        <v>3105</v>
      </c>
      <c r="AA59" s="137">
        <v>3105</v>
      </c>
      <c r="AB59" s="140">
        <f>+Z58-Z59</f>
        <v>732</v>
      </c>
      <c r="AC59" s="131" t="str">
        <f>+IF(((Y60+(Y61/2))*60)=0,"",(I59*Y59)/((Y60+(Y61/2))*60))</f>
        <v/>
      </c>
      <c r="AD59" s="157"/>
      <c r="AE59" s="167">
        <f t="shared" si="1"/>
        <v>0</v>
      </c>
      <c r="AF59" s="167">
        <f>+Y59*I59</f>
        <v>0</v>
      </c>
      <c r="AG59" s="167"/>
      <c r="AH59" s="91"/>
    </row>
    <row r="60" spans="1:34" s="98" customFormat="1" ht="62.25" customHeight="1" x14ac:dyDescent="0.9">
      <c r="A60" s="124"/>
      <c r="B60" s="125">
        <f>+B59</f>
        <v>14</v>
      </c>
      <c r="C60" s="184"/>
      <c r="D60" s="111">
        <f>+B59</f>
        <v>14</v>
      </c>
      <c r="E60" s="111"/>
      <c r="F60" s="112" t="e">
        <f>+VLOOKUP(F59,'Obj Prix'!$H:$H,2,FALSE)</f>
        <v>#N/A</v>
      </c>
      <c r="G60" s="112"/>
      <c r="H60" s="210"/>
      <c r="I60" s="210">
        <v>1</v>
      </c>
      <c r="J60" s="114" t="s">
        <v>22</v>
      </c>
      <c r="K60" s="102" t="s">
        <v>18</v>
      </c>
      <c r="L60" s="215"/>
      <c r="M60" s="215"/>
      <c r="N60" s="215"/>
      <c r="O60" s="215"/>
      <c r="P60" s="215"/>
      <c r="Q60" s="215"/>
      <c r="R60" s="215"/>
      <c r="S60" s="215"/>
      <c r="T60" s="215"/>
      <c r="U60" s="215"/>
      <c r="V60" s="215"/>
      <c r="W60" s="160">
        <f>+W59-J59</f>
        <v>-50</v>
      </c>
      <c r="X60" s="514"/>
      <c r="Y60" s="103">
        <f>+SUM(L60:V60)-S60/2</f>
        <v>0</v>
      </c>
      <c r="Z60" s="138"/>
      <c r="AA60" s="138"/>
      <c r="AB60" s="115"/>
      <c r="AC60" s="116"/>
      <c r="AD60" s="157"/>
      <c r="AE60" s="167">
        <f t="shared" si="1"/>
        <v>0</v>
      </c>
      <c r="AF60" s="167"/>
      <c r="AG60" s="167"/>
      <c r="AH60" s="91"/>
    </row>
    <row r="61" spans="1:34" s="98" customFormat="1" ht="62.25" customHeight="1" thickBot="1" x14ac:dyDescent="0.95">
      <c r="A61" s="124"/>
      <c r="B61" s="126">
        <f>+B59</f>
        <v>14</v>
      </c>
      <c r="C61" s="174" t="s">
        <v>112</v>
      </c>
      <c r="D61" s="175">
        <f>+D60+100</f>
        <v>114</v>
      </c>
      <c r="E61" s="175"/>
      <c r="F61" s="117" t="s">
        <v>203</v>
      </c>
      <c r="G61" s="117"/>
      <c r="H61" s="146"/>
      <c r="I61" s="165">
        <f>+IF(J61="","",IF(J59=0,"",(J59*I59)/(J61*60)))</f>
        <v>0.90086206896551724</v>
      </c>
      <c r="J61" s="118">
        <v>58</v>
      </c>
      <c r="K61" s="104" t="s">
        <v>19</v>
      </c>
      <c r="L61" s="216"/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173"/>
      <c r="X61" s="169">
        <v>6.84</v>
      </c>
      <c r="Y61" s="105">
        <f>+SUM(L61:V61)-S61/2</f>
        <v>0</v>
      </c>
      <c r="Z61" s="139"/>
      <c r="AA61" s="139"/>
      <c r="AB61" s="119">
        <f>+IFERROR(AB59/(J59*9),"")</f>
        <v>1.6266666666666667</v>
      </c>
      <c r="AC61" s="120"/>
      <c r="AD61" s="161">
        <f>+Y60+Y61/2</f>
        <v>0</v>
      </c>
      <c r="AE61" s="167">
        <f t="shared" si="1"/>
        <v>0</v>
      </c>
      <c r="AF61" s="167"/>
      <c r="AG61" s="230">
        <f>+IF((Y59-J59*9)&gt;=0,"",Y59-J59*9)</f>
        <v>-450</v>
      </c>
      <c r="AH61" s="91"/>
    </row>
    <row r="62" spans="1:34" ht="62.25" customHeight="1" thickTop="1" x14ac:dyDescent="0.9">
      <c r="A62" s="124"/>
      <c r="B62" s="127">
        <f>+B63</f>
        <v>15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135"/>
      <c r="X62" s="513">
        <f>+W64</f>
        <v>-54</v>
      </c>
      <c r="Y62" s="135">
        <f t="shared" si="0"/>
        <v>0</v>
      </c>
      <c r="Z62" s="136">
        <f>+AA62+Y62</f>
        <v>8056</v>
      </c>
      <c r="AA62" s="136">
        <v>8056</v>
      </c>
      <c r="AB62" s="121"/>
      <c r="AC62" s="110"/>
      <c r="AD62" s="157"/>
      <c r="AE62" s="167">
        <f t="shared" si="1"/>
        <v>0</v>
      </c>
      <c r="AF62" s="167"/>
      <c r="AG62" s="167"/>
    </row>
    <row r="63" spans="1:34" ht="62.25" customHeight="1" x14ac:dyDescent="0.9">
      <c r="A63" s="124"/>
      <c r="B63" s="133">
        <v>15</v>
      </c>
      <c r="C63" s="111" t="s">
        <v>187</v>
      </c>
      <c r="D63" s="111"/>
      <c r="E63" s="111" t="s">
        <v>35</v>
      </c>
      <c r="F63" s="111" t="s">
        <v>188</v>
      </c>
      <c r="G63" s="111">
        <v>7500</v>
      </c>
      <c r="H63" s="111" t="s">
        <v>33</v>
      </c>
      <c r="I63" s="113">
        <v>56.15</v>
      </c>
      <c r="J63" s="130">
        <v>54</v>
      </c>
      <c r="K63" s="101" t="s">
        <v>17</v>
      </c>
      <c r="L63" s="214"/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123">
        <f>+IF(COUNTA(L63:V63)=8,Y63/(COUNTA(L63:V63)-0.5),IF(COUNTA(L63:V63)=0,0,Y63/COUNTA(L63:V63)))</f>
        <v>0</v>
      </c>
      <c r="X63" s="514"/>
      <c r="Y63" s="134">
        <f t="shared" si="0"/>
        <v>0</v>
      </c>
      <c r="Z63" s="137">
        <f>+Y63+AA63</f>
        <v>8043</v>
      </c>
      <c r="AA63" s="137">
        <v>8043</v>
      </c>
      <c r="AB63" s="140">
        <f>+Z62-Z63</f>
        <v>13</v>
      </c>
      <c r="AC63" s="131" t="str">
        <f>+IF(((Y64+(Y65/2))*60)=0,"",(I63*Y63)/((Y64+(Y65/2))*60))</f>
        <v/>
      </c>
      <c r="AD63" s="157"/>
      <c r="AE63" s="167">
        <f t="shared" si="1"/>
        <v>0</v>
      </c>
      <c r="AF63" s="167">
        <f>+Y63*I63</f>
        <v>0</v>
      </c>
      <c r="AG63" s="167"/>
    </row>
    <row r="64" spans="1:34" ht="62.25" customHeight="1" x14ac:dyDescent="0.9">
      <c r="A64" s="124"/>
      <c r="B64" s="125">
        <f>+B63</f>
        <v>15</v>
      </c>
      <c r="C64" s="184"/>
      <c r="D64" s="111">
        <f>+B63</f>
        <v>15</v>
      </c>
      <c r="E64" s="111"/>
      <c r="F64" s="112" t="e">
        <f>+VLOOKUP(F63,'Obj Prix'!$H:$H,2,FALSE)</f>
        <v>#N/A</v>
      </c>
      <c r="G64" s="112"/>
      <c r="H64" s="111"/>
      <c r="I64" s="210">
        <v>1</v>
      </c>
      <c r="J64" s="114" t="s">
        <v>22</v>
      </c>
      <c r="K64" s="102" t="s">
        <v>18</v>
      </c>
      <c r="L64" s="215"/>
      <c r="M64" s="215"/>
      <c r="N64" s="215"/>
      <c r="O64" s="215"/>
      <c r="P64" s="215"/>
      <c r="Q64" s="215"/>
      <c r="R64" s="215"/>
      <c r="S64" s="215"/>
      <c r="T64" s="215"/>
      <c r="U64" s="215"/>
      <c r="V64" s="215"/>
      <c r="W64" s="160">
        <f>+W63-J63</f>
        <v>-54</v>
      </c>
      <c r="X64" s="514"/>
      <c r="Y64" s="103">
        <f>+SUM(L64:V64)-S64/2</f>
        <v>0</v>
      </c>
      <c r="Z64" s="138"/>
      <c r="AA64" s="138"/>
      <c r="AB64" s="122"/>
      <c r="AC64" s="116"/>
      <c r="AD64" s="157"/>
      <c r="AE64" s="167">
        <f t="shared" si="1"/>
        <v>0</v>
      </c>
      <c r="AF64" s="167"/>
      <c r="AG64" s="167"/>
    </row>
    <row r="65" spans="1:34" ht="59.25" customHeight="1" thickBot="1" x14ac:dyDescent="0.95">
      <c r="A65" s="124"/>
      <c r="B65" s="126">
        <f>+B63</f>
        <v>15</v>
      </c>
      <c r="C65" s="174" t="s">
        <v>80</v>
      </c>
      <c r="D65" s="175">
        <f>+D64+100</f>
        <v>115</v>
      </c>
      <c r="E65" s="175"/>
      <c r="F65" s="117" t="s">
        <v>94</v>
      </c>
      <c r="G65" s="117"/>
      <c r="H65" s="159" t="s">
        <v>190</v>
      </c>
      <c r="I65" s="165">
        <f>+IF(J65="","",IF(J63=0,"",(J63*I63)/(J65*60)))</f>
        <v>0.85652542372881357</v>
      </c>
      <c r="J65" s="118">
        <v>59</v>
      </c>
      <c r="K65" s="104" t="s">
        <v>19</v>
      </c>
      <c r="L65" s="216"/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173"/>
      <c r="X65" s="169">
        <v>15.92</v>
      </c>
      <c r="Y65" s="105">
        <f>+SUM(L65:V65)-S65/2</f>
        <v>0</v>
      </c>
      <c r="Z65" s="139"/>
      <c r="AA65" s="139"/>
      <c r="AB65" s="119">
        <f>+IFERROR(AB63/(J63*9),"")</f>
        <v>2.6748971193415638E-2</v>
      </c>
      <c r="AC65" s="120"/>
      <c r="AD65" s="161">
        <f>+Y64+Y65/2</f>
        <v>0</v>
      </c>
      <c r="AE65" s="167">
        <f t="shared" si="1"/>
        <v>0</v>
      </c>
      <c r="AF65" s="167"/>
      <c r="AG65" s="230">
        <f>+IF((Y63-J63*9)&gt;=0,"",Y63-J63*9)</f>
        <v>-486</v>
      </c>
    </row>
    <row r="66" spans="1:34" ht="62.25" customHeight="1" thickTop="1" x14ac:dyDescent="0.9">
      <c r="A66" s="124"/>
      <c r="B66" s="127">
        <f>+B67</f>
        <v>15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3"/>
      <c r="M66" s="213"/>
      <c r="N66" s="213"/>
      <c r="O66" s="213"/>
      <c r="P66" s="213"/>
      <c r="Q66" s="213"/>
      <c r="R66" s="213"/>
      <c r="S66" s="213"/>
      <c r="T66" s="213"/>
      <c r="U66" s="213"/>
      <c r="V66" s="213"/>
      <c r="W66" s="135"/>
      <c r="X66" s="513">
        <f>+W68</f>
        <v>-107</v>
      </c>
      <c r="Y66" s="135">
        <f t="shared" si="0"/>
        <v>0</v>
      </c>
      <c r="Z66" s="136">
        <f>+AA66+Y66</f>
        <v>800</v>
      </c>
      <c r="AA66" s="136">
        <v>800</v>
      </c>
      <c r="AB66" s="121"/>
      <c r="AC66" s="110"/>
      <c r="AD66" s="157"/>
      <c r="AE66" s="167">
        <f t="shared" si="1"/>
        <v>0</v>
      </c>
      <c r="AF66" s="167"/>
      <c r="AG66" s="167"/>
    </row>
    <row r="67" spans="1:34" ht="62.25" customHeight="1" x14ac:dyDescent="0.9">
      <c r="A67" s="124"/>
      <c r="B67" s="133">
        <v>15</v>
      </c>
      <c r="C67" s="111" t="s">
        <v>216</v>
      </c>
      <c r="D67" s="111"/>
      <c r="E67" s="111" t="s">
        <v>35</v>
      </c>
      <c r="F67" s="111" t="s">
        <v>215</v>
      </c>
      <c r="G67" s="111">
        <v>6666</v>
      </c>
      <c r="H67" s="111" t="s">
        <v>217</v>
      </c>
      <c r="I67" s="113">
        <v>27.28</v>
      </c>
      <c r="J67" s="130">
        <v>107</v>
      </c>
      <c r="K67" s="101" t="s">
        <v>17</v>
      </c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123">
        <f>+IF(COUNTA(L67:V67)=8,Y67/(COUNTA(L67:V67)-0.5),IF(COUNTA(L67:V67)=0,0,Y67/COUNTA(L67:V67)))</f>
        <v>0</v>
      </c>
      <c r="X67" s="514"/>
      <c r="Y67" s="134">
        <f t="shared" si="0"/>
        <v>0</v>
      </c>
      <c r="Z67" s="137">
        <f>+Y67+AA67</f>
        <v>0</v>
      </c>
      <c r="AA67" s="137">
        <v>0</v>
      </c>
      <c r="AB67" s="140">
        <f>+Z66-Z67</f>
        <v>800</v>
      </c>
      <c r="AC67" s="131" t="str">
        <f>+IF(((Y68+(Y69/2))*60)=0,"",(I67*Y67)/((Y68+(Y69/2))*60))</f>
        <v/>
      </c>
      <c r="AD67" s="157"/>
      <c r="AE67" s="167">
        <f t="shared" si="1"/>
        <v>0</v>
      </c>
      <c r="AF67" s="167">
        <f>+Y67*I67</f>
        <v>0</v>
      </c>
      <c r="AG67" s="167"/>
    </row>
    <row r="68" spans="1:34" ht="62.25" customHeight="1" x14ac:dyDescent="0.9">
      <c r="A68" s="124"/>
      <c r="B68" s="125">
        <f>+B67</f>
        <v>15</v>
      </c>
      <c r="C68" s="184"/>
      <c r="D68" s="111">
        <f>+B67</f>
        <v>15</v>
      </c>
      <c r="E68" s="111"/>
      <c r="F68" s="112" t="e">
        <f>+VLOOKUP(F67,'Obj Prix'!$H:$H,2,FALSE)</f>
        <v>#N/A</v>
      </c>
      <c r="G68" s="112"/>
      <c r="H68" s="111"/>
      <c r="I68" s="210"/>
      <c r="J68" s="114" t="s">
        <v>22</v>
      </c>
      <c r="K68" s="102" t="s">
        <v>18</v>
      </c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160">
        <f>+W67-J67</f>
        <v>-107</v>
      </c>
      <c r="X68" s="514"/>
      <c r="Y68" s="103">
        <f>+SUM(L68:V68)-S68/2</f>
        <v>0</v>
      </c>
      <c r="Z68" s="138"/>
      <c r="AA68" s="138"/>
      <c r="AB68" s="122"/>
      <c r="AC68" s="116"/>
      <c r="AD68" s="157"/>
      <c r="AE68" s="167">
        <f t="shared" si="1"/>
        <v>0</v>
      </c>
      <c r="AF68" s="167"/>
      <c r="AG68" s="167"/>
    </row>
    <row r="69" spans="1:34" ht="59.25" customHeight="1" thickBot="1" x14ac:dyDescent="0.95">
      <c r="A69" s="124"/>
      <c r="B69" s="126">
        <f>+B67</f>
        <v>15</v>
      </c>
      <c r="C69" s="174" t="s">
        <v>80</v>
      </c>
      <c r="D69" s="175">
        <f>+D68+100</f>
        <v>115</v>
      </c>
      <c r="E69" s="175"/>
      <c r="F69" s="117" t="s">
        <v>94</v>
      </c>
      <c r="G69" s="117"/>
      <c r="H69" s="159"/>
      <c r="I69" s="165">
        <f>+IF(J69="","",IF(J67=0,"",(J67*I67)/(J69*60)))</f>
        <v>0.85349707602339187</v>
      </c>
      <c r="J69" s="118">
        <v>57</v>
      </c>
      <c r="K69" s="104" t="s">
        <v>19</v>
      </c>
      <c r="L69" s="216"/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173"/>
      <c r="X69" s="168">
        <f>4.74+(COUNTA(L67:V67)-(Y67/J67))</f>
        <v>4.74</v>
      </c>
      <c r="Y69" s="105">
        <f>+SUM(L69:V69)-S69/2</f>
        <v>0</v>
      </c>
      <c r="Z69" s="139"/>
      <c r="AA69" s="139"/>
      <c r="AB69" s="119">
        <f>+IFERROR(AB67/(J67*9),"")</f>
        <v>0.83073727933541019</v>
      </c>
      <c r="AC69" s="120"/>
      <c r="AD69" s="161">
        <f>+Y68+Y69/2</f>
        <v>0</v>
      </c>
      <c r="AE69" s="167">
        <f t="shared" si="1"/>
        <v>0</v>
      </c>
      <c r="AF69" s="167"/>
      <c r="AG69" s="230">
        <f>+IF((Y67-J67*9)&gt;=0,"",Y67-J67*9)</f>
        <v>-963</v>
      </c>
    </row>
    <row r="70" spans="1:34" s="98" customFormat="1" ht="62.25" customHeight="1" thickTop="1" x14ac:dyDescent="0.9">
      <c r="A70" s="124"/>
      <c r="B70" s="127">
        <f>+B71</f>
        <v>17</v>
      </c>
      <c r="C70" s="106"/>
      <c r="D70" s="106"/>
      <c r="E70" s="106"/>
      <c r="F70" s="111"/>
      <c r="G70" s="106"/>
      <c r="H70" s="106"/>
      <c r="I70" s="107" t="s">
        <v>20</v>
      </c>
      <c r="J70" s="108" t="s">
        <v>23</v>
      </c>
      <c r="K70" s="100" t="s">
        <v>21</v>
      </c>
      <c r="L70" s="213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135"/>
      <c r="X70" s="513">
        <f>+W72</f>
        <v>-120</v>
      </c>
      <c r="Y70" s="135">
        <f t="shared" si="0"/>
        <v>0</v>
      </c>
      <c r="Z70" s="136">
        <f>+AA70+Y70</f>
        <v>1875</v>
      </c>
      <c r="AA70" s="136">
        <v>1875</v>
      </c>
      <c r="AB70" s="121"/>
      <c r="AC70" s="110"/>
      <c r="AD70" s="157"/>
      <c r="AE70" s="167">
        <f t="shared" si="1"/>
        <v>0</v>
      </c>
      <c r="AF70" s="167"/>
      <c r="AG70" s="167"/>
      <c r="AH70" s="91"/>
    </row>
    <row r="71" spans="1:34" s="98" customFormat="1" ht="62.25" customHeight="1" x14ac:dyDescent="0.9">
      <c r="A71" s="124"/>
      <c r="B71" s="132">
        <v>17</v>
      </c>
      <c r="C71" s="111" t="s">
        <v>208</v>
      </c>
      <c r="D71" s="111"/>
      <c r="E71" s="111" t="s">
        <v>35</v>
      </c>
      <c r="F71" s="111" t="s">
        <v>209</v>
      </c>
      <c r="G71" s="111"/>
      <c r="H71" s="111" t="s">
        <v>210</v>
      </c>
      <c r="I71" s="113">
        <v>24.95</v>
      </c>
      <c r="J71" s="130">
        <v>120</v>
      </c>
      <c r="K71" s="101" t="s">
        <v>17</v>
      </c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123">
        <f>+IF(COUNTA(L71:V71)=8,Y71/(COUNTA(L71:V71)-0.5),IF(COUNTA(L71:V71)=0,0,Y71/COUNTA(L71:V71)))</f>
        <v>0</v>
      </c>
      <c r="X71" s="514"/>
      <c r="Y71" s="134">
        <f t="shared" si="0"/>
        <v>0</v>
      </c>
      <c r="Z71" s="137">
        <f>+Y71+AA71</f>
        <v>470</v>
      </c>
      <c r="AA71" s="137">
        <v>470</v>
      </c>
      <c r="AB71" s="140">
        <f>+Z70-Z71</f>
        <v>1405</v>
      </c>
      <c r="AC71" s="131" t="str">
        <f>+IF(((Y72+(Y73/2))*60)=0,"",(I71*Y71)/((Y72+(Y73/2))*60))</f>
        <v/>
      </c>
      <c r="AD71" s="157"/>
      <c r="AE71" s="167">
        <f t="shared" si="1"/>
        <v>0</v>
      </c>
      <c r="AF71" s="167">
        <f>+Y71*I71</f>
        <v>0</v>
      </c>
      <c r="AG71" s="167"/>
      <c r="AH71" s="91"/>
    </row>
    <row r="72" spans="1:34" s="98" customFormat="1" ht="62.25" customHeight="1" x14ac:dyDescent="0.9">
      <c r="A72" s="124"/>
      <c r="B72" s="125">
        <f>+B71</f>
        <v>17</v>
      </c>
      <c r="C72" s="184"/>
      <c r="D72" s="111"/>
      <c r="E72" s="111"/>
      <c r="F72" s="112" t="e">
        <f>+VLOOKUP(F71,'Obj Prix'!$H:$H,2,FALSE)</f>
        <v>#N/A</v>
      </c>
      <c r="G72" s="219"/>
      <c r="H72" s="210"/>
      <c r="I72" s="210">
        <v>3</v>
      </c>
      <c r="J72" s="114" t="s">
        <v>22</v>
      </c>
      <c r="K72" s="102" t="s">
        <v>18</v>
      </c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160">
        <f>+W71-J71</f>
        <v>-120</v>
      </c>
      <c r="X72" s="514"/>
      <c r="Y72" s="103">
        <f>+SUM(L72:V72)-S72/2</f>
        <v>0</v>
      </c>
      <c r="Z72" s="138"/>
      <c r="AA72" s="138"/>
      <c r="AB72" s="122"/>
      <c r="AC72" s="116"/>
      <c r="AD72" s="157"/>
      <c r="AE72" s="167">
        <f t="shared" si="1"/>
        <v>0</v>
      </c>
      <c r="AF72" s="167"/>
      <c r="AG72" s="167"/>
      <c r="AH72" s="91"/>
    </row>
    <row r="73" spans="1:34" s="98" customFormat="1" ht="62.25" customHeight="1" thickBot="1" x14ac:dyDescent="0.95">
      <c r="A73" s="124"/>
      <c r="B73" s="126">
        <f>+B71</f>
        <v>17</v>
      </c>
      <c r="C73" s="174" t="s">
        <v>151</v>
      </c>
      <c r="D73" s="175">
        <f>+D72+100</f>
        <v>100</v>
      </c>
      <c r="E73" s="175"/>
      <c r="F73" s="117" t="s">
        <v>111</v>
      </c>
      <c r="G73" s="218"/>
      <c r="H73" s="146"/>
      <c r="I73" s="165">
        <f>+IF(J73="","",IF(J71=0,"",(J71*I71)/(J73*60)))</f>
        <v>0.92407407407407405</v>
      </c>
      <c r="J73" s="118">
        <v>54</v>
      </c>
      <c r="K73" s="104" t="s">
        <v>19</v>
      </c>
      <c r="L73" s="216"/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173"/>
      <c r="X73" s="168">
        <f>15.73+(COUNTA(L71:V71)-(Y71/J71))</f>
        <v>15.73</v>
      </c>
      <c r="Y73" s="105">
        <f>+SUM(L73:V73)-S73/2</f>
        <v>0</v>
      </c>
      <c r="Z73" s="139"/>
      <c r="AA73" s="139"/>
      <c r="AB73" s="119">
        <f>+IFERROR(AB71/(J71*9),"")</f>
        <v>1.3009259259259258</v>
      </c>
      <c r="AC73" s="120"/>
      <c r="AD73" s="161">
        <f>+Y72+Y73/2</f>
        <v>0</v>
      </c>
      <c r="AE73" s="167">
        <f t="shared" si="1"/>
        <v>0</v>
      </c>
      <c r="AF73" s="167"/>
      <c r="AG73" s="230">
        <f>+IF((Y71-J71*9)&gt;=0,"",Y71-J71*9)</f>
        <v>-1080</v>
      </c>
      <c r="AH73" s="91"/>
    </row>
    <row r="74" spans="1:34" s="98" customFormat="1" ht="62.25" customHeight="1" thickTop="1" x14ac:dyDescent="0.9">
      <c r="A74" s="124"/>
      <c r="B74" s="127">
        <f>+B75</f>
        <v>18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3"/>
      <c r="M74" s="213"/>
      <c r="N74" s="213"/>
      <c r="O74" s="213"/>
      <c r="P74" s="213"/>
      <c r="Q74" s="213"/>
      <c r="R74" s="213"/>
      <c r="S74" s="213"/>
      <c r="T74" s="213"/>
      <c r="U74" s="213"/>
      <c r="V74" s="213"/>
      <c r="W74" s="135"/>
      <c r="X74" s="513">
        <f>+W76</f>
        <v>-53</v>
      </c>
      <c r="Y74" s="135">
        <f t="shared" ref="Y74:Y83" si="2">+SUM(L74:V74)</f>
        <v>0</v>
      </c>
      <c r="Z74" s="136">
        <f>+AA74+Y74</f>
        <v>4314</v>
      </c>
      <c r="AA74" s="136">
        <v>4314</v>
      </c>
      <c r="AB74" s="121"/>
      <c r="AC74" s="110"/>
      <c r="AD74" s="157"/>
      <c r="AE74" s="167">
        <f t="shared" si="1"/>
        <v>0</v>
      </c>
      <c r="AF74" s="167"/>
      <c r="AG74" s="167"/>
      <c r="AH74" s="91"/>
    </row>
    <row r="75" spans="1:34" s="98" customFormat="1" ht="62.25" customHeight="1" x14ac:dyDescent="0.9">
      <c r="A75" s="124"/>
      <c r="B75" s="132">
        <v>18</v>
      </c>
      <c r="C75" s="111" t="s">
        <v>195</v>
      </c>
      <c r="D75" s="111"/>
      <c r="E75" s="111" t="s">
        <v>35</v>
      </c>
      <c r="F75" s="111" t="s">
        <v>196</v>
      </c>
      <c r="G75" s="111">
        <v>5038</v>
      </c>
      <c r="H75" s="111" t="s">
        <v>33</v>
      </c>
      <c r="I75" s="113">
        <v>61.42</v>
      </c>
      <c r="J75" s="130">
        <v>53</v>
      </c>
      <c r="K75" s="101" t="s">
        <v>17</v>
      </c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123">
        <f>+IF(COUNTA(L75:V75)=8,Y75/(COUNTA(L75:V75)-0.5),IF(COUNTA(L75:V75)=0,0,Y75/COUNTA(L75:V75)))</f>
        <v>0</v>
      </c>
      <c r="X75" s="514"/>
      <c r="Y75" s="134">
        <f t="shared" si="2"/>
        <v>0</v>
      </c>
      <c r="Z75" s="137">
        <f>+Y75+AA75</f>
        <v>3444</v>
      </c>
      <c r="AA75" s="137">
        <v>3444</v>
      </c>
      <c r="AB75" s="140">
        <f>+Z74-Z75</f>
        <v>870</v>
      </c>
      <c r="AC75" s="131" t="str">
        <f>+IF(((Y76+(Y77/2))*60)=0,"",(I75*Y75)/((Y76+(Y77/2))*60))</f>
        <v/>
      </c>
      <c r="AD75" s="157"/>
      <c r="AE75" s="167">
        <f t="shared" si="1"/>
        <v>0</v>
      </c>
      <c r="AF75" s="167">
        <f>+Y75*I75</f>
        <v>0</v>
      </c>
      <c r="AG75" s="167"/>
      <c r="AH75" s="91"/>
    </row>
    <row r="76" spans="1:34" s="98" customFormat="1" ht="62.25" customHeight="1" x14ac:dyDescent="0.9">
      <c r="A76" s="124"/>
      <c r="B76" s="125">
        <f>+B75</f>
        <v>18</v>
      </c>
      <c r="C76" s="184"/>
      <c r="D76" s="111">
        <f>+B75</f>
        <v>18</v>
      </c>
      <c r="E76" s="111"/>
      <c r="F76" s="112" t="e">
        <f>+VLOOKUP(F75,'Obj Prix'!$H:$H,2,FALSE)</f>
        <v>#N/A</v>
      </c>
      <c r="G76" s="219"/>
      <c r="H76" s="210">
        <v>1</v>
      </c>
      <c r="I76" s="210">
        <v>2</v>
      </c>
      <c r="J76" s="114" t="s">
        <v>22</v>
      </c>
      <c r="K76" s="102" t="s">
        <v>18</v>
      </c>
      <c r="L76" s="215"/>
      <c r="M76" s="215"/>
      <c r="N76" s="215"/>
      <c r="O76" s="215"/>
      <c r="P76" s="215"/>
      <c r="Q76" s="215"/>
      <c r="R76" s="215"/>
      <c r="S76" s="215"/>
      <c r="T76" s="215"/>
      <c r="U76" s="215"/>
      <c r="V76" s="215"/>
      <c r="W76" s="160">
        <f>+W75-J75</f>
        <v>-53</v>
      </c>
      <c r="X76" s="514"/>
      <c r="Y76" s="103">
        <f>+SUM(L76:V76)-S76/2</f>
        <v>0</v>
      </c>
      <c r="Z76" s="138"/>
      <c r="AA76" s="138"/>
      <c r="AB76" s="122"/>
      <c r="AC76" s="116"/>
      <c r="AD76" s="157"/>
      <c r="AE76" s="167">
        <f t="shared" si="1"/>
        <v>0</v>
      </c>
      <c r="AF76" s="167"/>
      <c r="AG76" s="167"/>
      <c r="AH76" s="91"/>
    </row>
    <row r="77" spans="1:34" s="98" customFormat="1" ht="62.25" customHeight="1" thickBot="1" x14ac:dyDescent="0.95">
      <c r="A77" s="124"/>
      <c r="B77" s="126">
        <f>+B75</f>
        <v>18</v>
      </c>
      <c r="C77" s="174" t="s">
        <v>79</v>
      </c>
      <c r="D77" s="175">
        <f>+D76+100</f>
        <v>118</v>
      </c>
      <c r="E77" s="175"/>
      <c r="F77" s="117" t="s">
        <v>111</v>
      </c>
      <c r="G77" s="117"/>
      <c r="H77" s="146" t="s">
        <v>200</v>
      </c>
      <c r="I77" s="165">
        <f>+IF(J77="","",IF(J75=0,"",(J75*I75)/(J77*60)))</f>
        <v>0.9195649717514125</v>
      </c>
      <c r="J77" s="118">
        <v>59</v>
      </c>
      <c r="K77" s="104" t="s">
        <v>19</v>
      </c>
      <c r="L77" s="216"/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173"/>
      <c r="X77" s="169">
        <v>10.76</v>
      </c>
      <c r="Y77" s="105">
        <f>+SUM(L77:V77)-S77/2</f>
        <v>0</v>
      </c>
      <c r="Z77" s="139"/>
      <c r="AA77" s="139"/>
      <c r="AB77" s="119">
        <f>+IFERROR(AB75/(J75*9),"")</f>
        <v>1.8238993710691824</v>
      </c>
      <c r="AC77" s="120"/>
      <c r="AD77" s="161">
        <f>+Y76+Y77/2</f>
        <v>0</v>
      </c>
      <c r="AE77" s="167">
        <f t="shared" si="1"/>
        <v>0</v>
      </c>
      <c r="AF77" s="167"/>
      <c r="AG77" s="230">
        <f>+IF((Y75-J75*9)&gt;=0,"",Y75-J75*9)</f>
        <v>-477</v>
      </c>
      <c r="AH77" s="91"/>
    </row>
    <row r="78" spans="1:34" ht="62.25" customHeight="1" thickTop="1" x14ac:dyDescent="0.9">
      <c r="A78" s="124"/>
      <c r="B78" s="127">
        <f>+B79</f>
        <v>19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/>
      <c r="M78" s="213"/>
      <c r="N78" s="213"/>
      <c r="O78" s="213"/>
      <c r="P78" s="213"/>
      <c r="Q78" s="213"/>
      <c r="R78" s="213"/>
      <c r="S78" s="213"/>
      <c r="T78" s="213"/>
      <c r="U78" s="213"/>
      <c r="V78" s="213"/>
      <c r="W78" s="135"/>
      <c r="X78" s="513">
        <f>+W80</f>
        <v>-3</v>
      </c>
      <c r="Y78" s="135">
        <f t="shared" si="2"/>
        <v>0</v>
      </c>
      <c r="Z78" s="136">
        <f>+AA78+Y78</f>
        <v>4167</v>
      </c>
      <c r="AA78" s="136">
        <v>4167</v>
      </c>
      <c r="AB78" s="109"/>
      <c r="AC78" s="110"/>
      <c r="AD78" s="157"/>
      <c r="AE78" s="167">
        <f t="shared" ref="AE78:AE85" si="3">+AD78*60</f>
        <v>0</v>
      </c>
      <c r="AF78" s="167"/>
      <c r="AG78" s="167"/>
    </row>
    <row r="79" spans="1:34" ht="62.25" customHeight="1" x14ac:dyDescent="0.9">
      <c r="A79" s="124"/>
      <c r="B79" s="133">
        <v>19</v>
      </c>
      <c r="C79" s="111" t="s">
        <v>195</v>
      </c>
      <c r="D79" s="111"/>
      <c r="E79" s="111" t="s">
        <v>35</v>
      </c>
      <c r="F79" s="111" t="s">
        <v>196</v>
      </c>
      <c r="G79" s="111">
        <v>5038</v>
      </c>
      <c r="H79" s="111" t="s">
        <v>33</v>
      </c>
      <c r="I79" s="113">
        <v>61.42</v>
      </c>
      <c r="J79" s="130">
        <v>53</v>
      </c>
      <c r="K79" s="101" t="s">
        <v>17</v>
      </c>
      <c r="L79" s="214">
        <v>50</v>
      </c>
      <c r="M79" s="214">
        <v>50</v>
      </c>
      <c r="N79" s="214">
        <v>50</v>
      </c>
      <c r="O79" s="214">
        <v>50</v>
      </c>
      <c r="P79" s="214">
        <v>50</v>
      </c>
      <c r="Q79" s="214">
        <v>50</v>
      </c>
      <c r="R79" s="214">
        <v>50</v>
      </c>
      <c r="S79" s="214"/>
      <c r="T79" s="214"/>
      <c r="U79" s="214"/>
      <c r="V79" s="214"/>
      <c r="W79" s="123">
        <f>+IF(COUNTA(L79:V79)=8,Y79/(COUNTA(L79:V79)-0.5),IF(COUNTA(L79:V79)=0,0,Y79/COUNTA(L79:V79)))</f>
        <v>50</v>
      </c>
      <c r="X79" s="514"/>
      <c r="Y79" s="134">
        <f t="shared" si="2"/>
        <v>350</v>
      </c>
      <c r="Z79" s="137">
        <f>+Y79+AA79</f>
        <v>4160</v>
      </c>
      <c r="AA79" s="137">
        <v>3810</v>
      </c>
      <c r="AB79" s="140">
        <f>+Z78-Z79</f>
        <v>7</v>
      </c>
      <c r="AC79" s="131">
        <f>+IF(((Y80+(Y81/2))*60)=0,"",(I79*Y79)/((Y80+(Y81/2))*60))</f>
        <v>11.942777777777778</v>
      </c>
      <c r="AD79" s="157"/>
      <c r="AE79" s="167">
        <f t="shared" si="3"/>
        <v>0</v>
      </c>
      <c r="AF79" s="167">
        <f>+Y79*I79</f>
        <v>21497</v>
      </c>
      <c r="AG79" s="167"/>
    </row>
    <row r="80" spans="1:34" ht="62.25" customHeight="1" x14ac:dyDescent="0.9">
      <c r="A80" s="124"/>
      <c r="B80" s="125">
        <f>+B79</f>
        <v>19</v>
      </c>
      <c r="C80" s="184"/>
      <c r="D80" s="111">
        <f>+B79</f>
        <v>19</v>
      </c>
      <c r="E80" s="111"/>
      <c r="F80" s="112" t="e">
        <f>+VLOOKUP(F79,'Obj Prix'!$H:$H,2,FALSE)</f>
        <v>#N/A</v>
      </c>
      <c r="G80" s="219"/>
      <c r="H80" s="210">
        <v>1</v>
      </c>
      <c r="I80" s="210">
        <v>3</v>
      </c>
      <c r="J80" s="114" t="s">
        <v>22</v>
      </c>
      <c r="K80" s="102" t="s">
        <v>18</v>
      </c>
      <c r="L80" s="215">
        <v>4</v>
      </c>
      <c r="M80" s="215">
        <v>4</v>
      </c>
      <c r="N80" s="215">
        <v>4</v>
      </c>
      <c r="O80" s="215">
        <v>4</v>
      </c>
      <c r="P80" s="215">
        <v>4</v>
      </c>
      <c r="Q80" s="215">
        <v>4</v>
      </c>
      <c r="R80" s="215">
        <v>4</v>
      </c>
      <c r="S80" s="215">
        <v>4</v>
      </c>
      <c r="T80" s="215"/>
      <c r="U80" s="215"/>
      <c r="V80" s="215"/>
      <c r="W80" s="160">
        <f>+W79-J79</f>
        <v>-3</v>
      </c>
      <c r="X80" s="514"/>
      <c r="Y80" s="103">
        <f>+SUM(L80:V80)-S80/2</f>
        <v>30</v>
      </c>
      <c r="Z80" s="138"/>
      <c r="AA80" s="138"/>
      <c r="AB80" s="115"/>
      <c r="AC80" s="116"/>
      <c r="AD80" s="157"/>
      <c r="AE80" s="167">
        <f t="shared" si="3"/>
        <v>0</v>
      </c>
      <c r="AF80" s="167"/>
      <c r="AG80" s="167"/>
    </row>
    <row r="81" spans="1:35" s="98" customFormat="1" ht="62.25" customHeight="1" thickBot="1" x14ac:dyDescent="0.95">
      <c r="A81" s="124"/>
      <c r="B81" s="126">
        <f>+B79</f>
        <v>19</v>
      </c>
      <c r="C81" s="174" t="s">
        <v>152</v>
      </c>
      <c r="D81" s="175">
        <f>+D80+100</f>
        <v>119</v>
      </c>
      <c r="E81" s="175"/>
      <c r="F81" s="117" t="s">
        <v>203</v>
      </c>
      <c r="G81" s="117"/>
      <c r="H81" s="146" t="s">
        <v>200</v>
      </c>
      <c r="I81" s="165">
        <f>+IF(J81="","",IF(J79=0,"",(J79*I79)/(J81*60)))</f>
        <v>0.9195649717514125</v>
      </c>
      <c r="J81" s="118">
        <v>59</v>
      </c>
      <c r="K81" s="104" t="s">
        <v>19</v>
      </c>
      <c r="L81" s="216"/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173"/>
      <c r="X81" s="169">
        <v>9.3000000000000007</v>
      </c>
      <c r="Y81" s="105">
        <f>+SUM(L81:V81)-S81/2</f>
        <v>0</v>
      </c>
      <c r="Z81" s="139"/>
      <c r="AA81" s="139"/>
      <c r="AB81" s="119">
        <f>+IFERROR(AB79/(J79*9),"")</f>
        <v>1.4675052410901468E-2</v>
      </c>
      <c r="AC81" s="120"/>
      <c r="AD81" s="161">
        <f>+Y80+Y81/2</f>
        <v>30</v>
      </c>
      <c r="AE81" s="167">
        <f t="shared" si="3"/>
        <v>1800</v>
      </c>
      <c r="AF81" s="167"/>
      <c r="AG81" s="230">
        <f>+IF((Y79-J79*9)&gt;=0,"",Y79-J79*9)</f>
        <v>-127</v>
      </c>
      <c r="AH81" s="91"/>
    </row>
    <row r="82" spans="1:35" ht="62.25" customHeight="1" thickTop="1" x14ac:dyDescent="0.9">
      <c r="A82" s="124"/>
      <c r="B82" s="127">
        <f>+B83</f>
        <v>19</v>
      </c>
      <c r="C82" s="106"/>
      <c r="D82" s="106"/>
      <c r="E82" s="106"/>
      <c r="F82" s="106"/>
      <c r="G82" s="106"/>
      <c r="H82" s="106"/>
      <c r="I82" s="107" t="s">
        <v>20</v>
      </c>
      <c r="J82" s="108" t="s">
        <v>23</v>
      </c>
      <c r="K82" s="100" t="s">
        <v>21</v>
      </c>
      <c r="L82" s="213"/>
      <c r="M82" s="213"/>
      <c r="N82" s="213"/>
      <c r="O82" s="213"/>
      <c r="P82" s="213"/>
      <c r="Q82" s="213"/>
      <c r="R82" s="213"/>
      <c r="S82" s="213"/>
      <c r="T82" s="213"/>
      <c r="U82" s="213"/>
      <c r="V82" s="213"/>
      <c r="W82" s="135"/>
      <c r="X82" s="513">
        <f>+W84</f>
        <v>-120</v>
      </c>
      <c r="Y82" s="135">
        <f t="shared" si="2"/>
        <v>0</v>
      </c>
      <c r="Z82" s="136">
        <f>+AA82+Y82</f>
        <v>900</v>
      </c>
      <c r="AA82" s="136">
        <v>900</v>
      </c>
      <c r="AB82" s="109"/>
      <c r="AC82" s="110"/>
      <c r="AD82" s="157"/>
      <c r="AE82" s="167">
        <f t="shared" si="3"/>
        <v>0</v>
      </c>
      <c r="AF82" s="167"/>
      <c r="AG82" s="167"/>
    </row>
    <row r="83" spans="1:35" ht="62.25" customHeight="1" x14ac:dyDescent="0.9">
      <c r="A83" s="124"/>
      <c r="B83" s="133">
        <v>19</v>
      </c>
      <c r="C83" s="111" t="s">
        <v>208</v>
      </c>
      <c r="D83" s="111"/>
      <c r="E83" s="111" t="s">
        <v>35</v>
      </c>
      <c r="F83" s="111" t="s">
        <v>209</v>
      </c>
      <c r="G83" s="111">
        <v>11525</v>
      </c>
      <c r="H83" s="111" t="s">
        <v>210</v>
      </c>
      <c r="I83" s="113">
        <v>24.95</v>
      </c>
      <c r="J83" s="130">
        <v>120</v>
      </c>
      <c r="K83" s="101" t="s">
        <v>17</v>
      </c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123">
        <f>+IF(COUNTA(L83:V83)=8,Y83/(COUNTA(L83:V83)-0.5),IF(COUNTA(L83:V83)=0,0,Y83/COUNTA(L83:V83)))</f>
        <v>0</v>
      </c>
      <c r="X83" s="514"/>
      <c r="Y83" s="134">
        <f t="shared" si="2"/>
        <v>0</v>
      </c>
      <c r="Z83" s="137">
        <f>+Y83+AA83</f>
        <v>0</v>
      </c>
      <c r="AA83" s="137">
        <v>0</v>
      </c>
      <c r="AB83" s="140">
        <f>+Z82-Z83</f>
        <v>900</v>
      </c>
      <c r="AC83" s="131" t="str">
        <f>+IF(((Y84+(Y85/2))*60)=0,"",(I83*Y83)/((Y84+(Y85/2))*60))</f>
        <v/>
      </c>
      <c r="AD83" s="157"/>
      <c r="AE83" s="167">
        <f t="shared" si="3"/>
        <v>0</v>
      </c>
      <c r="AF83" s="167">
        <f>+Y83*I83</f>
        <v>0</v>
      </c>
      <c r="AG83" s="167"/>
    </row>
    <row r="84" spans="1:35" ht="62.25" customHeight="1" x14ac:dyDescent="0.9">
      <c r="A84" s="124"/>
      <c r="B84" s="125">
        <f>+B83</f>
        <v>19</v>
      </c>
      <c r="C84" s="184"/>
      <c r="D84" s="111">
        <f>+B83</f>
        <v>19</v>
      </c>
      <c r="E84" s="111"/>
      <c r="F84" s="112" t="e">
        <f>+VLOOKUP(F83,'Obj Prix'!$H:$H,2,FALSE)</f>
        <v>#N/A</v>
      </c>
      <c r="G84" s="219"/>
      <c r="H84" s="210"/>
      <c r="I84" s="210">
        <v>3</v>
      </c>
      <c r="J84" s="114" t="s">
        <v>22</v>
      </c>
      <c r="K84" s="102" t="s">
        <v>18</v>
      </c>
      <c r="L84" s="215"/>
      <c r="M84" s="215"/>
      <c r="N84" s="215"/>
      <c r="O84" s="215"/>
      <c r="P84" s="215"/>
      <c r="Q84" s="215"/>
      <c r="R84" s="215"/>
      <c r="S84" s="215"/>
      <c r="T84" s="215"/>
      <c r="U84" s="215"/>
      <c r="V84" s="215"/>
      <c r="W84" s="160">
        <f>+W83-J83</f>
        <v>-120</v>
      </c>
      <c r="X84" s="514"/>
      <c r="Y84" s="103">
        <f>+SUM(L84:V84)-S84/2</f>
        <v>0</v>
      </c>
      <c r="Z84" s="138"/>
      <c r="AA84" s="138"/>
      <c r="AB84" s="115"/>
      <c r="AC84" s="116"/>
      <c r="AD84" s="157"/>
      <c r="AE84" s="167">
        <f t="shared" si="3"/>
        <v>0</v>
      </c>
      <c r="AF84" s="167"/>
      <c r="AG84" s="167"/>
    </row>
    <row r="85" spans="1:35" s="98" customFormat="1" ht="62.25" customHeight="1" thickBot="1" x14ac:dyDescent="0.95">
      <c r="A85" s="124"/>
      <c r="B85" s="126">
        <f>+B83</f>
        <v>19</v>
      </c>
      <c r="C85" s="174" t="s">
        <v>152</v>
      </c>
      <c r="D85" s="175">
        <f>+D84+100</f>
        <v>119</v>
      </c>
      <c r="E85" s="175"/>
      <c r="F85" s="117" t="s">
        <v>203</v>
      </c>
      <c r="G85" s="117"/>
      <c r="H85" s="146"/>
      <c r="I85" s="165">
        <f>+IF(J85="","",IF(J83=0,"",(J83*I83)/(J85*60)))</f>
        <v>0.92407407407407405</v>
      </c>
      <c r="J85" s="118">
        <v>54</v>
      </c>
      <c r="K85" s="104" t="s">
        <v>19</v>
      </c>
      <c r="L85" s="216"/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173"/>
      <c r="X85" s="168">
        <f>+(COUNTA(L83:V83)-(Y83/J83))</f>
        <v>0</v>
      </c>
      <c r="Y85" s="105">
        <f>+SUM(L85:V85)-S85/2</f>
        <v>0</v>
      </c>
      <c r="Z85" s="139"/>
      <c r="AA85" s="139"/>
      <c r="AB85" s="119">
        <f>+IFERROR(AB83/(J83*9),"")</f>
        <v>0.83333333333333337</v>
      </c>
      <c r="AC85" s="120"/>
      <c r="AD85" s="161">
        <f>+Y84+Y85/2</f>
        <v>0</v>
      </c>
      <c r="AE85" s="167">
        <f t="shared" si="3"/>
        <v>0</v>
      </c>
      <c r="AF85" s="167"/>
      <c r="AG85" s="230">
        <f>+IF((Y83-J83*9)&gt;=0,"",Y83-J83*9)</f>
        <v>-1080</v>
      </c>
      <c r="AH85" s="91"/>
    </row>
    <row r="86" spans="1:35" s="98" customFormat="1" ht="39.75" customHeight="1" thickTop="1" thickBot="1" x14ac:dyDescent="0.95">
      <c r="A86" s="124"/>
      <c r="B86" s="94"/>
      <c r="C86" s="176"/>
      <c r="D86" s="91"/>
      <c r="E86" s="91"/>
      <c r="F86" s="91"/>
      <c r="G86" s="91"/>
      <c r="I86" s="91"/>
      <c r="J86" s="91"/>
      <c r="K86" s="99"/>
      <c r="L86" s="124"/>
      <c r="M86" s="124"/>
      <c r="N86" s="124"/>
      <c r="O86" s="124"/>
      <c r="P86" s="124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  <c r="AC86" s="95"/>
      <c r="AD86" s="158"/>
      <c r="AE86" s="167"/>
      <c r="AG86" s="220"/>
      <c r="AH86" s="220"/>
      <c r="AI86" s="220"/>
    </row>
    <row r="87" spans="1:35" s="148" customFormat="1" ht="91.5" customHeight="1" thickTop="1" thickBot="1" x14ac:dyDescent="0.55000000000000004">
      <c r="A87" s="164"/>
      <c r="B87" s="181"/>
      <c r="C87" s="92"/>
      <c r="D87" s="92"/>
      <c r="E87" s="92"/>
      <c r="F87" s="92"/>
      <c r="G87" s="92"/>
      <c r="H87" s="98"/>
      <c r="I87" s="92"/>
      <c r="J87" s="92"/>
      <c r="K87" s="179" t="s">
        <v>17</v>
      </c>
      <c r="L87" s="166">
        <f t="shared" ref="L87:V87" si="4">+SUMIF($K$6:$K$86,$K$87,L6:L86)</f>
        <v>75</v>
      </c>
      <c r="M87" s="166">
        <f t="shared" si="4"/>
        <v>75</v>
      </c>
      <c r="N87" s="166">
        <f t="shared" si="4"/>
        <v>75</v>
      </c>
      <c r="O87" s="166">
        <f t="shared" si="4"/>
        <v>75</v>
      </c>
      <c r="P87" s="166">
        <f t="shared" si="4"/>
        <v>75</v>
      </c>
      <c r="Q87" s="166">
        <f t="shared" si="4"/>
        <v>75</v>
      </c>
      <c r="R87" s="166">
        <f t="shared" si="4"/>
        <v>75</v>
      </c>
      <c r="S87" s="166">
        <f t="shared" si="4"/>
        <v>13</v>
      </c>
      <c r="T87" s="166">
        <f t="shared" si="4"/>
        <v>0</v>
      </c>
      <c r="U87" s="166">
        <f t="shared" si="4"/>
        <v>0</v>
      </c>
      <c r="V87" s="166">
        <f t="shared" si="4"/>
        <v>0</v>
      </c>
      <c r="W87" s="2"/>
      <c r="X87" s="166">
        <f>+SUM(L87:V87)</f>
        <v>538</v>
      </c>
      <c r="Y87" s="92"/>
      <c r="Z87" s="164"/>
      <c r="AA87" s="92"/>
      <c r="AB87" s="92"/>
      <c r="AC87" s="177"/>
      <c r="AD87" s="178"/>
      <c r="AE87" s="167">
        <f>+AD87*60</f>
        <v>0</v>
      </c>
      <c r="AH87" s="91"/>
    </row>
    <row r="88" spans="1:35" s="148" customFormat="1" ht="91.5" customHeight="1" thickTop="1" thickBot="1" x14ac:dyDescent="0.55000000000000004">
      <c r="A88" s="164"/>
      <c r="B88" s="223"/>
      <c r="C88" s="223"/>
      <c r="D88" s="223"/>
      <c r="E88" s="223"/>
      <c r="F88" s="223"/>
      <c r="G88" s="223"/>
      <c r="H88" s="91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223"/>
      <c r="U88" s="223"/>
      <c r="V88" s="223"/>
      <c r="W88" s="223"/>
      <c r="X88" s="223"/>
      <c r="Y88" s="92"/>
      <c r="Z88" s="92"/>
      <c r="AA88" s="92"/>
      <c r="AB88" s="92"/>
      <c r="AC88" s="177"/>
      <c r="AD88" s="178"/>
      <c r="AE88" s="167"/>
      <c r="AH88" s="91"/>
    </row>
    <row r="89" spans="1:35" s="98" customFormat="1" ht="91.5" customHeight="1" thickTop="1" thickBot="1" x14ac:dyDescent="0.95">
      <c r="A89" s="124"/>
      <c r="B89" s="94"/>
      <c r="C89" s="91"/>
      <c r="D89" s="91"/>
      <c r="E89" s="91"/>
      <c r="F89" s="91"/>
      <c r="G89" s="91"/>
      <c r="H89" s="92"/>
      <c r="I89" s="91"/>
      <c r="J89" s="91"/>
      <c r="K89" s="208" t="s">
        <v>18</v>
      </c>
      <c r="L89" s="166">
        <f t="shared" ref="L89:V89" si="5">+SUMIF($K$6:$K$86,$K$89,L6:L86)</f>
        <v>16</v>
      </c>
      <c r="M89" s="166">
        <f t="shared" si="5"/>
        <v>16</v>
      </c>
      <c r="N89" s="166">
        <f t="shared" si="5"/>
        <v>16</v>
      </c>
      <c r="O89" s="166">
        <f t="shared" si="5"/>
        <v>16</v>
      </c>
      <c r="P89" s="166">
        <f t="shared" si="5"/>
        <v>16</v>
      </c>
      <c r="Q89" s="166">
        <f t="shared" si="5"/>
        <v>16</v>
      </c>
      <c r="R89" s="166">
        <f t="shared" si="5"/>
        <v>16</v>
      </c>
      <c r="S89" s="166">
        <f t="shared" si="5"/>
        <v>16</v>
      </c>
      <c r="T89" s="166">
        <f t="shared" si="5"/>
        <v>0</v>
      </c>
      <c r="U89" s="166">
        <f t="shared" si="5"/>
        <v>0</v>
      </c>
      <c r="V89" s="166">
        <f t="shared" si="5"/>
        <v>0</v>
      </c>
      <c r="W89" s="2"/>
      <c r="X89" s="91"/>
      <c r="Y89" s="91"/>
      <c r="Z89" s="91"/>
      <c r="AA89" s="91"/>
      <c r="AB89" s="91"/>
      <c r="AC89" s="95"/>
      <c r="AD89" s="158"/>
      <c r="AH89" s="91"/>
    </row>
    <row r="90" spans="1:35" s="98" customFormat="1" ht="91.5" customHeight="1" thickTop="1" thickBot="1" x14ac:dyDescent="0.95">
      <c r="A90" s="124"/>
      <c r="B90" s="94"/>
      <c r="C90" s="91"/>
      <c r="D90" s="91"/>
      <c r="E90" s="91"/>
      <c r="F90" s="91"/>
      <c r="G90" s="91"/>
      <c r="H90" s="223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 t="s">
        <v>185</v>
      </c>
      <c r="Y90" s="91"/>
      <c r="Z90" s="91"/>
      <c r="AA90" s="91"/>
      <c r="AB90" s="91"/>
      <c r="AC90" s="95"/>
      <c r="AD90" s="158"/>
      <c r="AH90" s="91"/>
    </row>
    <row r="91" spans="1:35" s="98" customFormat="1" ht="91.5" customHeight="1" thickTop="1" thickBot="1" x14ac:dyDescent="0.95">
      <c r="A91" s="124"/>
      <c r="B91" s="94"/>
      <c r="C91" s="92"/>
      <c r="D91" s="92"/>
      <c r="E91" s="92"/>
      <c r="F91" s="92"/>
      <c r="G91" s="92"/>
      <c r="H91" s="91"/>
      <c r="I91" s="93"/>
      <c r="J91" s="92"/>
      <c r="K91" s="208" t="s">
        <v>19</v>
      </c>
      <c r="L91" s="166">
        <f t="shared" ref="L91:V91" si="6">+SUMIF($K$6:$K$86,$K$91,L6:L86)</f>
        <v>0</v>
      </c>
      <c r="M91" s="166">
        <f t="shared" si="6"/>
        <v>0</v>
      </c>
      <c r="N91" s="166">
        <f t="shared" si="6"/>
        <v>0</v>
      </c>
      <c r="O91" s="166">
        <f t="shared" si="6"/>
        <v>0</v>
      </c>
      <c r="P91" s="166">
        <f t="shared" si="6"/>
        <v>0</v>
      </c>
      <c r="Q91" s="166">
        <f t="shared" si="6"/>
        <v>0</v>
      </c>
      <c r="R91" s="166">
        <f t="shared" si="6"/>
        <v>0</v>
      </c>
      <c r="S91" s="166">
        <f t="shared" si="6"/>
        <v>0</v>
      </c>
      <c r="T91" s="166">
        <f t="shared" si="6"/>
        <v>0</v>
      </c>
      <c r="U91" s="166">
        <f t="shared" si="6"/>
        <v>0</v>
      </c>
      <c r="V91" s="166">
        <f t="shared" si="6"/>
        <v>0</v>
      </c>
      <c r="W91" s="2"/>
      <c r="X91" s="91"/>
      <c r="Y91" s="91"/>
      <c r="Z91" s="91"/>
      <c r="AA91" s="91"/>
      <c r="AB91" s="91"/>
      <c r="AC91" s="95"/>
      <c r="AD91" s="158"/>
      <c r="AH91" s="91"/>
    </row>
    <row r="92" spans="1:35" s="98" customFormat="1" ht="62.25" customHeight="1" thickTop="1" x14ac:dyDescent="0.9">
      <c r="A92" s="124"/>
      <c r="B92" s="94"/>
      <c r="C92" s="92"/>
      <c r="D92" s="92"/>
      <c r="E92" s="92"/>
      <c r="F92" s="92"/>
      <c r="G92" s="92"/>
      <c r="H92" s="91"/>
      <c r="I92" s="93"/>
      <c r="J92" s="92"/>
      <c r="K92" s="99"/>
      <c r="L92" s="209">
        <f>+IF(L89=0,"",L91/L89)</f>
        <v>0</v>
      </c>
      <c r="M92" s="209">
        <f t="shared" ref="M92:V92" si="7">+IF(M89=0,"",M91/M89)</f>
        <v>0</v>
      </c>
      <c r="N92" s="209">
        <f t="shared" si="7"/>
        <v>0</v>
      </c>
      <c r="O92" s="209">
        <f t="shared" si="7"/>
        <v>0</v>
      </c>
      <c r="P92" s="209">
        <f t="shared" si="7"/>
        <v>0</v>
      </c>
      <c r="Q92" s="209">
        <f t="shared" si="7"/>
        <v>0</v>
      </c>
      <c r="R92" s="209">
        <f t="shared" si="7"/>
        <v>0</v>
      </c>
      <c r="S92" s="209">
        <f t="shared" si="7"/>
        <v>0</v>
      </c>
      <c r="T92" s="209" t="str">
        <f t="shared" si="7"/>
        <v/>
      </c>
      <c r="U92" s="209" t="str">
        <f t="shared" si="7"/>
        <v/>
      </c>
      <c r="V92" s="209" t="str">
        <f t="shared" si="7"/>
        <v/>
      </c>
      <c r="W92" s="91"/>
      <c r="X92" s="91"/>
      <c r="Y92" s="91"/>
      <c r="Z92" s="91"/>
      <c r="AA92" s="91"/>
      <c r="AB92" s="211"/>
      <c r="AC92" s="95"/>
      <c r="AD92" s="158"/>
      <c r="AH92" s="91"/>
    </row>
    <row r="93" spans="1:35" s="98" customFormat="1" ht="62.25" customHeight="1" thickBot="1" x14ac:dyDescent="0.95">
      <c r="A93" s="124"/>
      <c r="B93" s="94"/>
      <c r="C93" s="92"/>
      <c r="D93" s="92"/>
      <c r="E93" s="92"/>
      <c r="F93" s="92"/>
      <c r="G93" s="92"/>
      <c r="H93" s="92"/>
      <c r="I93" s="93"/>
      <c r="J93" s="92"/>
      <c r="K93" s="99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  <c r="AC93" s="95"/>
      <c r="AD93" s="158"/>
      <c r="AH93" s="91"/>
    </row>
    <row r="94" spans="1:35" s="98" customFormat="1" ht="88.5" customHeight="1" thickTop="1" thickBot="1" x14ac:dyDescent="0.95">
      <c r="A94" s="124"/>
      <c r="B94" s="94"/>
      <c r="C94" s="92"/>
      <c r="D94" s="92"/>
      <c r="E94" s="92"/>
      <c r="F94" s="92"/>
      <c r="G94" s="92"/>
      <c r="H94" s="92"/>
      <c r="I94" s="93"/>
      <c r="J94" s="212" t="s">
        <v>18</v>
      </c>
      <c r="K94" s="222" t="s">
        <v>180</v>
      </c>
      <c r="L94" s="166">
        <f t="shared" ref="L94:V94" si="8">+IF(L89=0,"",SUMIF($K$6:$K$86,$J$94,$I$6:$I$86))</f>
        <v>29</v>
      </c>
      <c r="M94" s="166">
        <f t="shared" si="8"/>
        <v>29</v>
      </c>
      <c r="N94" s="166">
        <f t="shared" si="8"/>
        <v>29</v>
      </c>
      <c r="O94" s="166">
        <f t="shared" si="8"/>
        <v>29</v>
      </c>
      <c r="P94" s="166">
        <f t="shared" si="8"/>
        <v>29</v>
      </c>
      <c r="Q94" s="166">
        <f t="shared" si="8"/>
        <v>29</v>
      </c>
      <c r="R94" s="166">
        <f t="shared" si="8"/>
        <v>29</v>
      </c>
      <c r="S94" s="166">
        <f t="shared" si="8"/>
        <v>29</v>
      </c>
      <c r="T94" s="166" t="str">
        <f t="shared" si="8"/>
        <v/>
      </c>
      <c r="U94" s="166" t="str">
        <f t="shared" si="8"/>
        <v/>
      </c>
      <c r="V94" s="166" t="str">
        <f t="shared" si="8"/>
        <v/>
      </c>
      <c r="W94" s="2"/>
      <c r="X94" s="91"/>
      <c r="Y94" s="91"/>
      <c r="Z94" s="91"/>
      <c r="AA94" s="91"/>
      <c r="AB94" s="91"/>
      <c r="AC94" s="95"/>
      <c r="AD94" s="158"/>
      <c r="AH94" s="91"/>
    </row>
    <row r="95" spans="1:35" s="98" customFormat="1" ht="62.25" customHeight="1" thickTop="1" x14ac:dyDescent="0.9">
      <c r="A95" s="124"/>
      <c r="B95" s="94"/>
      <c r="C95" s="92"/>
      <c r="D95" s="92"/>
      <c r="E95" s="92"/>
      <c r="F95" s="92"/>
      <c r="G95" s="92"/>
      <c r="H95" s="92"/>
      <c r="I95" s="93"/>
      <c r="J95" s="212"/>
      <c r="K95" s="99"/>
      <c r="L95" s="209">
        <f>+IF(L89=0,"",L94/L89)</f>
        <v>1.8125</v>
      </c>
      <c r="M95" s="209">
        <f t="shared" ref="M95:V95" si="9">+IF(M89=0,"",M94/M89)</f>
        <v>1.8125</v>
      </c>
      <c r="N95" s="209">
        <f t="shared" si="9"/>
        <v>1.8125</v>
      </c>
      <c r="O95" s="209">
        <f t="shared" si="9"/>
        <v>1.8125</v>
      </c>
      <c r="P95" s="209">
        <f t="shared" si="9"/>
        <v>1.8125</v>
      </c>
      <c r="Q95" s="209">
        <f t="shared" si="9"/>
        <v>1.8125</v>
      </c>
      <c r="R95" s="209">
        <f t="shared" si="9"/>
        <v>1.8125</v>
      </c>
      <c r="S95" s="209">
        <f t="shared" si="9"/>
        <v>1.8125</v>
      </c>
      <c r="T95" s="209" t="str">
        <f t="shared" si="9"/>
        <v/>
      </c>
      <c r="U95" s="209" t="str">
        <f t="shared" si="9"/>
        <v/>
      </c>
      <c r="V95" s="209" t="str">
        <f t="shared" si="9"/>
        <v/>
      </c>
      <c r="W95" s="91"/>
      <c r="X95" s="91"/>
      <c r="Y95" s="91"/>
      <c r="Z95" s="91"/>
      <c r="AA95" s="91"/>
      <c r="AB95" s="91"/>
      <c r="AC95" s="95"/>
      <c r="AD95" s="158"/>
      <c r="AH95" s="91"/>
    </row>
    <row r="96" spans="1:35" s="98" customFormat="1" ht="62.25" customHeight="1" thickBot="1" x14ac:dyDescent="0.95">
      <c r="A96" s="124"/>
      <c r="B96" s="94"/>
      <c r="C96" s="92"/>
      <c r="D96" s="92"/>
      <c r="E96" s="92"/>
      <c r="F96" s="92"/>
      <c r="G96" s="92"/>
      <c r="H96" s="92"/>
      <c r="I96" s="93"/>
      <c r="J96" s="212"/>
      <c r="K96" s="99"/>
      <c r="L96" s="91"/>
      <c r="M96" s="91"/>
      <c r="N96" s="91"/>
      <c r="O96" s="91"/>
      <c r="P96" s="124"/>
      <c r="Q96" s="124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5"/>
      <c r="AD96" s="158"/>
      <c r="AH96" s="91"/>
    </row>
    <row r="97" spans="1:34" s="98" customFormat="1" ht="98.25" customHeight="1" thickTop="1" thickBot="1" x14ac:dyDescent="0.95">
      <c r="A97" s="124"/>
      <c r="B97" s="94"/>
      <c r="C97" s="92"/>
      <c r="D97" s="92"/>
      <c r="E97" s="92"/>
      <c r="F97" s="92"/>
      <c r="G97" s="92"/>
      <c r="H97" s="92"/>
      <c r="I97" s="93"/>
      <c r="J97" s="212"/>
      <c r="K97" s="222" t="s">
        <v>181</v>
      </c>
      <c r="L97" s="166">
        <f t="shared" ref="L97:V97" si="10">+IF(L89=0,"",SUMIF($K$6:$K$86,$J$94,$H$6:$H$88))</f>
        <v>5</v>
      </c>
      <c r="M97" s="166">
        <f t="shared" si="10"/>
        <v>5</v>
      </c>
      <c r="N97" s="166">
        <f t="shared" si="10"/>
        <v>5</v>
      </c>
      <c r="O97" s="166">
        <f t="shared" si="10"/>
        <v>5</v>
      </c>
      <c r="P97" s="166">
        <f t="shared" si="10"/>
        <v>5</v>
      </c>
      <c r="Q97" s="166">
        <f t="shared" si="10"/>
        <v>5</v>
      </c>
      <c r="R97" s="166">
        <f t="shared" si="10"/>
        <v>5</v>
      </c>
      <c r="S97" s="166">
        <f t="shared" si="10"/>
        <v>5</v>
      </c>
      <c r="T97" s="166" t="str">
        <f t="shared" si="10"/>
        <v/>
      </c>
      <c r="U97" s="166" t="str">
        <f t="shared" si="10"/>
        <v/>
      </c>
      <c r="V97" s="166" t="str">
        <f t="shared" si="10"/>
        <v/>
      </c>
      <c r="W97" s="91"/>
      <c r="X97" s="91"/>
      <c r="Y97" s="91"/>
      <c r="Z97" s="91"/>
      <c r="AA97" s="91"/>
      <c r="AB97" s="91"/>
      <c r="AC97" s="95"/>
      <c r="AD97" s="158"/>
      <c r="AH97" s="91"/>
    </row>
    <row r="98" spans="1:34" s="98" customFormat="1" ht="62.25" customHeight="1" thickTop="1" x14ac:dyDescent="0.9">
      <c r="A98" s="124"/>
      <c r="B98" s="94"/>
      <c r="C98" s="92"/>
      <c r="D98" s="92"/>
      <c r="E98" s="92"/>
      <c r="F98" s="92"/>
      <c r="G98" s="92"/>
      <c r="H98" s="92"/>
      <c r="I98" s="93"/>
      <c r="J98" s="212"/>
      <c r="K98" s="99"/>
      <c r="L98" s="209">
        <f>+IF(L89=0,"",L97/L89)</f>
        <v>0.3125</v>
      </c>
      <c r="M98" s="209">
        <f t="shared" ref="M98:V98" si="11">+IF(M89=0,"",M97/M89)</f>
        <v>0.3125</v>
      </c>
      <c r="N98" s="209">
        <f t="shared" si="11"/>
        <v>0.3125</v>
      </c>
      <c r="O98" s="209">
        <f t="shared" si="11"/>
        <v>0.3125</v>
      </c>
      <c r="P98" s="209">
        <f t="shared" si="11"/>
        <v>0.3125</v>
      </c>
      <c r="Q98" s="209">
        <f t="shared" si="11"/>
        <v>0.3125</v>
      </c>
      <c r="R98" s="209">
        <f t="shared" si="11"/>
        <v>0.3125</v>
      </c>
      <c r="S98" s="209">
        <f t="shared" si="11"/>
        <v>0.3125</v>
      </c>
      <c r="T98" s="209" t="str">
        <f t="shared" si="11"/>
        <v/>
      </c>
      <c r="U98" s="209" t="str">
        <f t="shared" si="11"/>
        <v/>
      </c>
      <c r="V98" s="209" t="str">
        <f t="shared" si="11"/>
        <v/>
      </c>
      <c r="W98" s="91"/>
      <c r="X98" s="91"/>
      <c r="Y98" s="91"/>
      <c r="Z98" s="91"/>
      <c r="AA98" s="91"/>
      <c r="AB98" s="91"/>
      <c r="AC98" s="95"/>
      <c r="AD98" s="158"/>
      <c r="AH98" s="91"/>
    </row>
    <row r="99" spans="1:34" s="98" customFormat="1" ht="62.25" customHeight="1" x14ac:dyDescent="0.9">
      <c r="A99" s="124"/>
      <c r="B99" s="94"/>
      <c r="C99" s="92"/>
      <c r="D99" s="92"/>
      <c r="E99" s="92"/>
      <c r="F99" s="92"/>
      <c r="G99" s="92"/>
      <c r="H99" s="92"/>
      <c r="I99" s="93"/>
      <c r="J99" s="212"/>
      <c r="K99" s="99"/>
      <c r="L99" s="91"/>
      <c r="M99" s="91"/>
      <c r="N99" s="91"/>
      <c r="O99" s="91"/>
      <c r="P99" s="124"/>
      <c r="Q99" s="124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5"/>
      <c r="AD99" s="158"/>
      <c r="AH99" s="91"/>
    </row>
    <row r="100" spans="1:34" s="98" customFormat="1" x14ac:dyDescent="0.55000000000000004">
      <c r="A100" s="91"/>
      <c r="B100" s="94"/>
      <c r="C100" s="92"/>
      <c r="D100" s="92"/>
      <c r="E100" s="92"/>
      <c r="F100" s="92"/>
      <c r="G100" s="92"/>
      <c r="H100" s="92"/>
      <c r="I100" s="93"/>
      <c r="J100" s="92"/>
      <c r="K100" s="99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5"/>
      <c r="AD100" s="155"/>
      <c r="AH100" s="91"/>
    </row>
    <row r="101" spans="1:34" s="98" customFormat="1" ht="46.5" x14ac:dyDescent="0.7">
      <c r="A101" s="91"/>
      <c r="B101" s="94"/>
      <c r="C101" s="92"/>
      <c r="D101" s="92"/>
      <c r="E101" s="92"/>
      <c r="F101" s="92"/>
      <c r="G101" s="92"/>
      <c r="H101" s="92"/>
      <c r="I101" s="93"/>
      <c r="J101" s="92"/>
      <c r="K101" s="99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5"/>
      <c r="AD101" s="158"/>
      <c r="AH101" s="91"/>
    </row>
    <row r="102" spans="1:34" ht="46.5" x14ac:dyDescent="0.7">
      <c r="I102" s="91"/>
      <c r="J102" s="91"/>
      <c r="S102" s="515" t="s">
        <v>212</v>
      </c>
      <c r="T102" s="515"/>
      <c r="U102" s="515"/>
      <c r="AD102" s="158"/>
    </row>
    <row r="103" spans="1:34" ht="105" customHeight="1" x14ac:dyDescent="0.7">
      <c r="AD103" s="158"/>
    </row>
    <row r="104" spans="1:34" ht="46.5" x14ac:dyDescent="0.7">
      <c r="A104" s="91" t="s">
        <v>197</v>
      </c>
      <c r="H104" s="91"/>
      <c r="AD104" s="158"/>
    </row>
    <row r="105" spans="1:34" s="98" customFormat="1" ht="46.5" x14ac:dyDescent="0.7">
      <c r="A105" s="91"/>
      <c r="B105" s="94"/>
      <c r="C105" s="92"/>
      <c r="D105" s="92"/>
      <c r="E105" s="92"/>
      <c r="F105" s="92"/>
      <c r="G105" s="92"/>
      <c r="H105" s="92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</row>
    <row r="106" spans="1:34" s="98" customFormat="1" ht="46.5" x14ac:dyDescent="0.7">
      <c r="A106" s="91"/>
      <c r="B106" s="94"/>
      <c r="C106" s="92"/>
      <c r="D106" s="92"/>
      <c r="E106" s="92"/>
      <c r="F106" s="92"/>
      <c r="G106" s="92"/>
      <c r="H106" s="92"/>
      <c r="I106" s="93"/>
      <c r="J106" s="92"/>
      <c r="K106" s="99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5"/>
      <c r="AD106" s="158"/>
      <c r="AH106" s="91"/>
    </row>
    <row r="107" spans="1:34" s="98" customFormat="1" ht="46.5" x14ac:dyDescent="0.7">
      <c r="A107" s="91"/>
      <c r="B107" s="94"/>
      <c r="C107" s="92"/>
      <c r="D107" s="92"/>
      <c r="E107" s="92"/>
      <c r="F107" s="92"/>
      <c r="G107" s="92"/>
      <c r="H107" s="92"/>
      <c r="I107" s="93"/>
      <c r="J107" s="92"/>
      <c r="K107" s="99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5"/>
      <c r="AD107" s="158"/>
      <c r="AH107" s="91"/>
    </row>
    <row r="108" spans="1:34" s="98" customFormat="1" ht="66" customHeight="1" x14ac:dyDescent="0.7">
      <c r="A108" s="91"/>
      <c r="B108" s="94"/>
      <c r="C108" s="92"/>
      <c r="D108" s="92"/>
      <c r="E108" s="92"/>
      <c r="F108" s="92"/>
      <c r="G108" s="92"/>
      <c r="H108" s="92"/>
      <c r="I108" s="93"/>
      <c r="J108" s="92"/>
      <c r="K108" s="99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5"/>
      <c r="AD108" s="158"/>
      <c r="AH108" s="91"/>
    </row>
  </sheetData>
  <sheetProtection algorithmName="SHA-512" hashValue="bKoakQcEDe5suIAow/ZrzBw6wOlxmIISCciU7+Y9jBgkJoVq+YjnX/n8pdEfC7+trtMaJq6pYTgIaOgIQM/mhg==" saltValue="Z+553yaHjCe2FataNG6Z2g==" spinCount="100000" sheet="1" objects="1" scenarios="1" selectLockedCells="1" autoFilter="0"/>
  <autoFilter ref="A1:AF92"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7" showButton="0"/>
  </autoFilter>
  <mergeCells count="29">
    <mergeCell ref="B1:Z2"/>
    <mergeCell ref="AB1:AC1"/>
    <mergeCell ref="AB2:AC3"/>
    <mergeCell ref="J3:K3"/>
    <mergeCell ref="B4:F4"/>
    <mergeCell ref="J4:K4"/>
    <mergeCell ref="AB4:AC4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X74:X76"/>
    <mergeCell ref="X78:X80"/>
    <mergeCell ref="X82:X84"/>
    <mergeCell ref="S102:U102"/>
    <mergeCell ref="X50:X52"/>
    <mergeCell ref="X54:X56"/>
    <mergeCell ref="X58:X60"/>
    <mergeCell ref="X62:X64"/>
    <mergeCell ref="X66:X68"/>
    <mergeCell ref="X70:X72"/>
  </mergeCells>
  <conditionalFormatting sqref="W8">
    <cfRule type="cellIs" dxfId="14029" priority="2" operator="lessThan">
      <formula>0</formula>
    </cfRule>
  </conditionalFormatting>
  <conditionalFormatting sqref="W12 W16 W20 W24 W28 W32 W36 W40 W44 W48 W52 W56 W60 W64 W68 W72 W76 W80 W84">
    <cfRule type="cellIs" dxfId="14028" priority="1" operator="lessThan">
      <formula>0</formula>
    </cfRule>
  </conditionalFormatting>
  <conditionalFormatting sqref="AB2:AC3">
    <cfRule type="cellIs" dxfId="14027" priority="26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/>
  <headerFooter>
    <oddHeader>&amp;L&amp;"-,Bold"&amp;48&amp;T</oddHeader>
  </headerFooter>
  <rowBreaks count="1" manualBreakCount="1">
    <brk id="49" max="29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" id="{FD1B301B-4519-4199-92D6-A207F14D02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2" id="{505469AD-6483-49E7-ADE0-7117C7D3E4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0" id="{AEA8059A-8EAE-4CC3-B625-A8E0E2D8956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18" id="{5B4A5F42-7FE5-4EF2-A53E-18E0AF66910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16" id="{5DD72E5E-641C-4908-89A1-61609D5D09E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21" id="{E541BF0A-7DC9-4E8A-B1CA-986235F1F17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4" id="{966D099F-0BC4-43E7-A698-71032823DB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5" id="{A492CDF2-F661-43D9-8CA8-30B222503B6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17" id="{9274D561-F6E1-4BD2-8CE9-DF80D08A54B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24" id="{495BAB0B-9054-413C-B69A-556475282C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8" id="{EB57E06F-78EE-4F8E-AD36-BB4C436974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14" id="{2B193223-21DF-4960-AA95-B012E15D1FD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11" id="{2374C62F-C6F9-4E0F-AFA8-93DB63D033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12" id="{C3BB7DD9-9022-4A96-8236-154FC39DB8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23" id="{6CA840CE-0B4F-4F8D-8DB8-701644B919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7" id="{90BCC5C7-7938-4CB1-A46E-1634CBF131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10" id="{F72FD225-6574-4DB9-BEE2-B39F344EF39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15" id="{8C074165-DF41-43C9-AE65-CA69361FE61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19" id="{2CBE5CE6-8C62-464B-A4A4-3EAF237D9E7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9" id="{E239EF33-F897-480F-93AA-EC6F036A54E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tabColor rgb="FF00B0F0"/>
  </sheetPr>
  <dimension ref="A1:BC120"/>
  <sheetViews>
    <sheetView zoomScale="23" zoomScaleNormal="23" zoomScaleSheetLayoutView="23" zoomScalePageLayoutView="23" workbookViewId="0">
      <pane xSplit="2" ySplit="5" topLeftCell="E78" activePane="bottomRight" state="frozen"/>
      <selection pane="topRight" activeCell="C1" sqref="C1"/>
      <selection pane="bottomLeft" activeCell="A6" sqref="A6"/>
      <selection pane="bottomRight" activeCell="L91" sqref="L91"/>
    </sheetView>
  </sheetViews>
  <sheetFormatPr defaultColWidth="9.140625" defaultRowHeight="36" x14ac:dyDescent="0.55000000000000004"/>
  <cols>
    <col min="1" max="1" width="1" style="91" customWidth="1"/>
    <col min="2" max="2" width="18.85546875" style="94" customWidth="1"/>
    <col min="3" max="3" width="53.140625" style="92" customWidth="1"/>
    <col min="4" max="4" width="3.85546875" style="92" hidden="1" customWidth="1"/>
    <col min="5" max="5" width="36" style="92" customWidth="1"/>
    <col min="6" max="6" width="49.42578125" style="92" customWidth="1"/>
    <col min="7" max="7" width="28" style="92" customWidth="1"/>
    <col min="8" max="8" width="45.710937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2.28515625" style="91" customWidth="1"/>
    <col min="25" max="25" width="38.28515625" style="91" customWidth="1"/>
    <col min="26" max="26" width="33.140625" style="91" customWidth="1"/>
    <col min="27" max="27" width="31" style="91" hidden="1" customWidth="1"/>
    <col min="28" max="28" width="29.42578125" style="91" customWidth="1"/>
    <col min="29" max="29" width="29.42578125" style="95" customWidth="1"/>
    <col min="30" max="30" width="28.42578125" style="155" customWidth="1"/>
    <col min="31" max="31" width="32.42578125" style="98" hidden="1" customWidth="1"/>
    <col min="32" max="32" width="34" style="98" hidden="1" customWidth="1"/>
    <col min="33" max="33" width="35.42578125" style="98" customWidth="1"/>
    <col min="34" max="34" width="40.7109375" style="91" customWidth="1"/>
    <col min="35" max="35" width="38.28515625" style="91" customWidth="1"/>
    <col min="36" max="42" width="9.140625" style="91" customWidth="1"/>
    <col min="43" max="43" width="30.28515625" style="91" customWidth="1"/>
    <col min="44" max="99" width="9.140625" style="91" customWidth="1"/>
    <col min="100" max="16384" width="9.140625" style="91"/>
  </cols>
  <sheetData>
    <row r="1" spans="1:34" ht="23.25" customHeight="1" x14ac:dyDescent="0.5">
      <c r="B1" s="518" t="s">
        <v>29</v>
      </c>
      <c r="C1" s="518"/>
      <c r="D1" s="518"/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518"/>
      <c r="S1" s="518"/>
      <c r="T1" s="518"/>
      <c r="U1" s="518"/>
      <c r="V1" s="518"/>
      <c r="W1" s="518"/>
      <c r="X1" s="518"/>
      <c r="Y1" s="518"/>
      <c r="Z1" s="518"/>
      <c r="AB1" s="519" t="s">
        <v>81</v>
      </c>
      <c r="AC1" s="519"/>
    </row>
    <row r="2" spans="1:34" ht="67.5" customHeight="1" x14ac:dyDescent="0.7">
      <c r="A2" s="91">
        <v>77</v>
      </c>
      <c r="B2" s="518"/>
      <c r="C2" s="518"/>
      <c r="D2" s="518"/>
      <c r="E2" s="518"/>
      <c r="F2" s="518"/>
      <c r="G2" s="518"/>
      <c r="H2" s="518"/>
      <c r="I2" s="518"/>
      <c r="J2" s="518"/>
      <c r="K2" s="518"/>
      <c r="L2" s="518"/>
      <c r="M2" s="518"/>
      <c r="N2" s="518"/>
      <c r="O2" s="518"/>
      <c r="P2" s="518"/>
      <c r="Q2" s="518"/>
      <c r="R2" s="518"/>
      <c r="S2" s="518"/>
      <c r="T2" s="518"/>
      <c r="U2" s="518"/>
      <c r="V2" s="518"/>
      <c r="W2" s="518"/>
      <c r="X2" s="518"/>
      <c r="Y2" s="518"/>
      <c r="Z2" s="518"/>
      <c r="AA2" s="96"/>
      <c r="AB2" s="520">
        <f>+AF2/AE2</f>
        <v>0.88716419770178601</v>
      </c>
      <c r="AC2" s="520"/>
      <c r="AE2" s="183">
        <f>+SUBTOTAL(9,AE6:AE115)</f>
        <v>433380</v>
      </c>
      <c r="AF2" s="183">
        <f>+SUBTOTAL(9,AF6:AF115)</f>
        <v>384479.22000000003</v>
      </c>
    </row>
    <row r="3" spans="1:34" ht="64.5" customHeight="1" x14ac:dyDescent="0.7">
      <c r="B3" s="233"/>
      <c r="C3" s="233"/>
      <c r="D3" s="233"/>
      <c r="E3" s="231"/>
      <c r="F3" s="231"/>
      <c r="G3" s="231"/>
      <c r="H3" s="231"/>
      <c r="I3" s="231"/>
      <c r="J3" s="521" t="s">
        <v>97</v>
      </c>
      <c r="K3" s="521"/>
      <c r="L3" s="147" t="s">
        <v>229</v>
      </c>
      <c r="M3" s="147" t="s">
        <v>82</v>
      </c>
      <c r="N3" s="147" t="s">
        <v>83</v>
      </c>
      <c r="O3" s="147" t="s">
        <v>84</v>
      </c>
      <c r="P3" s="147" t="s">
        <v>230</v>
      </c>
      <c r="Q3" s="147" t="s">
        <v>86</v>
      </c>
      <c r="R3" s="147" t="s">
        <v>87</v>
      </c>
      <c r="S3" s="147" t="s">
        <v>228</v>
      </c>
      <c r="T3" s="147"/>
      <c r="U3" s="147"/>
      <c r="V3" s="147"/>
      <c r="W3" s="199"/>
      <c r="X3" s="147"/>
      <c r="Y3" s="233"/>
      <c r="Z3" s="233"/>
      <c r="AA3" s="96"/>
      <c r="AB3" s="520"/>
      <c r="AC3" s="520"/>
      <c r="AE3" s="183"/>
      <c r="AF3" s="183"/>
    </row>
    <row r="4" spans="1:34" s="141" customFormat="1" ht="57" customHeight="1" thickBot="1" x14ac:dyDescent="0.75">
      <c r="B4" s="522" t="s">
        <v>108</v>
      </c>
      <c r="C4" s="522"/>
      <c r="D4" s="522"/>
      <c r="E4" s="522"/>
      <c r="F4" s="522"/>
      <c r="G4" s="217"/>
      <c r="I4" s="142"/>
      <c r="J4" s="523" t="s">
        <v>113</v>
      </c>
      <c r="K4" s="523"/>
      <c r="L4" s="235" t="s">
        <v>222</v>
      </c>
      <c r="M4" s="235" t="s">
        <v>223</v>
      </c>
      <c r="N4" s="235" t="s">
        <v>224</v>
      </c>
      <c r="O4" s="235" t="s">
        <v>225</v>
      </c>
      <c r="P4" s="235" t="s">
        <v>85</v>
      </c>
      <c r="Q4" s="235" t="s">
        <v>226</v>
      </c>
      <c r="R4" s="235" t="s">
        <v>227</v>
      </c>
      <c r="S4" s="235" t="s">
        <v>228</v>
      </c>
      <c r="T4" s="234"/>
      <c r="U4" s="172"/>
      <c r="V4" s="172"/>
      <c r="W4" s="143" t="s">
        <v>17</v>
      </c>
      <c r="X4" s="143"/>
      <c r="Y4" s="170">
        <f>+X99</f>
        <v>8219</v>
      </c>
      <c r="Z4" s="144" t="s">
        <v>28</v>
      </c>
      <c r="AA4" s="145"/>
      <c r="AB4" s="524">
        <v>44676</v>
      </c>
      <c r="AC4" s="524"/>
      <c r="AD4" s="171">
        <f>+SUM(AD6:AD103)</f>
        <v>7223</v>
      </c>
      <c r="AE4" s="98"/>
      <c r="AF4" s="98"/>
      <c r="AG4" s="148"/>
    </row>
    <row r="5" spans="1:34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516" t="s">
        <v>95</v>
      </c>
      <c r="J5" s="517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2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 t="s">
        <v>73</v>
      </c>
      <c r="AD5" s="156"/>
    </row>
    <row r="6" spans="1:34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40</v>
      </c>
      <c r="M6" s="215">
        <v>50</v>
      </c>
      <c r="N6" s="215">
        <v>37</v>
      </c>
      <c r="O6" s="215">
        <v>37</v>
      </c>
      <c r="P6" s="215">
        <v>40</v>
      </c>
      <c r="Q6" s="215">
        <v>37</v>
      </c>
      <c r="R6" s="215">
        <v>40</v>
      </c>
      <c r="S6" s="215"/>
      <c r="T6" s="213"/>
      <c r="U6" s="213"/>
      <c r="V6" s="213"/>
      <c r="W6" s="135"/>
      <c r="X6" s="513">
        <f>+W8</f>
        <v>-13.125</v>
      </c>
      <c r="Y6" s="135">
        <f t="shared" ref="Y6:Y37" si="0">+SUM(L6:V6)</f>
        <v>281</v>
      </c>
      <c r="Z6" s="136">
        <f>+AA6+Y6</f>
        <v>1225</v>
      </c>
      <c r="AA6" s="136">
        <v>944</v>
      </c>
      <c r="AB6" s="109"/>
      <c r="AC6" s="110"/>
      <c r="AD6" s="157"/>
      <c r="AE6" s="167"/>
      <c r="AF6" s="167"/>
      <c r="AG6" s="167"/>
      <c r="AH6" s="91"/>
    </row>
    <row r="7" spans="1:34" s="98" customFormat="1" ht="62.25" customHeight="1" x14ac:dyDescent="0.9">
      <c r="A7" s="124"/>
      <c r="B7" s="132">
        <v>1</v>
      </c>
      <c r="C7" s="111" t="s">
        <v>253</v>
      </c>
      <c r="D7" s="111"/>
      <c r="E7" s="111" t="s">
        <v>247</v>
      </c>
      <c r="F7" s="111" t="s">
        <v>248</v>
      </c>
      <c r="G7" s="111"/>
      <c r="H7" s="111" t="s">
        <v>33</v>
      </c>
      <c r="I7" s="113">
        <v>72.319999999999993</v>
      </c>
      <c r="J7" s="130">
        <v>40</v>
      </c>
      <c r="K7" s="101" t="s">
        <v>17</v>
      </c>
      <c r="L7" s="214">
        <v>25</v>
      </c>
      <c r="M7" s="214">
        <v>18</v>
      </c>
      <c r="N7" s="214">
        <v>20</v>
      </c>
      <c r="O7" s="214">
        <v>22</v>
      </c>
      <c r="P7" s="214">
        <v>30</v>
      </c>
      <c r="Q7" s="214">
        <v>30</v>
      </c>
      <c r="R7" s="214">
        <v>35</v>
      </c>
      <c r="S7" s="214">
        <v>35</v>
      </c>
      <c r="T7" s="214"/>
      <c r="U7" s="214"/>
      <c r="V7" s="214"/>
      <c r="W7" s="123">
        <f>+IF(COUNTA(L7:V7)=0,0,Y7/(COUNTA(L7:V7)))</f>
        <v>26.875</v>
      </c>
      <c r="X7" s="514"/>
      <c r="Y7" s="134">
        <f t="shared" si="0"/>
        <v>215</v>
      </c>
      <c r="Z7" s="137">
        <f>+Y7+AA7</f>
        <v>423</v>
      </c>
      <c r="AA7" s="137">
        <v>208</v>
      </c>
      <c r="AB7" s="140">
        <f>+Z6-Z7</f>
        <v>802</v>
      </c>
      <c r="AC7" s="131">
        <f>+IF(((Y8+(Y9/2))*60)=0,"",(I7*Y7)/((Y8+(Y9/2))*60))</f>
        <v>0.62899676375404523</v>
      </c>
      <c r="AD7" s="157"/>
      <c r="AE7" s="167"/>
      <c r="AF7" s="167">
        <f>+Y7*I7</f>
        <v>15548.8</v>
      </c>
      <c r="AG7" s="167"/>
      <c r="AH7" s="91"/>
    </row>
    <row r="8" spans="1:34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112"/>
      <c r="H8" s="210"/>
      <c r="I8" s="210"/>
      <c r="J8" s="114" t="s">
        <v>22</v>
      </c>
      <c r="K8" s="102" t="s">
        <v>18</v>
      </c>
      <c r="L8" s="215">
        <v>49</v>
      </c>
      <c r="M8" s="215">
        <v>49</v>
      </c>
      <c r="N8" s="215">
        <v>49</v>
      </c>
      <c r="O8" s="215">
        <v>49</v>
      </c>
      <c r="P8" s="215">
        <v>49</v>
      </c>
      <c r="Q8" s="215">
        <v>49</v>
      </c>
      <c r="R8" s="215">
        <v>49</v>
      </c>
      <c r="S8" s="215">
        <v>49</v>
      </c>
      <c r="T8" s="215"/>
      <c r="U8" s="215"/>
      <c r="V8" s="215"/>
      <c r="W8" s="160">
        <f>+W7-J7</f>
        <v>-13.125</v>
      </c>
      <c r="X8" s="514"/>
      <c r="Y8" s="103">
        <f t="shared" si="0"/>
        <v>392</v>
      </c>
      <c r="Z8" s="103"/>
      <c r="AA8" s="103"/>
      <c r="AB8" s="115"/>
      <c r="AC8" s="116"/>
      <c r="AD8" s="157"/>
      <c r="AE8" s="167"/>
      <c r="AF8" s="167"/>
      <c r="AG8" s="167"/>
      <c r="AH8" s="91"/>
    </row>
    <row r="9" spans="1:34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 t="s">
        <v>258</v>
      </c>
      <c r="I9" s="165">
        <f>+IF(J9="","",IF(J7=0,"",(J7*I7)/(J9*60)))</f>
        <v>0.89283950617283947</v>
      </c>
      <c r="J9" s="118">
        <v>54</v>
      </c>
      <c r="K9" s="104" t="s">
        <v>19</v>
      </c>
      <c r="L9" s="216">
        <v>5</v>
      </c>
      <c r="M9" s="216">
        <v>5</v>
      </c>
      <c r="N9" s="216">
        <v>5</v>
      </c>
      <c r="O9" s="216">
        <v>5</v>
      </c>
      <c r="P9" s="216">
        <v>5</v>
      </c>
      <c r="Q9" s="216">
        <v>5</v>
      </c>
      <c r="R9" s="216">
        <v>5</v>
      </c>
      <c r="S9" s="216">
        <v>5</v>
      </c>
      <c r="T9" s="216"/>
      <c r="U9" s="216"/>
      <c r="V9" s="216"/>
      <c r="W9" s="173"/>
      <c r="X9" s="168">
        <f>16.8+(COUNTA(L7:V7)-(Y7/J7))</f>
        <v>19.425000000000001</v>
      </c>
      <c r="Y9" s="105">
        <f t="shared" si="0"/>
        <v>40</v>
      </c>
      <c r="Z9" s="105"/>
      <c r="AA9" s="105"/>
      <c r="AB9" s="119">
        <f>+IFERROR(AB7/(J7*9),"")</f>
        <v>2.2277777777777779</v>
      </c>
      <c r="AC9" s="120"/>
      <c r="AD9" s="161">
        <f>+Y8+Y9/2</f>
        <v>412</v>
      </c>
      <c r="AE9" s="167">
        <f>+AD9*60</f>
        <v>24720</v>
      </c>
      <c r="AF9" s="167"/>
      <c r="AG9" s="230">
        <f>+IF((Y7-J7*9)&gt;=0,"",Y7-J7*9)</f>
        <v>-145</v>
      </c>
      <c r="AH9" s="91"/>
    </row>
    <row r="10" spans="1:34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3">
        <v>60</v>
      </c>
      <c r="M10" s="213">
        <v>60</v>
      </c>
      <c r="N10" s="213">
        <v>60</v>
      </c>
      <c r="O10" s="213">
        <v>60</v>
      </c>
      <c r="P10" s="213">
        <v>60</v>
      </c>
      <c r="Q10" s="213">
        <v>60</v>
      </c>
      <c r="R10" s="213">
        <v>60</v>
      </c>
      <c r="S10" s="213"/>
      <c r="T10" s="213"/>
      <c r="U10" s="213"/>
      <c r="V10" s="213"/>
      <c r="W10" s="135"/>
      <c r="X10" s="513">
        <f>+W12</f>
        <v>0</v>
      </c>
      <c r="Y10" s="135">
        <f t="shared" si="0"/>
        <v>420</v>
      </c>
      <c r="Z10" s="136">
        <f>+AA10+Y10</f>
        <v>5121</v>
      </c>
      <c r="AA10" s="136">
        <v>4701</v>
      </c>
      <c r="AB10" s="109"/>
      <c r="AC10" s="110"/>
      <c r="AD10" s="157"/>
      <c r="AE10" s="167">
        <f t="shared" ref="AE10:AE81" si="1">+AD10*60</f>
        <v>0</v>
      </c>
      <c r="AF10" s="167"/>
      <c r="AG10" s="167"/>
      <c r="AH10" s="91"/>
    </row>
    <row r="11" spans="1:34" s="98" customFormat="1" ht="62.25" customHeight="1" x14ac:dyDescent="0.9">
      <c r="A11" s="124"/>
      <c r="B11" s="132">
        <v>2</v>
      </c>
      <c r="C11" s="111" t="s">
        <v>233</v>
      </c>
      <c r="D11" s="111"/>
      <c r="E11" s="111" t="s">
        <v>35</v>
      </c>
      <c r="F11" s="111" t="s">
        <v>220</v>
      </c>
      <c r="G11" s="111">
        <v>5599</v>
      </c>
      <c r="H11" s="111" t="s">
        <v>221</v>
      </c>
      <c r="I11" s="113">
        <v>52.67</v>
      </c>
      <c r="J11" s="130">
        <v>50</v>
      </c>
      <c r="K11" s="101" t="s">
        <v>17</v>
      </c>
      <c r="L11" s="214">
        <v>40</v>
      </c>
      <c r="M11" s="214">
        <v>30</v>
      </c>
      <c r="N11" s="214">
        <v>55</v>
      </c>
      <c r="O11" s="214">
        <v>60</v>
      </c>
      <c r="P11" s="214">
        <v>27</v>
      </c>
      <c r="Q11" s="214">
        <v>70</v>
      </c>
      <c r="R11" s="214">
        <v>60</v>
      </c>
      <c r="S11" s="214">
        <v>58</v>
      </c>
      <c r="T11" s="214"/>
      <c r="U11" s="214"/>
      <c r="V11" s="214"/>
      <c r="W11" s="123">
        <f>+IF(COUNTA(L11:V11)=0,0,Y11/(COUNTA(L11:V11)))</f>
        <v>50</v>
      </c>
      <c r="X11" s="514"/>
      <c r="Y11" s="134">
        <f t="shared" si="0"/>
        <v>400</v>
      </c>
      <c r="Z11" s="137">
        <f>+Y11+AA11</f>
        <v>4399</v>
      </c>
      <c r="AA11" s="137">
        <v>3999</v>
      </c>
      <c r="AB11" s="140">
        <f>+Z10-Z11</f>
        <v>722</v>
      </c>
      <c r="AC11" s="131">
        <f>+IF(((Y12+(Y13/2))*60)=0,"",(I11*Y11)/((Y12+(Y13/2))*60))</f>
        <v>0.91440972222222228</v>
      </c>
      <c r="AD11" s="157"/>
      <c r="AE11" s="167">
        <f t="shared" si="1"/>
        <v>0</v>
      </c>
      <c r="AF11" s="167">
        <f>+Y11*I11</f>
        <v>21068</v>
      </c>
      <c r="AG11" s="167"/>
      <c r="AH11" s="91"/>
    </row>
    <row r="12" spans="1:34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112"/>
      <c r="H12" s="210"/>
      <c r="I12" s="113"/>
      <c r="J12" s="114" t="s">
        <v>22</v>
      </c>
      <c r="K12" s="102" t="s">
        <v>18</v>
      </c>
      <c r="L12" s="215">
        <v>48</v>
      </c>
      <c r="M12" s="215">
        <v>48</v>
      </c>
      <c r="N12" s="215">
        <v>48</v>
      </c>
      <c r="O12" s="215">
        <v>48</v>
      </c>
      <c r="P12" s="215">
        <v>48</v>
      </c>
      <c r="Q12" s="215">
        <v>48</v>
      </c>
      <c r="R12" s="215">
        <v>48</v>
      </c>
      <c r="S12" s="215">
        <v>48</v>
      </c>
      <c r="T12" s="215"/>
      <c r="U12" s="215"/>
      <c r="V12" s="215"/>
      <c r="W12" s="160">
        <f>+W11-J11</f>
        <v>0</v>
      </c>
      <c r="X12" s="514"/>
      <c r="Y12" s="103">
        <f t="shared" si="0"/>
        <v>384</v>
      </c>
      <c r="Z12" s="138"/>
      <c r="AA12" s="138"/>
      <c r="AB12" s="115"/>
      <c r="AC12" s="116"/>
      <c r="AD12" s="157"/>
      <c r="AE12" s="167">
        <f t="shared" si="1"/>
        <v>0</v>
      </c>
      <c r="AF12" s="167"/>
      <c r="AG12" s="167"/>
      <c r="AH12" s="91"/>
    </row>
    <row r="13" spans="1:34" s="98" customFormat="1" ht="62.25" customHeight="1" thickBot="1" x14ac:dyDescent="0.95">
      <c r="A13" s="124"/>
      <c r="B13" s="129">
        <f>+B11</f>
        <v>2</v>
      </c>
      <c r="C13" s="174" t="s">
        <v>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0.87783333333333335</v>
      </c>
      <c r="J13" s="118">
        <v>50</v>
      </c>
      <c r="K13" s="104" t="s">
        <v>19</v>
      </c>
      <c r="L13" s="216"/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173"/>
      <c r="X13" s="236">
        <v>40.56</v>
      </c>
      <c r="Y13" s="105">
        <f t="shared" si="0"/>
        <v>0</v>
      </c>
      <c r="Z13" s="139"/>
      <c r="AA13" s="139"/>
      <c r="AB13" s="119">
        <f>+IFERROR(AB11/(J11*9),"")</f>
        <v>1.6044444444444443</v>
      </c>
      <c r="AC13" s="162"/>
      <c r="AD13" s="161">
        <f>+Y12+Y13/2</f>
        <v>384</v>
      </c>
      <c r="AE13" s="167">
        <f t="shared" si="1"/>
        <v>23040</v>
      </c>
      <c r="AF13" s="167"/>
      <c r="AG13" s="230">
        <f>+IF((Y11-J11*9)&gt;=0,"",Y11-J11*9)</f>
        <v>-50</v>
      </c>
      <c r="AH13" s="91"/>
    </row>
    <row r="14" spans="1:34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>
        <v>100</v>
      </c>
      <c r="M14" s="215">
        <v>50</v>
      </c>
      <c r="N14" s="215">
        <v>50</v>
      </c>
      <c r="O14" s="215">
        <v>50</v>
      </c>
      <c r="P14" s="215">
        <v>50</v>
      </c>
      <c r="Q14" s="215">
        <v>50</v>
      </c>
      <c r="R14" s="215">
        <v>50</v>
      </c>
      <c r="S14" s="213">
        <v>50</v>
      </c>
      <c r="T14" s="213"/>
      <c r="U14" s="213"/>
      <c r="V14" s="213"/>
      <c r="W14" s="135"/>
      <c r="X14" s="513">
        <f>+W16</f>
        <v>0</v>
      </c>
      <c r="Y14" s="135">
        <f t="shared" si="0"/>
        <v>450</v>
      </c>
      <c r="Z14" s="136">
        <f>+AA14+Y14</f>
        <v>2822</v>
      </c>
      <c r="AA14" s="136">
        <v>2372</v>
      </c>
      <c r="AB14" s="109"/>
      <c r="AC14" s="110"/>
      <c r="AD14" s="157"/>
      <c r="AE14" s="167">
        <f t="shared" si="1"/>
        <v>0</v>
      </c>
      <c r="AF14" s="167"/>
      <c r="AG14" s="167"/>
      <c r="AH14" s="91"/>
    </row>
    <row r="15" spans="1:34" s="98" customFormat="1" ht="62.25" customHeight="1" x14ac:dyDescent="0.9">
      <c r="A15" s="124"/>
      <c r="B15" s="132">
        <v>3</v>
      </c>
      <c r="C15" s="111" t="s">
        <v>240</v>
      </c>
      <c r="D15" s="111"/>
      <c r="E15" s="111" t="s">
        <v>35</v>
      </c>
      <c r="F15" s="111" t="s">
        <v>241</v>
      </c>
      <c r="G15" s="111">
        <v>6600</v>
      </c>
      <c r="H15" s="111" t="s">
        <v>33</v>
      </c>
      <c r="I15" s="113">
        <v>51.08</v>
      </c>
      <c r="J15" s="130">
        <v>55</v>
      </c>
      <c r="K15" s="101" t="s">
        <v>17</v>
      </c>
      <c r="L15" s="214">
        <v>55</v>
      </c>
      <c r="M15" s="214">
        <v>50</v>
      </c>
      <c r="N15" s="214">
        <v>55</v>
      </c>
      <c r="O15" s="214">
        <v>55</v>
      </c>
      <c r="P15" s="214">
        <v>55</v>
      </c>
      <c r="Q15" s="214">
        <v>55</v>
      </c>
      <c r="R15" s="214">
        <v>55</v>
      </c>
      <c r="S15" s="214">
        <v>60</v>
      </c>
      <c r="T15" s="214"/>
      <c r="U15" s="214"/>
      <c r="V15" s="214"/>
      <c r="W15" s="123">
        <f>+IF(COUNTA(L15:V15)=0,0,Y15/(COUNTA(L15:V15)))</f>
        <v>55</v>
      </c>
      <c r="X15" s="514"/>
      <c r="Y15" s="134">
        <f t="shared" si="0"/>
        <v>440</v>
      </c>
      <c r="Z15" s="137">
        <f>+Y15+AA15</f>
        <v>1949</v>
      </c>
      <c r="AA15" s="137">
        <v>1509</v>
      </c>
      <c r="AB15" s="140">
        <f>+Z14-Z15</f>
        <v>873</v>
      </c>
      <c r="AC15" s="131">
        <f>+IF(((Y16+(Y17/2))*60)=0,"",(I15*Y15)/((Y16+(Y17/2))*60))</f>
        <v>0.95557823129251707</v>
      </c>
      <c r="AD15" s="157"/>
      <c r="AE15" s="167">
        <f t="shared" si="1"/>
        <v>0</v>
      </c>
      <c r="AF15" s="167">
        <f>+Y15*I15</f>
        <v>22475.200000000001</v>
      </c>
      <c r="AG15" s="167"/>
      <c r="AH15" s="91"/>
    </row>
    <row r="16" spans="1:34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112"/>
      <c r="H16" s="210"/>
      <c r="I16" s="113"/>
      <c r="J16" s="114" t="s">
        <v>22</v>
      </c>
      <c r="K16" s="102" t="s">
        <v>18</v>
      </c>
      <c r="L16" s="215">
        <v>48</v>
      </c>
      <c r="M16" s="215">
        <v>48</v>
      </c>
      <c r="N16" s="215">
        <v>48</v>
      </c>
      <c r="O16" s="215">
        <v>48</v>
      </c>
      <c r="P16" s="215">
        <v>48</v>
      </c>
      <c r="Q16" s="215">
        <v>48</v>
      </c>
      <c r="R16" s="215">
        <v>48</v>
      </c>
      <c r="S16" s="215">
        <v>48</v>
      </c>
      <c r="T16" s="215"/>
      <c r="U16" s="215"/>
      <c r="V16" s="215"/>
      <c r="W16" s="160">
        <f>+W15-J15</f>
        <v>0</v>
      </c>
      <c r="X16" s="514"/>
      <c r="Y16" s="103">
        <f t="shared" si="0"/>
        <v>384</v>
      </c>
      <c r="Z16" s="138"/>
      <c r="AA16" s="138"/>
      <c r="AB16" s="115"/>
      <c r="AC16" s="116"/>
      <c r="AD16" s="157"/>
      <c r="AE16" s="167">
        <f t="shared" si="1"/>
        <v>0</v>
      </c>
      <c r="AF16" s="167"/>
      <c r="AG16" s="167"/>
      <c r="AH16" s="91"/>
    </row>
    <row r="17" spans="1:55" s="98" customFormat="1" ht="62.25" customHeight="1" thickBot="1" x14ac:dyDescent="0.95">
      <c r="A17" s="124"/>
      <c r="B17" s="126">
        <f>+B15</f>
        <v>3</v>
      </c>
      <c r="C17" s="174" t="s">
        <v>78</v>
      </c>
      <c r="D17" s="175">
        <f>+D16+100</f>
        <v>103</v>
      </c>
      <c r="E17" s="175"/>
      <c r="F17" s="117" t="s">
        <v>203</v>
      </c>
      <c r="G17" s="117"/>
      <c r="H17" s="118"/>
      <c r="I17" s="165">
        <f>+IF(J17="","",IF(J15=0,"",(J15*I15)/(J17*60)))</f>
        <v>0.90044871794871795</v>
      </c>
      <c r="J17" s="118">
        <v>52</v>
      </c>
      <c r="K17" s="104" t="s">
        <v>19</v>
      </c>
      <c r="L17" s="216">
        <v>2</v>
      </c>
      <c r="M17" s="216">
        <v>2</v>
      </c>
      <c r="N17" s="216">
        <v>2</v>
      </c>
      <c r="O17" s="216">
        <v>2</v>
      </c>
      <c r="P17" s="216">
        <v>2</v>
      </c>
      <c r="Q17" s="216">
        <v>2</v>
      </c>
      <c r="R17" s="216">
        <v>2</v>
      </c>
      <c r="S17" s="216">
        <v>2</v>
      </c>
      <c r="T17" s="216"/>
      <c r="U17" s="216"/>
      <c r="V17" s="216"/>
      <c r="W17" s="173"/>
      <c r="X17" s="168">
        <f>11.59+(COUNTA(L15:V15)-(Y15/J15))</f>
        <v>11.59</v>
      </c>
      <c r="Y17" s="105">
        <f t="shared" si="0"/>
        <v>16</v>
      </c>
      <c r="Z17" s="139"/>
      <c r="AA17" s="139"/>
      <c r="AB17" s="119">
        <f>+IFERROR(AB15/(J15*9),"")</f>
        <v>1.7636363636363637</v>
      </c>
      <c r="AC17" s="120"/>
      <c r="AD17" s="161">
        <f>+Y16+Y17/2</f>
        <v>392</v>
      </c>
      <c r="AE17" s="167">
        <f t="shared" si="1"/>
        <v>23520</v>
      </c>
      <c r="AF17" s="167"/>
      <c r="AG17" s="230">
        <f>+IF((Y15-J15*9)&gt;=0,"",Y15-J15*9)</f>
        <v>-55</v>
      </c>
      <c r="AH17" s="91"/>
    </row>
    <row r="18" spans="1:55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50</v>
      </c>
      <c r="M18" s="215">
        <v>50</v>
      </c>
      <c r="N18" s="215">
        <v>50</v>
      </c>
      <c r="O18" s="215">
        <v>100</v>
      </c>
      <c r="P18" s="215">
        <v>100</v>
      </c>
      <c r="Q18" s="215">
        <v>50</v>
      </c>
      <c r="R18" s="215">
        <v>50</v>
      </c>
      <c r="S18" s="215"/>
      <c r="T18" s="213"/>
      <c r="U18" s="213"/>
      <c r="V18" s="213"/>
      <c r="W18" s="135"/>
      <c r="X18" s="513">
        <f>+W20</f>
        <v>0</v>
      </c>
      <c r="Y18" s="135">
        <f t="shared" si="0"/>
        <v>450</v>
      </c>
      <c r="Z18" s="136">
        <f>+AA18+Y18</f>
        <v>1851</v>
      </c>
      <c r="AA18" s="136">
        <v>1401</v>
      </c>
      <c r="AB18" s="109"/>
      <c r="AC18" s="110"/>
      <c r="AD18" s="157"/>
      <c r="AE18" s="167">
        <f t="shared" si="1"/>
        <v>0</v>
      </c>
      <c r="AF18" s="167"/>
      <c r="AG18" s="167"/>
      <c r="AH18" s="91"/>
    </row>
    <row r="19" spans="1:55" s="98" customFormat="1" ht="62.25" customHeight="1" x14ac:dyDescent="0.9">
      <c r="A19" s="124"/>
      <c r="B19" s="132">
        <v>4</v>
      </c>
      <c r="C19" s="111" t="s">
        <v>240</v>
      </c>
      <c r="D19" s="111"/>
      <c r="E19" s="111" t="s">
        <v>35</v>
      </c>
      <c r="F19" s="111" t="s">
        <v>241</v>
      </c>
      <c r="G19" s="111">
        <v>6600</v>
      </c>
      <c r="H19" s="111" t="s">
        <v>33</v>
      </c>
      <c r="I19" s="113">
        <v>51.08</v>
      </c>
      <c r="J19" s="130">
        <v>55</v>
      </c>
      <c r="K19" s="101" t="s">
        <v>17</v>
      </c>
      <c r="L19" s="214">
        <v>55</v>
      </c>
      <c r="M19" s="214">
        <v>49</v>
      </c>
      <c r="N19" s="214">
        <v>55</v>
      </c>
      <c r="O19" s="214">
        <v>60</v>
      </c>
      <c r="P19" s="214">
        <v>56</v>
      </c>
      <c r="Q19" s="214">
        <v>55</v>
      </c>
      <c r="R19" s="214">
        <v>55</v>
      </c>
      <c r="S19" s="214">
        <v>55</v>
      </c>
      <c r="T19" s="214"/>
      <c r="U19" s="214"/>
      <c r="V19" s="214"/>
      <c r="W19" s="123">
        <f>+IF(COUNTA(L19:V19)=0,0,Y19/(COUNTA(L19:V19)))</f>
        <v>55</v>
      </c>
      <c r="X19" s="514"/>
      <c r="Y19" s="134">
        <f t="shared" si="0"/>
        <v>440</v>
      </c>
      <c r="Z19" s="137">
        <f>+Y19+AA19</f>
        <v>1095</v>
      </c>
      <c r="AA19" s="137">
        <v>655</v>
      </c>
      <c r="AB19" s="140">
        <f>+Z18-Z19</f>
        <v>756</v>
      </c>
      <c r="AC19" s="131">
        <f>+IF(((Y20+(Y21/2))*60)=0,"",(I19*Y19)/((Y20+(Y21/2))*60))</f>
        <v>0.88554767533490941</v>
      </c>
      <c r="AD19" s="157"/>
      <c r="AE19" s="167">
        <f t="shared" si="1"/>
        <v>0</v>
      </c>
      <c r="AF19" s="167">
        <f>+Y19*I19</f>
        <v>22475.200000000001</v>
      </c>
      <c r="AG19" s="167"/>
      <c r="AH19" s="91"/>
    </row>
    <row r="20" spans="1:55" s="98" customFormat="1" ht="62.25" customHeight="1" x14ac:dyDescent="0.9">
      <c r="A20" s="124"/>
      <c r="B20" s="125">
        <f>+B19</f>
        <v>4</v>
      </c>
      <c r="C20" s="184" t="s">
        <v>96</v>
      </c>
      <c r="D20" s="111">
        <f>+B19</f>
        <v>4</v>
      </c>
      <c r="E20" s="111"/>
      <c r="F20" s="112" t="e">
        <f>+VLOOKUP(F19,'Obj Prix'!$H:$H,2,FALSE)</f>
        <v>#N/A</v>
      </c>
      <c r="G20" s="112"/>
      <c r="H20" s="210"/>
      <c r="I20" s="113"/>
      <c r="J20" s="114" t="s">
        <v>22</v>
      </c>
      <c r="K20" s="102" t="s">
        <v>18</v>
      </c>
      <c r="L20" s="215">
        <v>51</v>
      </c>
      <c r="M20" s="215">
        <v>52</v>
      </c>
      <c r="N20" s="215">
        <v>52</v>
      </c>
      <c r="O20" s="215">
        <v>52</v>
      </c>
      <c r="P20" s="215">
        <v>52</v>
      </c>
      <c r="Q20" s="215">
        <v>52</v>
      </c>
      <c r="R20" s="215">
        <v>52</v>
      </c>
      <c r="S20" s="215">
        <v>52</v>
      </c>
      <c r="T20" s="215"/>
      <c r="U20" s="215"/>
      <c r="V20" s="215"/>
      <c r="W20" s="160">
        <f>+W19-J19</f>
        <v>0</v>
      </c>
      <c r="X20" s="514"/>
      <c r="Y20" s="103">
        <f t="shared" si="0"/>
        <v>415</v>
      </c>
      <c r="Z20" s="138"/>
      <c r="AA20" s="138"/>
      <c r="AB20" s="115"/>
      <c r="AC20" s="116"/>
      <c r="AD20" s="157"/>
      <c r="AE20" s="167">
        <f t="shared" si="1"/>
        <v>0</v>
      </c>
      <c r="AF20" s="167"/>
      <c r="AG20" s="167"/>
      <c r="AH20" s="91"/>
    </row>
    <row r="21" spans="1:55" s="98" customFormat="1" ht="62.25" customHeight="1" thickBot="1" x14ac:dyDescent="0.95">
      <c r="A21" s="124"/>
      <c r="B21" s="126">
        <f>+B19</f>
        <v>4</v>
      </c>
      <c r="C21" s="174"/>
      <c r="D21" s="175">
        <f>+D20+100</f>
        <v>104</v>
      </c>
      <c r="E21" s="175"/>
      <c r="F21" s="117" t="s">
        <v>203</v>
      </c>
      <c r="G21" s="117"/>
      <c r="H21" s="146"/>
      <c r="I21" s="165">
        <f>+IF(J21="","",IF(J19=0,"",(J19*I19)/(J21*60)))</f>
        <v>0.90044871794871795</v>
      </c>
      <c r="J21" s="118">
        <v>52</v>
      </c>
      <c r="K21" s="104" t="s">
        <v>19</v>
      </c>
      <c r="L21" s="216">
        <v>2</v>
      </c>
      <c r="M21" s="216">
        <v>2</v>
      </c>
      <c r="N21" s="216">
        <v>2</v>
      </c>
      <c r="O21" s="216">
        <v>2</v>
      </c>
      <c r="P21" s="216">
        <v>2</v>
      </c>
      <c r="Q21" s="216">
        <v>2</v>
      </c>
      <c r="R21" s="216">
        <v>2</v>
      </c>
      <c r="S21" s="216">
        <v>2</v>
      </c>
      <c r="T21" s="216"/>
      <c r="U21" s="216"/>
      <c r="V21" s="216"/>
      <c r="W21" s="173"/>
      <c r="X21" s="169">
        <v>4.54</v>
      </c>
      <c r="Y21" s="105">
        <f t="shared" si="0"/>
        <v>16</v>
      </c>
      <c r="Z21" s="139"/>
      <c r="AA21" s="139"/>
      <c r="AB21" s="119">
        <f>+IFERROR(AB19/(J19*9),"")</f>
        <v>1.5272727272727273</v>
      </c>
      <c r="AC21" s="120"/>
      <c r="AD21" s="161">
        <f>+Y20+Y21/2</f>
        <v>423</v>
      </c>
      <c r="AE21" s="167">
        <f t="shared" si="1"/>
        <v>25380</v>
      </c>
      <c r="AF21" s="167"/>
      <c r="AG21" s="230">
        <f>+IF((Y19-J19*9)&gt;=0,"",Y19-J19*9)</f>
        <v>-55</v>
      </c>
      <c r="AH21" s="91"/>
    </row>
    <row r="22" spans="1:55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3">
        <v>70</v>
      </c>
      <c r="M22" s="213">
        <v>70</v>
      </c>
      <c r="N22" s="213">
        <v>70</v>
      </c>
      <c r="O22" s="213">
        <v>70</v>
      </c>
      <c r="P22" s="213">
        <v>70</v>
      </c>
      <c r="Q22" s="213">
        <v>70</v>
      </c>
      <c r="R22" s="213"/>
      <c r="S22" s="213"/>
      <c r="T22" s="213"/>
      <c r="U22" s="213"/>
      <c r="V22" s="213"/>
      <c r="W22" s="135"/>
      <c r="X22" s="513">
        <f>+W24</f>
        <v>1.5</v>
      </c>
      <c r="Y22" s="135">
        <f t="shared" si="0"/>
        <v>420</v>
      </c>
      <c r="Z22" s="136">
        <f>+AA22+Y22</f>
        <v>6301</v>
      </c>
      <c r="AA22" s="136">
        <v>5881</v>
      </c>
      <c r="AB22" s="121"/>
      <c r="AC22" s="110"/>
      <c r="AD22" s="157"/>
      <c r="AE22" s="167">
        <f t="shared" si="1"/>
        <v>0</v>
      </c>
      <c r="AF22" s="167"/>
      <c r="AG22" s="167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</row>
    <row r="23" spans="1:55" ht="62.25" customHeight="1" x14ac:dyDescent="0.9">
      <c r="A23" s="124"/>
      <c r="B23" s="132">
        <v>5</v>
      </c>
      <c r="C23" s="111" t="s">
        <v>234</v>
      </c>
      <c r="D23" s="111"/>
      <c r="E23" s="111" t="s">
        <v>35</v>
      </c>
      <c r="F23" s="111" t="s">
        <v>235</v>
      </c>
      <c r="G23" s="111">
        <v>12500</v>
      </c>
      <c r="H23" s="111" t="s">
        <v>33</v>
      </c>
      <c r="I23" s="113">
        <v>52.3</v>
      </c>
      <c r="J23" s="130">
        <v>55</v>
      </c>
      <c r="K23" s="101" t="s">
        <v>17</v>
      </c>
      <c r="L23" s="214">
        <v>58</v>
      </c>
      <c r="M23" s="214">
        <v>51</v>
      </c>
      <c r="N23" s="214">
        <v>56</v>
      </c>
      <c r="O23" s="214">
        <v>55</v>
      </c>
      <c r="P23" s="214">
        <v>55</v>
      </c>
      <c r="Q23" s="214">
        <v>55</v>
      </c>
      <c r="R23" s="214">
        <v>66</v>
      </c>
      <c r="S23" s="214">
        <v>56</v>
      </c>
      <c r="T23" s="214"/>
      <c r="U23" s="214"/>
      <c r="V23" s="214"/>
      <c r="W23" s="123">
        <f>+IF(COUNTA(L23:V23)=0,0,Y23/(COUNTA(L23:V23)))</f>
        <v>56.5</v>
      </c>
      <c r="X23" s="514"/>
      <c r="Y23" s="134">
        <f t="shared" si="0"/>
        <v>452</v>
      </c>
      <c r="Z23" s="137">
        <f>+Y23+AA23</f>
        <v>5476</v>
      </c>
      <c r="AA23" s="137">
        <v>5024</v>
      </c>
      <c r="AB23" s="140">
        <f>+Z22-Z23</f>
        <v>825</v>
      </c>
      <c r="AC23" s="131">
        <f>+IF(((Y24+(Y25/2))*60)=0,"",(I23*Y23)/((Y24+(Y25/2))*60))</f>
        <v>0.90365443425076442</v>
      </c>
      <c r="AD23" s="157"/>
      <c r="AE23" s="167">
        <f t="shared" si="1"/>
        <v>0</v>
      </c>
      <c r="AF23" s="167">
        <f>+Y23*I23</f>
        <v>23639.599999999999</v>
      </c>
      <c r="AG23" s="167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</row>
    <row r="24" spans="1:55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112"/>
      <c r="H24" s="210"/>
      <c r="I24" s="113">
        <v>2</v>
      </c>
      <c r="J24" s="114" t="s">
        <v>22</v>
      </c>
      <c r="K24" s="102" t="s">
        <v>18</v>
      </c>
      <c r="L24" s="215">
        <v>54</v>
      </c>
      <c r="M24" s="215">
        <v>54</v>
      </c>
      <c r="N24" s="215">
        <v>54</v>
      </c>
      <c r="O24" s="215">
        <v>54</v>
      </c>
      <c r="P24" s="215">
        <v>54</v>
      </c>
      <c r="Q24" s="215">
        <v>54</v>
      </c>
      <c r="R24" s="215">
        <v>54</v>
      </c>
      <c r="S24" s="215">
        <v>54</v>
      </c>
      <c r="T24" s="215"/>
      <c r="U24" s="215"/>
      <c r="V24" s="215"/>
      <c r="W24" s="160">
        <f>+W23-J23</f>
        <v>1.5</v>
      </c>
      <c r="X24" s="514"/>
      <c r="Y24" s="103">
        <f t="shared" si="0"/>
        <v>432</v>
      </c>
      <c r="Z24" s="138"/>
      <c r="AA24" s="138"/>
      <c r="AB24" s="122"/>
      <c r="AC24" s="116"/>
      <c r="AD24" s="157"/>
      <c r="AE24" s="167">
        <f t="shared" si="1"/>
        <v>0</v>
      </c>
      <c r="AF24" s="167"/>
      <c r="AG24" s="167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</row>
    <row r="25" spans="1:55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46"/>
      <c r="I25" s="165">
        <f>+IF(J25="","",IF(J23=0,"",(J23*I23)/(J25*60)))</f>
        <v>0.92195512820512826</v>
      </c>
      <c r="J25" s="118">
        <v>52</v>
      </c>
      <c r="K25" s="104" t="s">
        <v>19</v>
      </c>
      <c r="L25" s="216">
        <v>1</v>
      </c>
      <c r="M25" s="216">
        <v>1</v>
      </c>
      <c r="N25" s="216">
        <v>1</v>
      </c>
      <c r="O25" s="216">
        <v>1</v>
      </c>
      <c r="P25" s="216">
        <v>1</v>
      </c>
      <c r="Q25" s="216">
        <v>1</v>
      </c>
      <c r="R25" s="216">
        <v>1</v>
      </c>
      <c r="S25" s="216">
        <v>1</v>
      </c>
      <c r="T25" s="216"/>
      <c r="U25" s="216"/>
      <c r="V25" s="216"/>
      <c r="W25" s="173"/>
      <c r="X25" s="169">
        <v>9.64</v>
      </c>
      <c r="Y25" s="105">
        <f t="shared" si="0"/>
        <v>8</v>
      </c>
      <c r="Z25" s="139"/>
      <c r="AA25" s="139"/>
      <c r="AB25" s="119">
        <f>+IFERROR(AB23/(J23*9),"")</f>
        <v>1.6666666666666667</v>
      </c>
      <c r="AC25" s="120"/>
      <c r="AD25" s="161">
        <f>+Y24+Y25/2</f>
        <v>436</v>
      </c>
      <c r="AE25" s="167">
        <f t="shared" si="1"/>
        <v>26160</v>
      </c>
      <c r="AF25" s="167"/>
      <c r="AG25" s="230">
        <f>+IF((Y23-J23*9)&gt;=0,"",Y23-J23*9)</f>
        <v>-43</v>
      </c>
      <c r="AH25" s="91"/>
    </row>
    <row r="26" spans="1:55" ht="62.25" customHeight="1" thickTop="1" x14ac:dyDescent="0.9">
      <c r="A26" s="124"/>
      <c r="B26" s="127">
        <f>+B27</f>
        <v>6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135"/>
      <c r="X26" s="513">
        <f>+W28</f>
        <v>-27.5</v>
      </c>
      <c r="Y26" s="135">
        <f t="shared" si="0"/>
        <v>0</v>
      </c>
      <c r="Z26" s="136">
        <f>+AA26+Y26</f>
        <v>1826</v>
      </c>
      <c r="AA26" s="136">
        <v>1826</v>
      </c>
      <c r="AB26" s="121"/>
      <c r="AC26" s="110"/>
      <c r="AD26" s="157"/>
      <c r="AE26" s="167">
        <f t="shared" si="1"/>
        <v>0</v>
      </c>
      <c r="AF26" s="167"/>
      <c r="AG26" s="167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</row>
    <row r="27" spans="1:55" ht="62.25" customHeight="1" x14ac:dyDescent="0.9">
      <c r="A27" s="124"/>
      <c r="B27" s="132">
        <v>6</v>
      </c>
      <c r="C27" s="111" t="s">
        <v>254</v>
      </c>
      <c r="D27" s="111"/>
      <c r="E27" s="111" t="s">
        <v>219</v>
      </c>
      <c r="F27" s="111">
        <v>221403013</v>
      </c>
      <c r="G27" s="111"/>
      <c r="H27" s="111" t="s">
        <v>252</v>
      </c>
      <c r="I27" s="113">
        <v>22.45</v>
      </c>
      <c r="J27" s="130">
        <v>60</v>
      </c>
      <c r="K27" s="101" t="s">
        <v>17</v>
      </c>
      <c r="L27" s="214">
        <v>30</v>
      </c>
      <c r="M27" s="214">
        <v>30</v>
      </c>
      <c r="N27" s="214">
        <v>30</v>
      </c>
      <c r="O27" s="214">
        <v>30</v>
      </c>
      <c r="P27" s="214">
        <v>35</v>
      </c>
      <c r="Q27" s="214">
        <v>35</v>
      </c>
      <c r="R27" s="214">
        <v>35</v>
      </c>
      <c r="S27" s="214">
        <v>35</v>
      </c>
      <c r="T27" s="214"/>
      <c r="U27" s="214"/>
      <c r="V27" s="214"/>
      <c r="W27" s="123">
        <f>+IF(COUNTA(L27:V27)=0,0,Y27/(COUNTA(L27:V27)))</f>
        <v>32.5</v>
      </c>
      <c r="X27" s="514"/>
      <c r="Y27" s="134">
        <f t="shared" si="0"/>
        <v>260</v>
      </c>
      <c r="Z27" s="137">
        <f>+Y27+AA27</f>
        <v>315</v>
      </c>
      <c r="AA27" s="137">
        <v>55</v>
      </c>
      <c r="AB27" s="140">
        <f>+Z26-Z27</f>
        <v>1511</v>
      </c>
      <c r="AC27" s="131">
        <f>+IF(((Y28+(Y29/2))*60)=0,"",(I27*Y27)/((Y28+(Y29/2))*60))</f>
        <v>0.50668402777777777</v>
      </c>
      <c r="AD27" s="157"/>
      <c r="AE27" s="167">
        <f t="shared" si="1"/>
        <v>0</v>
      </c>
      <c r="AF27" s="167">
        <f>+Y27*I27</f>
        <v>5837</v>
      </c>
      <c r="AG27" s="167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</row>
    <row r="28" spans="1:55" ht="62.25" customHeight="1" x14ac:dyDescent="0.9">
      <c r="A28" s="124"/>
      <c r="B28" s="125">
        <f>+B27</f>
        <v>6</v>
      </c>
      <c r="C28" s="184"/>
      <c r="D28" s="111">
        <f>+B27</f>
        <v>6</v>
      </c>
      <c r="E28" s="111"/>
      <c r="F28" s="112" t="e">
        <f>+VLOOKUP(F27,'Obj Prix'!$H:$H,2,FALSE)</f>
        <v>#N/A</v>
      </c>
      <c r="G28" s="112"/>
      <c r="H28" s="210"/>
      <c r="I28" s="113"/>
      <c r="J28" s="114" t="s">
        <v>22</v>
      </c>
      <c r="K28" s="102" t="s">
        <v>18</v>
      </c>
      <c r="L28" s="215">
        <v>22</v>
      </c>
      <c r="M28" s="215">
        <v>22</v>
      </c>
      <c r="N28" s="215">
        <v>22</v>
      </c>
      <c r="O28" s="215">
        <v>22</v>
      </c>
      <c r="P28" s="215">
        <v>22</v>
      </c>
      <c r="Q28" s="215">
        <v>22</v>
      </c>
      <c r="R28" s="215">
        <v>22</v>
      </c>
      <c r="S28" s="215">
        <v>22</v>
      </c>
      <c r="T28" s="215"/>
      <c r="U28" s="215"/>
      <c r="V28" s="215"/>
      <c r="W28" s="160">
        <f>+W27-J27</f>
        <v>-27.5</v>
      </c>
      <c r="X28" s="514"/>
      <c r="Y28" s="103">
        <f t="shared" si="0"/>
        <v>176</v>
      </c>
      <c r="Z28" s="138"/>
      <c r="AA28" s="138"/>
      <c r="AB28" s="122"/>
      <c r="AC28" s="116"/>
      <c r="AD28" s="157"/>
      <c r="AE28" s="167">
        <f t="shared" si="1"/>
        <v>0</v>
      </c>
      <c r="AF28" s="167"/>
      <c r="AG28" s="167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</row>
    <row r="29" spans="1:55" s="98" customFormat="1" ht="62.25" customHeight="1" thickBot="1" x14ac:dyDescent="0.95">
      <c r="A29" s="124"/>
      <c r="B29" s="129">
        <f>+B27</f>
        <v>6</v>
      </c>
      <c r="C29" s="174" t="s">
        <v>214</v>
      </c>
      <c r="D29" s="175">
        <f>+D28+100</f>
        <v>106</v>
      </c>
      <c r="E29" s="175"/>
      <c r="F29" s="117" t="s">
        <v>111</v>
      </c>
      <c r="G29" s="117"/>
      <c r="H29" s="146"/>
      <c r="I29" s="165">
        <f>+IF(J29="","",IF(J27=0,"",(J27*I27)/(J29*60)))</f>
        <v>0.8634615384615385</v>
      </c>
      <c r="J29" s="118">
        <v>26</v>
      </c>
      <c r="K29" s="104" t="s">
        <v>19</v>
      </c>
      <c r="L29" s="216">
        <v>4</v>
      </c>
      <c r="M29" s="216">
        <v>4</v>
      </c>
      <c r="N29" s="216">
        <v>4</v>
      </c>
      <c r="O29" s="216">
        <v>4</v>
      </c>
      <c r="P29" s="216">
        <v>4</v>
      </c>
      <c r="Q29" s="216">
        <v>4</v>
      </c>
      <c r="R29" s="216">
        <v>4</v>
      </c>
      <c r="S29" s="216">
        <v>4</v>
      </c>
      <c r="T29" s="216"/>
      <c r="U29" s="216"/>
      <c r="V29" s="216"/>
      <c r="W29" s="173"/>
      <c r="X29" s="168">
        <f>14.33+(COUNTA(L27:V27)-(Y27/J27))</f>
        <v>17.996666666666666</v>
      </c>
      <c r="Y29" s="105">
        <f t="shared" si="0"/>
        <v>32</v>
      </c>
      <c r="Z29" s="139"/>
      <c r="AA29" s="139"/>
      <c r="AB29" s="119">
        <f>+IFERROR(AB27/(J27*9),"")</f>
        <v>2.7981481481481483</v>
      </c>
      <c r="AC29" s="120"/>
      <c r="AD29" s="161">
        <f>+Y28+Y29/2</f>
        <v>192</v>
      </c>
      <c r="AE29" s="167">
        <f t="shared" si="1"/>
        <v>11520</v>
      </c>
      <c r="AF29" s="167"/>
      <c r="AG29" s="230">
        <f>+IF((Y27-J27*9)&gt;=0,"",Y27-J27*9)</f>
        <v>-280</v>
      </c>
      <c r="AH29" s="91"/>
    </row>
    <row r="30" spans="1:55" ht="62.25" customHeight="1" thickTop="1" x14ac:dyDescent="0.9">
      <c r="A30" s="124"/>
      <c r="B30" s="127">
        <f>+B31</f>
        <v>6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3"/>
      <c r="M30" s="213"/>
      <c r="N30" s="213"/>
      <c r="O30" s="213"/>
      <c r="P30" s="213"/>
      <c r="Q30" s="213"/>
      <c r="R30" s="213"/>
      <c r="S30" s="213"/>
      <c r="T30" s="213"/>
      <c r="U30" s="213"/>
      <c r="V30" s="213"/>
      <c r="W30" s="135"/>
      <c r="X30" s="513">
        <f>+W32</f>
        <v>0</v>
      </c>
      <c r="Y30" s="135">
        <f t="shared" si="0"/>
        <v>0</v>
      </c>
      <c r="Z30" s="136">
        <f>+AA30+Y30</f>
        <v>0</v>
      </c>
      <c r="AA30" s="136"/>
      <c r="AB30" s="121"/>
      <c r="AC30" s="110"/>
      <c r="AD30" s="157"/>
      <c r="AE30" s="167">
        <f t="shared" si="1"/>
        <v>0</v>
      </c>
      <c r="AF30" s="167"/>
      <c r="AG30" s="167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</row>
    <row r="31" spans="1:55" ht="62.25" customHeight="1" x14ac:dyDescent="0.9">
      <c r="A31" s="124"/>
      <c r="B31" s="132">
        <v>6</v>
      </c>
      <c r="C31" s="111" t="s">
        <v>261</v>
      </c>
      <c r="D31" s="111"/>
      <c r="E31" s="111" t="s">
        <v>219</v>
      </c>
      <c r="F31" s="111">
        <v>221405021</v>
      </c>
      <c r="G31" s="111"/>
      <c r="H31" s="111" t="s">
        <v>40</v>
      </c>
      <c r="I31" s="113"/>
      <c r="J31" s="130"/>
      <c r="K31" s="101" t="s">
        <v>17</v>
      </c>
      <c r="L31" s="214"/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123">
        <f>+IF(COUNTA(L31:V31)=0,0,Y31/(COUNTA(L31:V31)))</f>
        <v>0</v>
      </c>
      <c r="X31" s="514"/>
      <c r="Y31" s="134">
        <f t="shared" si="0"/>
        <v>0</v>
      </c>
      <c r="Z31" s="137">
        <f>+Y31+AA31</f>
        <v>0</v>
      </c>
      <c r="AA31" s="137"/>
      <c r="AB31" s="140">
        <f>+Z30-Z31</f>
        <v>0</v>
      </c>
      <c r="AC31" s="131" t="str">
        <f>+IF(((Y32+(Y33/2))*60)=0,"",(I31*Y31)/((Y32+(Y33/2))*60))</f>
        <v/>
      </c>
      <c r="AD31" s="157"/>
      <c r="AE31" s="167">
        <f t="shared" si="1"/>
        <v>0</v>
      </c>
      <c r="AF31" s="167">
        <f>+Y31*I31</f>
        <v>0</v>
      </c>
      <c r="AG31" s="167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</row>
    <row r="32" spans="1:55" ht="62.25" customHeight="1" x14ac:dyDescent="0.9">
      <c r="A32" s="124"/>
      <c r="B32" s="125">
        <f>+B31</f>
        <v>6</v>
      </c>
      <c r="C32" s="184"/>
      <c r="D32" s="111">
        <f>+B31</f>
        <v>6</v>
      </c>
      <c r="E32" s="111"/>
      <c r="F32" s="112" t="e">
        <f>+VLOOKUP(F31,'Obj Prix'!$H:$H,2,FALSE)</f>
        <v>#N/A</v>
      </c>
      <c r="G32" s="112"/>
      <c r="H32" s="210"/>
      <c r="I32" s="113"/>
      <c r="J32" s="114" t="s">
        <v>22</v>
      </c>
      <c r="K32" s="102" t="s">
        <v>18</v>
      </c>
      <c r="L32" s="215"/>
      <c r="M32" s="215"/>
      <c r="N32" s="215"/>
      <c r="O32" s="215"/>
      <c r="P32" s="215"/>
      <c r="Q32" s="215"/>
      <c r="R32" s="215"/>
      <c r="S32" s="215"/>
      <c r="T32" s="215"/>
      <c r="U32" s="215"/>
      <c r="V32" s="215"/>
      <c r="W32" s="160">
        <f>+W31-J31</f>
        <v>0</v>
      </c>
      <c r="X32" s="514"/>
      <c r="Y32" s="103">
        <f t="shared" si="0"/>
        <v>0</v>
      </c>
      <c r="Z32" s="138"/>
      <c r="AA32" s="138"/>
      <c r="AB32" s="122"/>
      <c r="AC32" s="116"/>
      <c r="AD32" s="157"/>
      <c r="AE32" s="167">
        <f t="shared" si="1"/>
        <v>0</v>
      </c>
      <c r="AF32" s="167"/>
      <c r="AG32" s="167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</row>
    <row r="33" spans="1:34" s="98" customFormat="1" ht="62.25" customHeight="1" thickBot="1" x14ac:dyDescent="0.95">
      <c r="A33" s="124"/>
      <c r="B33" s="129">
        <f>+B31</f>
        <v>6</v>
      </c>
      <c r="C33" s="174" t="s">
        <v>214</v>
      </c>
      <c r="D33" s="175">
        <f>+D32+100</f>
        <v>106</v>
      </c>
      <c r="E33" s="175"/>
      <c r="F33" s="117" t="s">
        <v>111</v>
      </c>
      <c r="G33" s="117"/>
      <c r="H33" s="146"/>
      <c r="I33" s="165" t="str">
        <f>+IF(J33="","",IF(J31=0,"",(J31*I31)/(J33*60)))</f>
        <v/>
      </c>
      <c r="J33" s="118">
        <v>23</v>
      </c>
      <c r="K33" s="104" t="s">
        <v>19</v>
      </c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173"/>
      <c r="X33" s="168"/>
      <c r="Y33" s="105">
        <f t="shared" si="0"/>
        <v>0</v>
      </c>
      <c r="Z33" s="139"/>
      <c r="AA33" s="139"/>
      <c r="AB33" s="119" t="str">
        <f>+IFERROR(AB31/(J31*9),"")</f>
        <v/>
      </c>
      <c r="AC33" s="120"/>
      <c r="AD33" s="161">
        <f>+Y32+Y33/2</f>
        <v>0</v>
      </c>
      <c r="AE33" s="167">
        <f t="shared" si="1"/>
        <v>0</v>
      </c>
      <c r="AF33" s="167"/>
      <c r="AG33" s="230" t="str">
        <f>+IF((Y31-J31*9)&gt;=0,"",Y31-J31*9)</f>
        <v/>
      </c>
      <c r="AH33" s="91"/>
    </row>
    <row r="34" spans="1:34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3">
        <v>100</v>
      </c>
      <c r="M34" s="213">
        <v>50</v>
      </c>
      <c r="N34" s="213">
        <v>50</v>
      </c>
      <c r="O34" s="213">
        <v>100</v>
      </c>
      <c r="P34" s="213">
        <v>50</v>
      </c>
      <c r="Q34" s="213">
        <v>100</v>
      </c>
      <c r="R34" s="213">
        <v>50</v>
      </c>
      <c r="S34" s="213"/>
      <c r="T34" s="213"/>
      <c r="U34" s="213"/>
      <c r="V34" s="213"/>
      <c r="W34" s="135"/>
      <c r="X34" s="513">
        <f>+W36</f>
        <v>2</v>
      </c>
      <c r="Y34" s="135">
        <f t="shared" si="0"/>
        <v>500</v>
      </c>
      <c r="Z34" s="136">
        <f>+AA34+Y34</f>
        <v>3826</v>
      </c>
      <c r="AA34" s="136">
        <v>3326</v>
      </c>
      <c r="AB34" s="121"/>
      <c r="AC34" s="110"/>
      <c r="AD34" s="157"/>
      <c r="AE34" s="167">
        <f t="shared" si="1"/>
        <v>0</v>
      </c>
      <c r="AF34" s="167"/>
      <c r="AG34" s="167"/>
      <c r="AH34" s="91"/>
    </row>
    <row r="35" spans="1:34" s="98" customFormat="1" ht="62.25" customHeight="1" x14ac:dyDescent="0.9">
      <c r="A35" s="124"/>
      <c r="B35" s="132">
        <v>7</v>
      </c>
      <c r="C35" s="111" t="s">
        <v>240</v>
      </c>
      <c r="D35" s="111"/>
      <c r="E35" s="111" t="s">
        <v>35</v>
      </c>
      <c r="F35" s="111" t="s">
        <v>241</v>
      </c>
      <c r="G35" s="111">
        <v>6600</v>
      </c>
      <c r="H35" s="111" t="s">
        <v>33</v>
      </c>
      <c r="I35" s="113">
        <v>51.08</v>
      </c>
      <c r="J35" s="130">
        <v>55</v>
      </c>
      <c r="K35" s="101" t="s">
        <v>17</v>
      </c>
      <c r="L35" s="214">
        <v>57</v>
      </c>
      <c r="M35" s="214">
        <v>57</v>
      </c>
      <c r="N35" s="214">
        <v>57</v>
      </c>
      <c r="O35" s="214">
        <v>57</v>
      </c>
      <c r="P35" s="214">
        <v>57</v>
      </c>
      <c r="Q35" s="214">
        <v>57</v>
      </c>
      <c r="R35" s="214">
        <v>57</v>
      </c>
      <c r="S35" s="214">
        <v>57</v>
      </c>
      <c r="T35" s="214"/>
      <c r="U35" s="214"/>
      <c r="V35" s="214"/>
      <c r="W35" s="123">
        <f>+IF(COUNTA(L35:V35)=0,0,Y35/(COUNTA(L35:V35)))</f>
        <v>57</v>
      </c>
      <c r="X35" s="514"/>
      <c r="Y35" s="134">
        <f t="shared" si="0"/>
        <v>456</v>
      </c>
      <c r="Z35" s="137">
        <f>+Y35+AA35</f>
        <v>3073</v>
      </c>
      <c r="AA35" s="137">
        <v>2617</v>
      </c>
      <c r="AB35" s="140">
        <f>+Z34-Z35</f>
        <v>753</v>
      </c>
      <c r="AC35" s="131">
        <f>+IF(((Y36+(Y37/2))*60)=0,"",(I35*Y35)/((Y36+(Y37/2))*60))</f>
        <v>0.93319230769230765</v>
      </c>
      <c r="AD35" s="157"/>
      <c r="AE35" s="167">
        <f t="shared" si="1"/>
        <v>0</v>
      </c>
      <c r="AF35" s="167">
        <f>+Y35*I35</f>
        <v>23292.48</v>
      </c>
      <c r="AG35" s="167"/>
      <c r="AH35" s="91"/>
    </row>
    <row r="36" spans="1:34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112"/>
      <c r="H36" s="210"/>
      <c r="I36" s="210">
        <v>2</v>
      </c>
      <c r="J36" s="114" t="s">
        <v>22</v>
      </c>
      <c r="K36" s="102" t="s">
        <v>18</v>
      </c>
      <c r="L36" s="215">
        <v>51</v>
      </c>
      <c r="M36" s="215">
        <v>51</v>
      </c>
      <c r="N36" s="215">
        <v>51</v>
      </c>
      <c r="O36" s="215">
        <v>51</v>
      </c>
      <c r="P36" s="215">
        <v>51</v>
      </c>
      <c r="Q36" s="215">
        <v>51</v>
      </c>
      <c r="R36" s="215">
        <v>51</v>
      </c>
      <c r="S36" s="215">
        <v>51</v>
      </c>
      <c r="T36" s="215"/>
      <c r="U36" s="215"/>
      <c r="V36" s="215"/>
      <c r="W36" s="160">
        <f>+W35-J35</f>
        <v>2</v>
      </c>
      <c r="X36" s="514"/>
      <c r="Y36" s="103">
        <f t="shared" si="0"/>
        <v>408</v>
      </c>
      <c r="Z36" s="138"/>
      <c r="AA36" s="138"/>
      <c r="AB36" s="122"/>
      <c r="AC36" s="116"/>
      <c r="AD36" s="157"/>
      <c r="AE36" s="167">
        <f t="shared" si="1"/>
        <v>0</v>
      </c>
      <c r="AF36" s="167"/>
      <c r="AG36" s="167"/>
      <c r="AH36" s="91"/>
    </row>
    <row r="37" spans="1:34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203</v>
      </c>
      <c r="G37" s="218"/>
      <c r="H37" s="146"/>
      <c r="I37" s="165">
        <f>+IF(J37="","",IF(J35=0,"",(J35*I35)/(J37*60)))</f>
        <v>0.90044871794871795</v>
      </c>
      <c r="J37" s="118">
        <v>52</v>
      </c>
      <c r="K37" s="104" t="s">
        <v>19</v>
      </c>
      <c r="L37" s="216">
        <v>2</v>
      </c>
      <c r="M37" s="216">
        <v>2</v>
      </c>
      <c r="N37" s="216">
        <v>2</v>
      </c>
      <c r="O37" s="216">
        <v>2</v>
      </c>
      <c r="P37" s="216">
        <v>2</v>
      </c>
      <c r="Q37" s="216">
        <v>2</v>
      </c>
      <c r="R37" s="216">
        <v>2</v>
      </c>
      <c r="S37" s="216">
        <v>2</v>
      </c>
      <c r="T37" s="216"/>
      <c r="U37" s="216"/>
      <c r="V37" s="216"/>
      <c r="W37" s="173"/>
      <c r="X37" s="169">
        <v>4.95</v>
      </c>
      <c r="Y37" s="105">
        <f t="shared" si="0"/>
        <v>16</v>
      </c>
      <c r="Z37" s="139"/>
      <c r="AA37" s="139"/>
      <c r="AB37" s="119">
        <f>+IFERROR(AB35/(J35*9),"")</f>
        <v>1.5212121212121212</v>
      </c>
      <c r="AC37" s="120"/>
      <c r="AD37" s="161">
        <f>+Y36+Y37/2</f>
        <v>416</v>
      </c>
      <c r="AE37" s="167">
        <f t="shared" si="1"/>
        <v>24960</v>
      </c>
      <c r="AF37" s="167"/>
      <c r="AG37" s="230">
        <f>+IF((Y35-J35*9)&gt;=0,"",Y35-J35*9)</f>
        <v>-39</v>
      </c>
      <c r="AH37" s="91"/>
    </row>
    <row r="38" spans="1:34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3"/>
      <c r="M38" s="213"/>
      <c r="N38" s="213"/>
      <c r="O38" s="213"/>
      <c r="P38" s="213"/>
      <c r="Q38" s="213"/>
      <c r="R38" s="213"/>
      <c r="S38" s="213"/>
      <c r="T38" s="213"/>
      <c r="U38" s="213"/>
      <c r="V38" s="213"/>
      <c r="W38" s="135"/>
      <c r="X38" s="513">
        <f>+W40</f>
        <v>3</v>
      </c>
      <c r="Y38" s="135">
        <f t="shared" ref="Y38:Y69" si="2">+SUM(L38:V38)</f>
        <v>0</v>
      </c>
      <c r="Z38" s="136">
        <f>+AA38+Y38</f>
        <v>6320</v>
      </c>
      <c r="AA38" s="136">
        <v>6320</v>
      </c>
      <c r="AB38" s="109"/>
      <c r="AC38" s="110"/>
      <c r="AD38" s="157"/>
      <c r="AE38" s="167">
        <f t="shared" si="1"/>
        <v>0</v>
      </c>
      <c r="AF38" s="167"/>
      <c r="AG38" s="167"/>
    </row>
    <row r="39" spans="1:34" ht="62.25" customHeight="1" x14ac:dyDescent="0.9">
      <c r="A39" s="124"/>
      <c r="B39" s="132">
        <v>8</v>
      </c>
      <c r="C39" s="111" t="s">
        <v>242</v>
      </c>
      <c r="D39" s="111"/>
      <c r="E39" s="111" t="s">
        <v>35</v>
      </c>
      <c r="F39" s="111" t="s">
        <v>215</v>
      </c>
      <c r="G39" s="111">
        <v>5500</v>
      </c>
      <c r="H39" s="111" t="s">
        <v>207</v>
      </c>
      <c r="I39" s="113">
        <v>28.04</v>
      </c>
      <c r="J39" s="130">
        <v>107</v>
      </c>
      <c r="K39" s="101" t="s">
        <v>17</v>
      </c>
      <c r="L39" s="214">
        <v>110</v>
      </c>
      <c r="M39" s="214">
        <v>110</v>
      </c>
      <c r="N39" s="214">
        <v>110</v>
      </c>
      <c r="O39" s="214">
        <v>110</v>
      </c>
      <c r="P39" s="214">
        <v>110</v>
      </c>
      <c r="Q39" s="214">
        <v>110</v>
      </c>
      <c r="R39" s="214">
        <v>110</v>
      </c>
      <c r="S39" s="214">
        <v>110</v>
      </c>
      <c r="T39" s="214"/>
      <c r="U39" s="214"/>
      <c r="V39" s="214"/>
      <c r="W39" s="123">
        <f>+IF(COUNTA(L39:V39)=0,0,Y39/(COUNTA(L39:V39)))</f>
        <v>110</v>
      </c>
      <c r="X39" s="514"/>
      <c r="Y39" s="134">
        <f t="shared" si="2"/>
        <v>880</v>
      </c>
      <c r="Z39" s="137">
        <f>+Y39+AA39</f>
        <v>5164</v>
      </c>
      <c r="AA39" s="137">
        <v>4284</v>
      </c>
      <c r="AB39" s="140">
        <f>+Z38-Z39</f>
        <v>1156</v>
      </c>
      <c r="AC39" s="131">
        <f>+IF(((Y40+(Y41/2))*60)=0,"",(I39*Y39)/((Y40+(Y41/2))*60))</f>
        <v>0.9262462462462463</v>
      </c>
      <c r="AD39" s="157"/>
      <c r="AE39" s="167">
        <f t="shared" si="1"/>
        <v>0</v>
      </c>
      <c r="AF39" s="167">
        <f>+Y39*I39</f>
        <v>24675.200000000001</v>
      </c>
      <c r="AG39" s="167"/>
    </row>
    <row r="40" spans="1:34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112"/>
      <c r="H40" s="210"/>
      <c r="I40" s="210">
        <v>1</v>
      </c>
      <c r="J40" s="114" t="s">
        <v>22</v>
      </c>
      <c r="K40" s="102" t="s">
        <v>18</v>
      </c>
      <c r="L40" s="215">
        <v>55</v>
      </c>
      <c r="M40" s="215">
        <v>55</v>
      </c>
      <c r="N40" s="215">
        <v>55</v>
      </c>
      <c r="O40" s="215">
        <v>55</v>
      </c>
      <c r="P40" s="215">
        <v>54</v>
      </c>
      <c r="Q40" s="215">
        <v>54</v>
      </c>
      <c r="R40" s="215">
        <v>54</v>
      </c>
      <c r="S40" s="215">
        <v>54</v>
      </c>
      <c r="T40" s="215"/>
      <c r="U40" s="215"/>
      <c r="V40" s="215"/>
      <c r="W40" s="160">
        <f>+W39-J39</f>
        <v>3</v>
      </c>
      <c r="X40" s="514"/>
      <c r="Y40" s="103">
        <f t="shared" si="2"/>
        <v>436</v>
      </c>
      <c r="Z40" s="138"/>
      <c r="AA40" s="138"/>
      <c r="AB40" s="115"/>
      <c r="AC40" s="116"/>
      <c r="AD40" s="157"/>
      <c r="AE40" s="167">
        <f t="shared" si="1"/>
        <v>0</v>
      </c>
      <c r="AF40" s="167"/>
      <c r="AG40" s="167"/>
    </row>
    <row r="41" spans="1:34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94</v>
      </c>
      <c r="G41" s="117"/>
      <c r="H41" s="159" t="s">
        <v>237</v>
      </c>
      <c r="I41" s="165">
        <f>+IF(J41="","",IF(J39=0,"",(J39*I39)/(J41*60)))</f>
        <v>0.90917575757575753</v>
      </c>
      <c r="J41" s="118">
        <v>55</v>
      </c>
      <c r="K41" s="104" t="s">
        <v>19</v>
      </c>
      <c r="L41" s="216">
        <v>2</v>
      </c>
      <c r="M41" s="216">
        <v>2</v>
      </c>
      <c r="N41" s="216">
        <v>2</v>
      </c>
      <c r="O41" s="216">
        <v>2</v>
      </c>
      <c r="P41" s="216">
        <v>2</v>
      </c>
      <c r="Q41" s="216">
        <v>2</v>
      </c>
      <c r="R41" s="216">
        <v>2</v>
      </c>
      <c r="S41" s="216">
        <v>2</v>
      </c>
      <c r="T41" s="216"/>
      <c r="U41" s="216"/>
      <c r="V41" s="216"/>
      <c r="W41" s="173"/>
      <c r="X41" s="236">
        <v>32.06</v>
      </c>
      <c r="Y41" s="105">
        <f t="shared" si="2"/>
        <v>16</v>
      </c>
      <c r="Z41" s="139"/>
      <c r="AA41" s="139"/>
      <c r="AB41" s="119">
        <f>+IFERROR(AB39/(J39*9),"")</f>
        <v>1.2004153686396677</v>
      </c>
      <c r="AC41" s="120"/>
      <c r="AD41" s="161">
        <f>+Y40+Y41/2</f>
        <v>444</v>
      </c>
      <c r="AE41" s="167">
        <f t="shared" si="1"/>
        <v>26640</v>
      </c>
      <c r="AF41" s="167"/>
      <c r="AG41" s="230">
        <f>+IF((Y39-J39*9)&gt;=0,"",Y39-J39*9)</f>
        <v>-83</v>
      </c>
      <c r="AH41" s="91"/>
    </row>
    <row r="42" spans="1:34" ht="62.25" customHeight="1" thickTop="1" x14ac:dyDescent="0.9">
      <c r="A42" s="124"/>
      <c r="B42" s="127">
        <f>+B43</f>
        <v>8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3"/>
      <c r="M42" s="213">
        <v>70</v>
      </c>
      <c r="N42" s="213"/>
      <c r="O42" s="213"/>
      <c r="P42" s="213">
        <v>70</v>
      </c>
      <c r="Q42" s="213"/>
      <c r="R42" s="213"/>
      <c r="S42" s="213"/>
      <c r="T42" s="213"/>
      <c r="U42" s="213"/>
      <c r="V42" s="213"/>
      <c r="W42" s="135"/>
      <c r="X42" s="513">
        <f>+W44</f>
        <v>0</v>
      </c>
      <c r="Y42" s="135">
        <f t="shared" si="2"/>
        <v>140</v>
      </c>
      <c r="Z42" s="136">
        <f>+AA42+Y42</f>
        <v>140</v>
      </c>
      <c r="AA42" s="136"/>
      <c r="AB42" s="109"/>
      <c r="AC42" s="110"/>
      <c r="AD42" s="157"/>
      <c r="AE42" s="167">
        <f t="shared" si="1"/>
        <v>0</v>
      </c>
      <c r="AF42" s="167"/>
      <c r="AG42" s="167"/>
    </row>
    <row r="43" spans="1:34" ht="62.25" customHeight="1" x14ac:dyDescent="0.9">
      <c r="A43" s="124"/>
      <c r="B43" s="132">
        <v>8</v>
      </c>
      <c r="C43" s="111" t="s">
        <v>259</v>
      </c>
      <c r="D43" s="111"/>
      <c r="E43" s="111" t="s">
        <v>35</v>
      </c>
      <c r="F43" s="111" t="s">
        <v>260</v>
      </c>
      <c r="G43" s="111"/>
      <c r="H43" s="111" t="s">
        <v>38</v>
      </c>
      <c r="I43" s="113"/>
      <c r="J43" s="130"/>
      <c r="K43" s="101" t="s">
        <v>17</v>
      </c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123">
        <f>+IF(COUNTA(L43:V43)=0,0,Y43/(COUNTA(L43:V43)))</f>
        <v>0</v>
      </c>
      <c r="X43" s="514"/>
      <c r="Y43" s="134">
        <f t="shared" si="2"/>
        <v>0</v>
      </c>
      <c r="Z43" s="137">
        <f>+Y43+AA43</f>
        <v>0</v>
      </c>
      <c r="AA43" s="137"/>
      <c r="AB43" s="140">
        <f>+Z42-Z43</f>
        <v>140</v>
      </c>
      <c r="AC43" s="131" t="str">
        <f>+IF(((Y44+(Y45/2))*60)=0,"",(I43*Y43)/((Y44+(Y45/2))*60))</f>
        <v/>
      </c>
      <c r="AD43" s="157"/>
      <c r="AE43" s="167">
        <f t="shared" si="1"/>
        <v>0</v>
      </c>
      <c r="AF43" s="167">
        <f>+Y43*I43</f>
        <v>0</v>
      </c>
      <c r="AG43" s="167"/>
    </row>
    <row r="44" spans="1:34" ht="62.25" customHeight="1" x14ac:dyDescent="0.9">
      <c r="A44" s="124"/>
      <c r="B44" s="125">
        <f>+B43</f>
        <v>8</v>
      </c>
      <c r="C44" s="184"/>
      <c r="D44" s="111">
        <f>+B43</f>
        <v>8</v>
      </c>
      <c r="E44" s="111"/>
      <c r="F44" s="112" t="e">
        <f>+VLOOKUP(F43,'Obj Prix'!$H:$H,2,FALSE)</f>
        <v>#N/A</v>
      </c>
      <c r="G44" s="112"/>
      <c r="H44" s="210"/>
      <c r="I44" s="210"/>
      <c r="J44" s="114" t="s">
        <v>22</v>
      </c>
      <c r="K44" s="102" t="s">
        <v>18</v>
      </c>
      <c r="L44" s="215"/>
      <c r="M44" s="215"/>
      <c r="N44" s="215"/>
      <c r="O44" s="215"/>
      <c r="P44" s="215"/>
      <c r="Q44" s="215"/>
      <c r="R44" s="215"/>
      <c r="S44" s="215"/>
      <c r="T44" s="215"/>
      <c r="U44" s="215"/>
      <c r="V44" s="215"/>
      <c r="W44" s="160"/>
      <c r="X44" s="514"/>
      <c r="Y44" s="103">
        <f t="shared" si="2"/>
        <v>0</v>
      </c>
      <c r="Z44" s="138"/>
      <c r="AA44" s="138"/>
      <c r="AB44" s="115"/>
      <c r="AC44" s="116"/>
      <c r="AD44" s="157"/>
      <c r="AE44" s="167">
        <f t="shared" si="1"/>
        <v>0</v>
      </c>
      <c r="AF44" s="167"/>
      <c r="AG44" s="167"/>
    </row>
    <row r="45" spans="1:34" s="98" customFormat="1" ht="62.25" customHeight="1" thickBot="1" x14ac:dyDescent="0.95">
      <c r="A45" s="124"/>
      <c r="B45" s="126">
        <f>+B43</f>
        <v>8</v>
      </c>
      <c r="C45" s="174" t="s">
        <v>130</v>
      </c>
      <c r="D45" s="175">
        <f>+D44+100</f>
        <v>108</v>
      </c>
      <c r="E45" s="175"/>
      <c r="F45" s="117" t="s">
        <v>94</v>
      </c>
      <c r="G45" s="117"/>
      <c r="H45" s="159"/>
      <c r="I45" s="165" t="str">
        <f>+IF(J45="","",IF(J43=0,"",(J43*I43)/(J45*60)))</f>
        <v/>
      </c>
      <c r="J45" s="118"/>
      <c r="K45" s="104" t="s">
        <v>19</v>
      </c>
      <c r="L45" s="216"/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173"/>
      <c r="X45" s="236"/>
      <c r="Y45" s="105">
        <f t="shared" si="2"/>
        <v>0</v>
      </c>
      <c r="Z45" s="139"/>
      <c r="AA45" s="139"/>
      <c r="AB45" s="119" t="str">
        <f>+IFERROR(AB43/(J43*9),"")</f>
        <v/>
      </c>
      <c r="AC45" s="120"/>
      <c r="AD45" s="161">
        <f>+Y44+Y45/2</f>
        <v>0</v>
      </c>
      <c r="AE45" s="167">
        <f t="shared" si="1"/>
        <v>0</v>
      </c>
      <c r="AF45" s="167"/>
      <c r="AG45" s="230" t="str">
        <f>+IF((Y43-J43*9)&gt;=0,"",Y43-J43*9)</f>
        <v/>
      </c>
      <c r="AH45" s="91"/>
    </row>
    <row r="46" spans="1:34" s="98" customFormat="1" ht="62.25" customHeight="1" thickTop="1" x14ac:dyDescent="0.9">
      <c r="A46" s="124"/>
      <c r="B46" s="127">
        <f>+B47</f>
        <v>9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>
        <v>70</v>
      </c>
      <c r="M46" s="213">
        <v>70</v>
      </c>
      <c r="N46" s="213">
        <v>70</v>
      </c>
      <c r="O46" s="213">
        <v>70</v>
      </c>
      <c r="P46" s="213">
        <v>70</v>
      </c>
      <c r="Q46" s="213"/>
      <c r="R46" s="213"/>
      <c r="S46" s="213"/>
      <c r="T46" s="213"/>
      <c r="U46" s="213"/>
      <c r="V46" s="213"/>
      <c r="W46" s="135"/>
      <c r="X46" s="513">
        <f>+W48</f>
        <v>1.125</v>
      </c>
      <c r="Y46" s="135">
        <f t="shared" si="2"/>
        <v>350</v>
      </c>
      <c r="Z46" s="136">
        <f>+AA46+Y46</f>
        <v>6021</v>
      </c>
      <c r="AA46" s="136">
        <v>5671</v>
      </c>
      <c r="AB46" s="109"/>
      <c r="AC46" s="110"/>
      <c r="AD46" s="157"/>
      <c r="AE46" s="167">
        <f t="shared" si="1"/>
        <v>0</v>
      </c>
      <c r="AF46" s="167"/>
      <c r="AG46" s="167"/>
      <c r="AH46" s="91"/>
    </row>
    <row r="47" spans="1:34" s="98" customFormat="1" ht="62.25" customHeight="1" x14ac:dyDescent="0.9">
      <c r="A47" s="124"/>
      <c r="B47" s="132">
        <v>9</v>
      </c>
      <c r="C47" s="111" t="s">
        <v>234</v>
      </c>
      <c r="D47" s="111"/>
      <c r="E47" s="111" t="s">
        <v>35</v>
      </c>
      <c r="F47" s="111" t="s">
        <v>235</v>
      </c>
      <c r="G47" s="111">
        <v>12500</v>
      </c>
      <c r="H47" s="111" t="s">
        <v>33</v>
      </c>
      <c r="I47" s="113">
        <v>52.3</v>
      </c>
      <c r="J47" s="130">
        <v>55</v>
      </c>
      <c r="K47" s="101" t="s">
        <v>17</v>
      </c>
      <c r="L47" s="214">
        <v>57</v>
      </c>
      <c r="M47" s="214">
        <v>57</v>
      </c>
      <c r="N47" s="214">
        <v>57</v>
      </c>
      <c r="O47" s="214">
        <v>57</v>
      </c>
      <c r="P47" s="214">
        <v>57</v>
      </c>
      <c r="Q47" s="214">
        <v>57</v>
      </c>
      <c r="R47" s="214">
        <v>50</v>
      </c>
      <c r="S47" s="214">
        <v>57</v>
      </c>
      <c r="T47" s="214"/>
      <c r="U47" s="214"/>
      <c r="V47" s="214"/>
      <c r="W47" s="123">
        <f>+IF(COUNTA(L47:V47)=0,0,Y47/(COUNTA(L47:V47)))</f>
        <v>56.125</v>
      </c>
      <c r="X47" s="514"/>
      <c r="Y47" s="134">
        <f t="shared" si="2"/>
        <v>449</v>
      </c>
      <c r="Z47" s="137">
        <f>+Y47+AA47</f>
        <v>5398</v>
      </c>
      <c r="AA47" s="137">
        <v>4949</v>
      </c>
      <c r="AB47" s="140">
        <f>+Z46-Z47</f>
        <v>623</v>
      </c>
      <c r="AC47" s="131">
        <f>+IF(((Y48+(Y49/2))*60)=0,"",(I47*Y47)/((Y48+(Y49/2))*60))</f>
        <v>0.88949621212121199</v>
      </c>
      <c r="AD47" s="157"/>
      <c r="AE47" s="167">
        <f t="shared" si="1"/>
        <v>0</v>
      </c>
      <c r="AF47" s="167">
        <f>+Y47*I47</f>
        <v>23482.699999999997</v>
      </c>
      <c r="AG47" s="167"/>
      <c r="AH47" s="91"/>
    </row>
    <row r="48" spans="1:34" ht="62.25" customHeight="1" x14ac:dyDescent="0.9">
      <c r="A48" s="124"/>
      <c r="B48" s="182">
        <f>+B47</f>
        <v>9</v>
      </c>
      <c r="C48" s="185"/>
      <c r="D48" s="111"/>
      <c r="E48" s="185"/>
      <c r="F48" s="112" t="e">
        <f>+VLOOKUP(F47,'Obj Prix'!$H:$H,2,FALSE)</f>
        <v>#N/A</v>
      </c>
      <c r="G48" s="112"/>
      <c r="H48" s="210"/>
      <c r="I48" s="210"/>
      <c r="J48" s="114" t="s">
        <v>22</v>
      </c>
      <c r="K48" s="102" t="s">
        <v>18</v>
      </c>
      <c r="L48" s="215">
        <v>54</v>
      </c>
      <c r="M48" s="215">
        <v>54</v>
      </c>
      <c r="N48" s="215">
        <v>54</v>
      </c>
      <c r="O48" s="215">
        <v>54</v>
      </c>
      <c r="P48" s="215">
        <v>54</v>
      </c>
      <c r="Q48" s="215">
        <v>54</v>
      </c>
      <c r="R48" s="215">
        <v>54</v>
      </c>
      <c r="S48" s="215">
        <v>54</v>
      </c>
      <c r="T48" s="215"/>
      <c r="U48" s="215"/>
      <c r="V48" s="215"/>
      <c r="W48" s="160">
        <f>+W47-J47</f>
        <v>1.125</v>
      </c>
      <c r="X48" s="514"/>
      <c r="Y48" s="103">
        <f t="shared" si="2"/>
        <v>432</v>
      </c>
      <c r="Z48" s="138"/>
      <c r="AA48" s="138"/>
      <c r="AB48" s="115"/>
      <c r="AC48" s="116"/>
      <c r="AD48" s="157"/>
      <c r="AE48" s="167">
        <f t="shared" si="1"/>
        <v>0</v>
      </c>
      <c r="AF48" s="180"/>
      <c r="AG48" s="167"/>
    </row>
    <row r="49" spans="1:34" s="98" customFormat="1" ht="62.25" customHeight="1" thickBot="1" x14ac:dyDescent="0.95">
      <c r="A49" s="124"/>
      <c r="B49" s="129">
        <f>+B47</f>
        <v>9</v>
      </c>
      <c r="C49" s="174" t="s">
        <v>112</v>
      </c>
      <c r="D49" s="175">
        <f>+D48+100</f>
        <v>100</v>
      </c>
      <c r="E49" s="175"/>
      <c r="F49" s="117" t="s">
        <v>203</v>
      </c>
      <c r="G49" s="117"/>
      <c r="H49" s="146"/>
      <c r="I49" s="165">
        <f>+IF(J49="","",IF(J47=0,"",(J47*I47)/(J49*60)))</f>
        <v>0.92195512820512826</v>
      </c>
      <c r="J49" s="118">
        <v>52</v>
      </c>
      <c r="K49" s="104" t="s">
        <v>19</v>
      </c>
      <c r="L49" s="216">
        <v>2</v>
      </c>
      <c r="M49" s="216">
        <v>2</v>
      </c>
      <c r="N49" s="216">
        <v>2</v>
      </c>
      <c r="O49" s="216">
        <v>2</v>
      </c>
      <c r="P49" s="216">
        <v>2</v>
      </c>
      <c r="Q49" s="216">
        <v>2</v>
      </c>
      <c r="R49" s="216">
        <v>2</v>
      </c>
      <c r="S49" s="216">
        <v>2</v>
      </c>
      <c r="T49" s="216"/>
      <c r="U49" s="216"/>
      <c r="V49" s="216"/>
      <c r="W49" s="173"/>
      <c r="X49" s="169">
        <v>16.920000000000002</v>
      </c>
      <c r="Y49" s="105">
        <f t="shared" si="2"/>
        <v>16</v>
      </c>
      <c r="Z49" s="139"/>
      <c r="AA49" s="139"/>
      <c r="AB49" s="119">
        <f>+IFERROR(AB47/(J47*9),"")</f>
        <v>1.2585858585858587</v>
      </c>
      <c r="AC49" s="120"/>
      <c r="AD49" s="161">
        <f>+Y48+Y49/2</f>
        <v>440</v>
      </c>
      <c r="AE49" s="167">
        <f t="shared" si="1"/>
        <v>26400</v>
      </c>
      <c r="AF49" s="167"/>
      <c r="AG49" s="230">
        <f>+IF((Y47-J47*9)&gt;=0,"",Y47-J47*9)</f>
        <v>-46</v>
      </c>
      <c r="AH49" s="91"/>
    </row>
    <row r="50" spans="1:34" ht="62.25" customHeight="1" thickTop="1" x14ac:dyDescent="0.9">
      <c r="A50" s="124"/>
      <c r="B50" s="127">
        <f>+B51</f>
        <v>11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135"/>
      <c r="X50" s="513">
        <f>+W52</f>
        <v>0</v>
      </c>
      <c r="Y50" s="135">
        <f t="shared" si="2"/>
        <v>0</v>
      </c>
      <c r="Z50" s="136">
        <f>+AA50+Y50</f>
        <v>8804</v>
      </c>
      <c r="AA50" s="136">
        <v>8804</v>
      </c>
      <c r="AB50" s="109"/>
      <c r="AC50" s="110"/>
      <c r="AD50" s="157"/>
      <c r="AE50" s="167">
        <f t="shared" si="1"/>
        <v>0</v>
      </c>
      <c r="AF50" s="167"/>
      <c r="AG50" s="167"/>
    </row>
    <row r="51" spans="1:34" ht="62.25" customHeight="1" x14ac:dyDescent="0.9">
      <c r="A51" s="124"/>
      <c r="B51" s="132">
        <v>11</v>
      </c>
      <c r="C51" s="111" t="s">
        <v>216</v>
      </c>
      <c r="D51" s="111"/>
      <c r="E51" s="111" t="s">
        <v>35</v>
      </c>
      <c r="F51" s="111" t="s">
        <v>215</v>
      </c>
      <c r="G51" s="111">
        <v>8270</v>
      </c>
      <c r="H51" s="111" t="s">
        <v>207</v>
      </c>
      <c r="I51" s="113">
        <v>28.04</v>
      </c>
      <c r="J51" s="130">
        <v>107</v>
      </c>
      <c r="K51" s="101" t="s">
        <v>17</v>
      </c>
      <c r="L51" s="214"/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123">
        <f>+IF(COUNTA(L51:V51)=0,0,Y51/(COUNTA(L51:V51)))</f>
        <v>0</v>
      </c>
      <c r="X51" s="514"/>
      <c r="Y51" s="134">
        <f t="shared" si="2"/>
        <v>0</v>
      </c>
      <c r="Z51" s="137">
        <f>+Y51+AA51</f>
        <v>8719</v>
      </c>
      <c r="AA51" s="137">
        <v>8719</v>
      </c>
      <c r="AB51" s="140">
        <f>+Z50-Z51</f>
        <v>85</v>
      </c>
      <c r="AC51" s="131" t="str">
        <f>+IF(((Y52+(Y53/2))*60)=0,"",(I51*Y51)/((Y52+(Y53/2))*60))</f>
        <v/>
      </c>
      <c r="AD51" s="157"/>
      <c r="AE51" s="167">
        <f t="shared" si="1"/>
        <v>0</v>
      </c>
      <c r="AF51" s="167">
        <f>+Y51*I51</f>
        <v>0</v>
      </c>
      <c r="AG51" s="167"/>
    </row>
    <row r="52" spans="1:34" ht="62.25" customHeight="1" x14ac:dyDescent="0.9">
      <c r="A52" s="124"/>
      <c r="B52" s="125">
        <f>+B51</f>
        <v>11</v>
      </c>
      <c r="C52" s="184"/>
      <c r="D52" s="111"/>
      <c r="E52" s="111"/>
      <c r="F52" s="112" t="e">
        <f>+VLOOKUP(F51,'Obj Prix'!$H:$H,2,FALSE)</f>
        <v>#N/A</v>
      </c>
      <c r="G52" s="112"/>
      <c r="H52" s="210"/>
      <c r="I52" s="210">
        <v>0</v>
      </c>
      <c r="J52" s="114" t="s">
        <v>22</v>
      </c>
      <c r="K52" s="102" t="s">
        <v>18</v>
      </c>
      <c r="L52" s="215"/>
      <c r="M52" s="215"/>
      <c r="N52" s="215"/>
      <c r="O52" s="215"/>
      <c r="P52" s="215"/>
      <c r="Q52" s="215"/>
      <c r="R52" s="215"/>
      <c r="S52" s="215"/>
      <c r="T52" s="215"/>
      <c r="U52" s="215"/>
      <c r="V52" s="215"/>
      <c r="W52" s="160"/>
      <c r="X52" s="514"/>
      <c r="Y52" s="103">
        <f t="shared" si="2"/>
        <v>0</v>
      </c>
      <c r="Z52" s="138"/>
      <c r="AA52" s="138"/>
      <c r="AB52" s="115"/>
      <c r="AC52" s="116"/>
      <c r="AD52" s="157"/>
      <c r="AE52" s="167">
        <f t="shared" si="1"/>
        <v>0</v>
      </c>
      <c r="AF52" s="167"/>
      <c r="AG52" s="167"/>
    </row>
    <row r="53" spans="1:34" s="98" customFormat="1" ht="62.25" customHeight="1" thickBot="1" x14ac:dyDescent="0.95">
      <c r="A53" s="124"/>
      <c r="B53" s="126">
        <f>+B51</f>
        <v>11</v>
      </c>
      <c r="C53" s="174" t="s">
        <v>175</v>
      </c>
      <c r="D53" s="175">
        <f>+D52+100</f>
        <v>100</v>
      </c>
      <c r="E53" s="175"/>
      <c r="F53" s="117" t="s">
        <v>94</v>
      </c>
      <c r="G53" s="117"/>
      <c r="H53" s="146"/>
      <c r="I53" s="165">
        <f>+IF(J53="","",IF(J51=0,"",(J51*I51)/(J53*60)))</f>
        <v>0.86214942528735627</v>
      </c>
      <c r="J53" s="118">
        <v>58</v>
      </c>
      <c r="K53" s="104" t="s">
        <v>19</v>
      </c>
      <c r="L53" s="216"/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173"/>
      <c r="X53" s="169">
        <v>21.71</v>
      </c>
      <c r="Y53" s="105">
        <f t="shared" si="2"/>
        <v>0</v>
      </c>
      <c r="Z53" s="139"/>
      <c r="AA53" s="139"/>
      <c r="AB53" s="119">
        <f>+IFERROR(AB51/(J51*9),"")</f>
        <v>8.8265835929387332E-2</v>
      </c>
      <c r="AC53" s="120"/>
      <c r="AD53" s="161">
        <f>+Y52+Y53/2</f>
        <v>0</v>
      </c>
      <c r="AE53" s="167">
        <f t="shared" si="1"/>
        <v>0</v>
      </c>
      <c r="AF53" s="167"/>
      <c r="AG53" s="230">
        <f>+IF((Y51-J51*9)&gt;=0,"",Y51-J51*9)</f>
        <v>-963</v>
      </c>
      <c r="AH53" s="91"/>
    </row>
    <row r="54" spans="1:34" ht="62.25" customHeight="1" thickTop="1" x14ac:dyDescent="0.9">
      <c r="A54" s="124"/>
      <c r="B54" s="127">
        <f>+B55</f>
        <v>11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/>
      <c r="M54" s="213"/>
      <c r="N54" s="213"/>
      <c r="O54" s="213"/>
      <c r="P54" s="213"/>
      <c r="Q54" s="213"/>
      <c r="R54" s="213"/>
      <c r="S54" s="213"/>
      <c r="T54" s="213"/>
      <c r="U54" s="213"/>
      <c r="V54" s="213"/>
      <c r="W54" s="135"/>
      <c r="X54" s="513">
        <f>+W56</f>
        <v>13</v>
      </c>
      <c r="Y54" s="135">
        <f t="shared" si="2"/>
        <v>0</v>
      </c>
      <c r="Z54" s="136">
        <f>+AA54+Y54</f>
        <v>6770</v>
      </c>
      <c r="AA54" s="136">
        <v>6770</v>
      </c>
      <c r="AB54" s="109"/>
      <c r="AC54" s="110"/>
      <c r="AD54" s="157"/>
      <c r="AE54" s="167">
        <f t="shared" si="1"/>
        <v>0</v>
      </c>
      <c r="AF54" s="167"/>
      <c r="AG54" s="167"/>
    </row>
    <row r="55" spans="1:34" ht="62.25" customHeight="1" x14ac:dyDescent="0.9">
      <c r="A55" s="124"/>
      <c r="B55" s="132">
        <v>11</v>
      </c>
      <c r="C55" s="111" t="s">
        <v>242</v>
      </c>
      <c r="D55" s="111"/>
      <c r="E55" s="111" t="s">
        <v>35</v>
      </c>
      <c r="F55" s="111" t="s">
        <v>215</v>
      </c>
      <c r="G55" s="111">
        <v>7730</v>
      </c>
      <c r="H55" s="111" t="s">
        <v>207</v>
      </c>
      <c r="I55" s="113">
        <v>28.04</v>
      </c>
      <c r="J55" s="130">
        <v>107</v>
      </c>
      <c r="K55" s="101" t="s">
        <v>17</v>
      </c>
      <c r="L55" s="214">
        <v>70</v>
      </c>
      <c r="M55" s="214">
        <v>150</v>
      </c>
      <c r="N55" s="214">
        <v>125</v>
      </c>
      <c r="O55" s="214">
        <v>130</v>
      </c>
      <c r="P55" s="214">
        <v>125</v>
      </c>
      <c r="Q55" s="214">
        <v>120</v>
      </c>
      <c r="R55" s="214">
        <v>120</v>
      </c>
      <c r="S55" s="214">
        <v>120</v>
      </c>
      <c r="T55" s="214"/>
      <c r="U55" s="214"/>
      <c r="V55" s="214"/>
      <c r="W55" s="123">
        <f>+IF(COUNTA(L55:V55)=0,0,Y55/(COUNTA(L55:V55)))</f>
        <v>120</v>
      </c>
      <c r="X55" s="514"/>
      <c r="Y55" s="134">
        <f t="shared" si="2"/>
        <v>960</v>
      </c>
      <c r="Z55" s="137">
        <f>+Y55+AA55</f>
        <v>6288</v>
      </c>
      <c r="AA55" s="137">
        <v>5328</v>
      </c>
      <c r="AB55" s="140">
        <f>+Z54-Z55</f>
        <v>482</v>
      </c>
      <c r="AC55" s="131">
        <f>+IF(((Y56+(Y57/2))*60)=0,"",(I55*Y55)/((Y56+(Y57/2))*60))</f>
        <v>1.8237398373983738</v>
      </c>
      <c r="AD55" s="157"/>
      <c r="AE55" s="167">
        <f t="shared" si="1"/>
        <v>0</v>
      </c>
      <c r="AF55" s="167">
        <f>+Y55*I55</f>
        <v>26918.399999999998</v>
      </c>
      <c r="AG55" s="167"/>
    </row>
    <row r="56" spans="1:34" ht="62.25" customHeight="1" x14ac:dyDescent="0.9">
      <c r="A56" s="124"/>
      <c r="B56" s="125">
        <f>+B55</f>
        <v>11</v>
      </c>
      <c r="C56" s="184"/>
      <c r="D56" s="111"/>
      <c r="E56" s="111"/>
      <c r="F56" s="112" t="e">
        <f>+VLOOKUP(F55,'Obj Prix'!$H:$H,2,FALSE)</f>
        <v>#N/A</v>
      </c>
      <c r="G56" s="112"/>
      <c r="H56" s="210"/>
      <c r="I56" s="210">
        <v>0</v>
      </c>
      <c r="J56" s="114" t="s">
        <v>22</v>
      </c>
      <c r="K56" s="102" t="s">
        <v>18</v>
      </c>
      <c r="L56" s="215">
        <v>43</v>
      </c>
      <c r="M56" s="215">
        <v>36</v>
      </c>
      <c r="N56" s="215">
        <v>34</v>
      </c>
      <c r="O56" s="215">
        <v>32</v>
      </c>
      <c r="P56" s="215">
        <v>30</v>
      </c>
      <c r="Q56" s="215">
        <v>25</v>
      </c>
      <c r="R56" s="215">
        <v>23</v>
      </c>
      <c r="S56" s="215">
        <v>23</v>
      </c>
      <c r="T56" s="215"/>
      <c r="U56" s="215"/>
      <c r="V56" s="215"/>
      <c r="W56" s="160">
        <f>+W55-J55</f>
        <v>13</v>
      </c>
      <c r="X56" s="514"/>
      <c r="Y56" s="103">
        <f t="shared" si="2"/>
        <v>246</v>
      </c>
      <c r="Z56" s="138"/>
      <c r="AA56" s="138"/>
      <c r="AB56" s="115"/>
      <c r="AC56" s="116"/>
      <c r="AD56" s="157"/>
      <c r="AE56" s="167">
        <f t="shared" si="1"/>
        <v>0</v>
      </c>
      <c r="AF56" s="167"/>
      <c r="AG56" s="167"/>
    </row>
    <row r="57" spans="1:34" s="98" customFormat="1" ht="62.25" customHeight="1" thickBot="1" x14ac:dyDescent="0.95">
      <c r="A57" s="124"/>
      <c r="B57" s="126">
        <f>+B55</f>
        <v>11</v>
      </c>
      <c r="C57" s="174" t="s">
        <v>175</v>
      </c>
      <c r="D57" s="175">
        <f>+D56+100</f>
        <v>100</v>
      </c>
      <c r="E57" s="175"/>
      <c r="F57" s="117" t="s">
        <v>94</v>
      </c>
      <c r="G57" s="117"/>
      <c r="H57" s="159" t="s">
        <v>246</v>
      </c>
      <c r="I57" s="165">
        <f>+IF(J57="","",IF(J55=0,"",(J55*I55)/(J57*60)))</f>
        <v>0.86214942528735627</v>
      </c>
      <c r="J57" s="118">
        <v>58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173"/>
      <c r="X57" s="169"/>
      <c r="Y57" s="105">
        <f t="shared" si="2"/>
        <v>0</v>
      </c>
      <c r="Z57" s="139"/>
      <c r="AA57" s="139"/>
      <c r="AB57" s="119">
        <f>+IFERROR(AB55/(J55*9),"")</f>
        <v>0.50051921079958461</v>
      </c>
      <c r="AC57" s="120"/>
      <c r="AD57" s="161">
        <f>+Y56+Y57/2</f>
        <v>246</v>
      </c>
      <c r="AE57" s="167">
        <f t="shared" si="1"/>
        <v>14760</v>
      </c>
      <c r="AF57" s="167"/>
      <c r="AG57" s="230">
        <f>+IF((Y55-J55*9)&gt;=0,"",Y55-J55*9)</f>
        <v>-3</v>
      </c>
      <c r="AH57" s="91"/>
    </row>
    <row r="58" spans="1:34" ht="62.25" customHeight="1" thickTop="1" x14ac:dyDescent="0.9">
      <c r="A58" s="124"/>
      <c r="B58" s="127">
        <f>+B59</f>
        <v>11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>
        <v>70</v>
      </c>
      <c r="M58" s="213"/>
      <c r="N58" s="213"/>
      <c r="O58" s="213">
        <v>70</v>
      </c>
      <c r="P58" s="213"/>
      <c r="Q58" s="213"/>
      <c r="R58" s="213"/>
      <c r="S58" s="213"/>
      <c r="T58" s="213"/>
      <c r="U58" s="213"/>
      <c r="V58" s="213"/>
      <c r="W58" s="135"/>
      <c r="X58" s="513">
        <f>+W60</f>
        <v>0</v>
      </c>
      <c r="Y58" s="135">
        <f t="shared" si="2"/>
        <v>140</v>
      </c>
      <c r="Z58" s="136">
        <f>+AA58+Y58</f>
        <v>140</v>
      </c>
      <c r="AA58" s="136"/>
      <c r="AB58" s="109"/>
      <c r="AC58" s="110"/>
      <c r="AD58" s="157"/>
      <c r="AE58" s="167">
        <f t="shared" si="1"/>
        <v>0</v>
      </c>
      <c r="AF58" s="167"/>
      <c r="AG58" s="167"/>
    </row>
    <row r="59" spans="1:34" ht="62.25" customHeight="1" x14ac:dyDescent="0.9">
      <c r="A59" s="124"/>
      <c r="B59" s="132">
        <v>11</v>
      </c>
      <c r="C59" s="111" t="s">
        <v>259</v>
      </c>
      <c r="D59" s="111"/>
      <c r="E59" s="111" t="s">
        <v>35</v>
      </c>
      <c r="F59" s="111" t="s">
        <v>260</v>
      </c>
      <c r="G59" s="111"/>
      <c r="H59" s="111" t="s">
        <v>38</v>
      </c>
      <c r="I59" s="113"/>
      <c r="J59" s="130"/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+IF(COUNTA(L59:V59)=0,0,Y59/(COUNTA(L59:V59)))</f>
        <v>0</v>
      </c>
      <c r="X59" s="514"/>
      <c r="Y59" s="134">
        <f t="shared" si="2"/>
        <v>0</v>
      </c>
      <c r="Z59" s="137">
        <f>+Y59+AA59</f>
        <v>0</v>
      </c>
      <c r="AA59" s="137"/>
      <c r="AB59" s="140">
        <f>+Z58-Z59</f>
        <v>140</v>
      </c>
      <c r="AC59" s="131">
        <f>+IF(((Y60+(Y61/2))*60)=0,"",(I59*Y59)/((Y60+(Y61/2))*60))</f>
        <v>0</v>
      </c>
      <c r="AD59" s="157"/>
      <c r="AE59" s="167">
        <f t="shared" si="1"/>
        <v>0</v>
      </c>
      <c r="AF59" s="167">
        <f>+Y59*I59</f>
        <v>0</v>
      </c>
      <c r="AG59" s="167"/>
    </row>
    <row r="60" spans="1:34" ht="62.25" customHeight="1" x14ac:dyDescent="0.9">
      <c r="A60" s="124"/>
      <c r="B60" s="125">
        <f>+B59</f>
        <v>11</v>
      </c>
      <c r="C60" s="184"/>
      <c r="D60" s="111"/>
      <c r="E60" s="111"/>
      <c r="F60" s="112" t="e">
        <f>+VLOOKUP(F59,'Obj Prix'!$H:$H,2,FALSE)</f>
        <v>#N/A</v>
      </c>
      <c r="G60" s="112"/>
      <c r="H60" s="210"/>
      <c r="I60" s="210">
        <v>0</v>
      </c>
      <c r="J60" s="114" t="s">
        <v>22</v>
      </c>
      <c r="K60" s="102" t="s">
        <v>18</v>
      </c>
      <c r="L60" s="215">
        <f>56-L56</f>
        <v>13</v>
      </c>
      <c r="M60" s="215">
        <f>56-M56</f>
        <v>20</v>
      </c>
      <c r="N60" s="215">
        <v>22</v>
      </c>
      <c r="O60" s="215">
        <v>24</v>
      </c>
      <c r="P60" s="215">
        <v>26</v>
      </c>
      <c r="Q60" s="215">
        <v>31</v>
      </c>
      <c r="R60" s="215">
        <v>33</v>
      </c>
      <c r="S60" s="215">
        <v>33</v>
      </c>
      <c r="T60" s="215"/>
      <c r="U60" s="215"/>
      <c r="V60" s="215"/>
      <c r="W60" s="160"/>
      <c r="X60" s="514"/>
      <c r="Y60" s="103">
        <f t="shared" si="2"/>
        <v>202</v>
      </c>
      <c r="Z60" s="138"/>
      <c r="AA60" s="138"/>
      <c r="AB60" s="115"/>
      <c r="AC60" s="116"/>
      <c r="AD60" s="157"/>
      <c r="AE60" s="167">
        <f t="shared" si="1"/>
        <v>0</v>
      </c>
      <c r="AF60" s="167"/>
      <c r="AG60" s="167"/>
    </row>
    <row r="61" spans="1:34" s="98" customFormat="1" ht="62.25" customHeight="1" thickBot="1" x14ac:dyDescent="0.95">
      <c r="A61" s="124"/>
      <c r="B61" s="126">
        <f>+B59</f>
        <v>11</v>
      </c>
      <c r="C61" s="174" t="s">
        <v>175</v>
      </c>
      <c r="D61" s="175">
        <f>+D60+100</f>
        <v>100</v>
      </c>
      <c r="E61" s="175"/>
      <c r="F61" s="117" t="s">
        <v>94</v>
      </c>
      <c r="G61" s="117"/>
      <c r="H61" s="159"/>
      <c r="I61" s="165" t="str">
        <f>+IF(J61="","",IF(J59=0,"",(J59*I59)/(J61*60)))</f>
        <v/>
      </c>
      <c r="J61" s="118"/>
      <c r="K61" s="104" t="s">
        <v>19</v>
      </c>
      <c r="L61" s="216">
        <v>3</v>
      </c>
      <c r="M61" s="216">
        <v>3</v>
      </c>
      <c r="N61" s="216">
        <v>3</v>
      </c>
      <c r="O61" s="216">
        <v>3</v>
      </c>
      <c r="P61" s="216">
        <v>3</v>
      </c>
      <c r="Q61" s="216">
        <v>3</v>
      </c>
      <c r="R61" s="216">
        <v>3</v>
      </c>
      <c r="S61" s="216">
        <v>3</v>
      </c>
      <c r="T61" s="216"/>
      <c r="U61" s="216"/>
      <c r="V61" s="216"/>
      <c r="W61" s="173"/>
      <c r="X61" s="169"/>
      <c r="Y61" s="105">
        <f t="shared" si="2"/>
        <v>24</v>
      </c>
      <c r="Z61" s="139"/>
      <c r="AA61" s="139"/>
      <c r="AB61" s="119" t="str">
        <f>+IFERROR(AB59/(J59*9),"")</f>
        <v/>
      </c>
      <c r="AC61" s="120"/>
      <c r="AD61" s="161">
        <f>+Y60+Y61/2</f>
        <v>214</v>
      </c>
      <c r="AE61" s="167">
        <f t="shared" si="1"/>
        <v>12840</v>
      </c>
      <c r="AF61" s="167"/>
      <c r="AG61" s="230" t="str">
        <f>+IF((Y59-J59*9)&gt;=0,"",Y59-J59*9)</f>
        <v/>
      </c>
      <c r="AH61" s="91"/>
    </row>
    <row r="62" spans="1:34" ht="62.25" customHeight="1" thickTop="1" x14ac:dyDescent="0.9">
      <c r="A62" s="124"/>
      <c r="B62" s="127">
        <f>+B63</f>
        <v>12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/>
      <c r="M62" s="213"/>
      <c r="N62" s="213"/>
      <c r="O62" s="213"/>
      <c r="P62" s="213"/>
      <c r="Q62" s="213"/>
      <c r="R62" s="213"/>
      <c r="S62" s="213"/>
      <c r="T62" s="213"/>
      <c r="U62" s="213"/>
      <c r="V62" s="213"/>
      <c r="W62" s="135"/>
      <c r="X62" s="513">
        <f>+W64</f>
        <v>0</v>
      </c>
      <c r="Y62" s="135">
        <f t="shared" si="2"/>
        <v>0</v>
      </c>
      <c r="Z62" s="136">
        <f>+AA62+Y62</f>
        <v>4158</v>
      </c>
      <c r="AA62" s="136">
        <v>4158</v>
      </c>
      <c r="AB62" s="121"/>
      <c r="AC62" s="110"/>
      <c r="AD62" s="157"/>
      <c r="AE62" s="167">
        <f t="shared" si="1"/>
        <v>0</v>
      </c>
      <c r="AF62" s="167"/>
      <c r="AG62" s="167"/>
    </row>
    <row r="63" spans="1:34" ht="62.25" customHeight="1" x14ac:dyDescent="0.9">
      <c r="A63" s="124"/>
      <c r="B63" s="132">
        <v>12</v>
      </c>
      <c r="C63" s="111" t="s">
        <v>231</v>
      </c>
      <c r="D63" s="111"/>
      <c r="E63" s="111" t="s">
        <v>35</v>
      </c>
      <c r="F63" s="111" t="s">
        <v>232</v>
      </c>
      <c r="G63" s="111">
        <v>4000</v>
      </c>
      <c r="H63" s="111" t="s">
        <v>33</v>
      </c>
      <c r="I63" s="113">
        <v>58.32</v>
      </c>
      <c r="J63" s="130">
        <v>49</v>
      </c>
      <c r="K63" s="101" t="s">
        <v>17</v>
      </c>
      <c r="L63" s="214">
        <v>35</v>
      </c>
      <c r="M63" s="214">
        <v>50</v>
      </c>
      <c r="N63" s="214">
        <v>64</v>
      </c>
      <c r="O63" s="214">
        <v>40</v>
      </c>
      <c r="P63" s="214">
        <v>55</v>
      </c>
      <c r="Q63" s="214">
        <v>50</v>
      </c>
      <c r="R63" s="214">
        <v>49</v>
      </c>
      <c r="S63" s="214">
        <v>49</v>
      </c>
      <c r="T63" s="214"/>
      <c r="U63" s="214"/>
      <c r="V63" s="214"/>
      <c r="W63" s="123">
        <f>+IF(COUNTA(L63:V63)=0,0,Y63/(COUNTA(L63:V63)))</f>
        <v>49</v>
      </c>
      <c r="X63" s="514"/>
      <c r="Y63" s="134">
        <f t="shared" si="2"/>
        <v>392</v>
      </c>
      <c r="Z63" s="137">
        <f>+Y63+AA63</f>
        <v>4114</v>
      </c>
      <c r="AA63" s="137">
        <v>3722</v>
      </c>
      <c r="AB63" s="140">
        <f>+Z62-Z63</f>
        <v>44</v>
      </c>
      <c r="AC63" s="131">
        <f>+IF(((Y64+(Y65/2))*60)=0,"",(I63*Y63)/((Y64+(Y65/2))*60))</f>
        <v>1.5488780487804876</v>
      </c>
      <c r="AD63" s="157"/>
      <c r="AE63" s="167">
        <f t="shared" si="1"/>
        <v>0</v>
      </c>
      <c r="AF63" s="167">
        <f>+Y63*I63</f>
        <v>22861.439999999999</v>
      </c>
      <c r="AG63" s="167"/>
    </row>
    <row r="64" spans="1:34" ht="62.25" customHeight="1" x14ac:dyDescent="0.9">
      <c r="A64" s="124"/>
      <c r="B64" s="125">
        <f>+B63</f>
        <v>12</v>
      </c>
      <c r="C64" s="184"/>
      <c r="D64" s="111">
        <f>+B63</f>
        <v>12</v>
      </c>
      <c r="E64" s="111"/>
      <c r="F64" s="112" t="e">
        <f>+VLOOKUP(F63,'Obj Prix'!$H:$H,2,FALSE)</f>
        <v>#N/A</v>
      </c>
      <c r="G64" s="112"/>
      <c r="H64" s="210"/>
      <c r="I64" s="113">
        <v>2</v>
      </c>
      <c r="J64" s="114" t="s">
        <v>22</v>
      </c>
      <c r="K64" s="102" t="s">
        <v>18</v>
      </c>
      <c r="L64" s="215">
        <v>47</v>
      </c>
      <c r="M64" s="215">
        <v>41</v>
      </c>
      <c r="N64" s="215">
        <v>38</v>
      </c>
      <c r="O64" s="215">
        <v>35</v>
      </c>
      <c r="P64" s="215">
        <v>30</v>
      </c>
      <c r="Q64" s="215">
        <v>25</v>
      </c>
      <c r="R64" s="215">
        <v>15</v>
      </c>
      <c r="S64" s="215">
        <v>10</v>
      </c>
      <c r="T64" s="215"/>
      <c r="U64" s="215"/>
      <c r="V64" s="215"/>
      <c r="W64" s="160">
        <f>+W63-J63</f>
        <v>0</v>
      </c>
      <c r="X64" s="514"/>
      <c r="Y64" s="103">
        <f t="shared" si="2"/>
        <v>241</v>
      </c>
      <c r="Z64" s="138"/>
      <c r="AA64" s="138"/>
      <c r="AB64" s="122"/>
      <c r="AC64" s="116"/>
      <c r="AD64" s="157"/>
      <c r="AE64" s="167">
        <f t="shared" si="1"/>
        <v>0</v>
      </c>
      <c r="AF64" s="167"/>
      <c r="AG64" s="167"/>
    </row>
    <row r="65" spans="1:34" ht="69" customHeight="1" thickBot="1" x14ac:dyDescent="0.95">
      <c r="A65" s="124"/>
      <c r="B65" s="126">
        <f>+B63</f>
        <v>12</v>
      </c>
      <c r="C65" s="174" t="s">
        <v>236</v>
      </c>
      <c r="D65" s="175">
        <f>+D64+100</f>
        <v>112</v>
      </c>
      <c r="E65" s="175"/>
      <c r="F65" s="117" t="s">
        <v>94</v>
      </c>
      <c r="G65" s="117"/>
      <c r="H65" s="146"/>
      <c r="I65" s="165">
        <f>+IF(J65="","",IF(J63=0,"",(J63*I63)/(J65*60)))</f>
        <v>0.8819999999999999</v>
      </c>
      <c r="J65" s="118">
        <v>54</v>
      </c>
      <c r="K65" s="104" t="s">
        <v>19</v>
      </c>
      <c r="L65" s="216">
        <v>2</v>
      </c>
      <c r="M65" s="216">
        <v>2</v>
      </c>
      <c r="N65" s="216">
        <v>2</v>
      </c>
      <c r="O65" s="216">
        <v>2</v>
      </c>
      <c r="P65" s="216">
        <v>2</v>
      </c>
      <c r="Q65" s="216"/>
      <c r="R65" s="216"/>
      <c r="S65" s="216"/>
      <c r="T65" s="216"/>
      <c r="U65" s="216"/>
      <c r="V65" s="216"/>
      <c r="W65" s="173"/>
      <c r="X65" s="169">
        <v>32.21</v>
      </c>
      <c r="Y65" s="105">
        <f t="shared" si="2"/>
        <v>10</v>
      </c>
      <c r="Z65" s="139"/>
      <c r="AA65" s="139"/>
      <c r="AB65" s="119">
        <f>+IFERROR(AB63/(J63*9),"")</f>
        <v>9.9773242630385492E-2</v>
      </c>
      <c r="AC65" s="162"/>
      <c r="AD65" s="161">
        <f>+Y64+Y65/2</f>
        <v>246</v>
      </c>
      <c r="AE65" s="167">
        <f t="shared" si="1"/>
        <v>14760</v>
      </c>
      <c r="AF65" s="167"/>
      <c r="AG65" s="230">
        <f>+IF((Y63-J63*9)&gt;=0,"",Y63-J63*9)</f>
        <v>-49</v>
      </c>
    </row>
    <row r="66" spans="1:34" ht="62.25" customHeight="1" thickTop="1" x14ac:dyDescent="0.9">
      <c r="A66" s="124"/>
      <c r="B66" s="127">
        <f>+B67</f>
        <v>12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3">
        <v>70</v>
      </c>
      <c r="M66" s="213">
        <v>35</v>
      </c>
      <c r="N66" s="213">
        <v>35</v>
      </c>
      <c r="O66" s="213">
        <v>70</v>
      </c>
      <c r="P66" s="213"/>
      <c r="Q66" s="213">
        <v>70</v>
      </c>
      <c r="R66" s="213">
        <v>70</v>
      </c>
      <c r="S66" s="213"/>
      <c r="T66" s="213"/>
      <c r="U66" s="213"/>
      <c r="V66" s="213"/>
      <c r="W66" s="135"/>
      <c r="X66" s="513">
        <f>+W68</f>
        <v>0</v>
      </c>
      <c r="Y66" s="135">
        <f t="shared" si="2"/>
        <v>350</v>
      </c>
      <c r="Z66" s="136">
        <f>+AA66+Y66</f>
        <v>420</v>
      </c>
      <c r="AA66" s="136">
        <v>70</v>
      </c>
      <c r="AB66" s="121"/>
      <c r="AC66" s="110"/>
      <c r="AD66" s="157"/>
      <c r="AE66" s="167">
        <f t="shared" si="1"/>
        <v>0</v>
      </c>
      <c r="AF66" s="167"/>
      <c r="AG66" s="167"/>
    </row>
    <row r="67" spans="1:34" ht="62.25" customHeight="1" x14ac:dyDescent="0.9">
      <c r="A67" s="124"/>
      <c r="B67" s="132">
        <v>12</v>
      </c>
      <c r="C67" s="111" t="s">
        <v>234</v>
      </c>
      <c r="D67" s="111"/>
      <c r="E67" s="111" t="s">
        <v>35</v>
      </c>
      <c r="F67" s="111" t="s">
        <v>235</v>
      </c>
      <c r="G67" s="111">
        <v>12500</v>
      </c>
      <c r="H67" s="111" t="s">
        <v>33</v>
      </c>
      <c r="I67" s="113">
        <v>52.3</v>
      </c>
      <c r="J67" s="130">
        <v>55</v>
      </c>
      <c r="K67" s="101" t="s">
        <v>17</v>
      </c>
      <c r="L67" s="214"/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123">
        <f>+IF(COUNTA(L67:V67)=0,0,Y67/(COUNTA(L67:V67)))</f>
        <v>0</v>
      </c>
      <c r="X67" s="514"/>
      <c r="Y67" s="134">
        <f t="shared" si="2"/>
        <v>0</v>
      </c>
      <c r="Z67" s="137">
        <f>+Y67+AA67</f>
        <v>0</v>
      </c>
      <c r="AA67" s="137">
        <v>0</v>
      </c>
      <c r="AB67" s="140">
        <f>+Z66-Z67</f>
        <v>420</v>
      </c>
      <c r="AC67" s="131">
        <f>+IF(((Y68+(Y69/2))*60)=0,"",(I67*Y67)/((Y68+(Y69/2))*60))</f>
        <v>0</v>
      </c>
      <c r="AD67" s="157"/>
      <c r="AE67" s="167">
        <f t="shared" si="1"/>
        <v>0</v>
      </c>
      <c r="AF67" s="167">
        <f>+Y67*I67</f>
        <v>0</v>
      </c>
      <c r="AG67" s="167"/>
    </row>
    <row r="68" spans="1:34" ht="62.25" customHeight="1" x14ac:dyDescent="0.9">
      <c r="A68" s="124"/>
      <c r="B68" s="125">
        <f>+B67</f>
        <v>12</v>
      </c>
      <c r="C68" s="184"/>
      <c r="D68" s="111">
        <f>+B67</f>
        <v>12</v>
      </c>
      <c r="E68" s="111"/>
      <c r="F68" s="112" t="e">
        <f>+VLOOKUP(F67,'Obj Prix'!$H:$H,2,FALSE)</f>
        <v>#N/A</v>
      </c>
      <c r="G68" s="112"/>
      <c r="H68" s="210"/>
      <c r="I68" s="113"/>
      <c r="J68" s="114" t="s">
        <v>22</v>
      </c>
      <c r="K68" s="102" t="s">
        <v>18</v>
      </c>
      <c r="L68" s="215">
        <f>52-L64</f>
        <v>5</v>
      </c>
      <c r="M68" s="215">
        <f>52-M64</f>
        <v>11</v>
      </c>
      <c r="N68" s="215">
        <v>14</v>
      </c>
      <c r="O68" s="215">
        <v>17</v>
      </c>
      <c r="P68" s="215">
        <v>22</v>
      </c>
      <c r="Q68" s="215">
        <v>27</v>
      </c>
      <c r="R68" s="215">
        <v>37</v>
      </c>
      <c r="S68" s="215">
        <v>42</v>
      </c>
      <c r="T68" s="215"/>
      <c r="U68" s="215"/>
      <c r="V68" s="215"/>
      <c r="W68" s="160"/>
      <c r="X68" s="514"/>
      <c r="Y68" s="103">
        <f t="shared" si="2"/>
        <v>175</v>
      </c>
      <c r="Z68" s="138"/>
      <c r="AA68" s="138"/>
      <c r="AB68" s="122"/>
      <c r="AC68" s="116"/>
      <c r="AD68" s="157"/>
      <c r="AE68" s="167">
        <f t="shared" si="1"/>
        <v>0</v>
      </c>
      <c r="AF68" s="167"/>
      <c r="AG68" s="167"/>
    </row>
    <row r="69" spans="1:34" ht="69" customHeight="1" thickBot="1" x14ac:dyDescent="0.95">
      <c r="A69" s="124"/>
      <c r="B69" s="126">
        <f>+B67</f>
        <v>12</v>
      </c>
      <c r="C69" s="174" t="s">
        <v>236</v>
      </c>
      <c r="D69" s="175">
        <f>+D68+100</f>
        <v>112</v>
      </c>
      <c r="E69" s="175"/>
      <c r="F69" s="117" t="s">
        <v>94</v>
      </c>
      <c r="G69" s="117"/>
      <c r="H69" s="146"/>
      <c r="I69" s="165">
        <f>+IF(J69="","",IF(J67=0,"",(J67*I67)/(J69*60)))</f>
        <v>0.88780864197530862</v>
      </c>
      <c r="J69" s="118">
        <v>54</v>
      </c>
      <c r="K69" s="104" t="s">
        <v>19</v>
      </c>
      <c r="L69" s="216">
        <v>1</v>
      </c>
      <c r="M69" s="216">
        <v>1</v>
      </c>
      <c r="N69" s="216">
        <v>1</v>
      </c>
      <c r="O69" s="216">
        <v>1</v>
      </c>
      <c r="P69" s="216">
        <v>1</v>
      </c>
      <c r="Q69" s="216">
        <v>3</v>
      </c>
      <c r="R69" s="216">
        <v>3</v>
      </c>
      <c r="S69" s="216">
        <v>3</v>
      </c>
      <c r="T69" s="216"/>
      <c r="U69" s="216"/>
      <c r="V69" s="216"/>
      <c r="W69" s="173"/>
      <c r="X69" s="169"/>
      <c r="Y69" s="105">
        <f t="shared" si="2"/>
        <v>14</v>
      </c>
      <c r="Z69" s="139"/>
      <c r="AA69" s="139"/>
      <c r="AB69" s="119">
        <f>+IFERROR(AB67/(J67*9),"")</f>
        <v>0.84848484848484851</v>
      </c>
      <c r="AC69" s="162"/>
      <c r="AD69" s="161">
        <f>+Y68+Y69/2</f>
        <v>182</v>
      </c>
      <c r="AE69" s="167">
        <f t="shared" si="1"/>
        <v>10920</v>
      </c>
      <c r="AF69" s="167"/>
      <c r="AG69" s="230">
        <f>+IF((Y67-J67*9)&gt;=0,"",Y67-J67*9)</f>
        <v>-495</v>
      </c>
    </row>
    <row r="70" spans="1:34" ht="62.25" customHeight="1" thickTop="1" x14ac:dyDescent="0.9">
      <c r="A70" s="124"/>
      <c r="B70" s="127">
        <f>+B71</f>
        <v>13</v>
      </c>
      <c r="C70" s="106"/>
      <c r="D70" s="106"/>
      <c r="E70" s="106"/>
      <c r="F70" s="106"/>
      <c r="G70" s="106"/>
      <c r="H70" s="106"/>
      <c r="I70" s="107" t="s">
        <v>20</v>
      </c>
      <c r="J70" s="108" t="s">
        <v>23</v>
      </c>
      <c r="K70" s="100" t="s">
        <v>21</v>
      </c>
      <c r="L70" s="213">
        <v>150</v>
      </c>
      <c r="M70" s="213">
        <v>75</v>
      </c>
      <c r="N70" s="213">
        <v>75</v>
      </c>
      <c r="O70" s="213"/>
      <c r="P70" s="213">
        <v>75</v>
      </c>
      <c r="Q70" s="213">
        <v>75</v>
      </c>
      <c r="R70" s="213"/>
      <c r="S70" s="213"/>
      <c r="T70" s="213"/>
      <c r="U70" s="213"/>
      <c r="V70" s="213"/>
      <c r="W70" s="135"/>
      <c r="X70" s="513">
        <f>+W72</f>
        <v>0</v>
      </c>
      <c r="Y70" s="135">
        <f t="shared" ref="Y70:Y97" si="3">+SUM(L70:V70)</f>
        <v>450</v>
      </c>
      <c r="Z70" s="136">
        <f>+AA70+Y70</f>
        <v>3801</v>
      </c>
      <c r="AA70" s="136">
        <v>3351</v>
      </c>
      <c r="AB70" s="109"/>
      <c r="AC70" s="110"/>
      <c r="AD70" s="157"/>
      <c r="AE70" s="167">
        <f t="shared" si="1"/>
        <v>0</v>
      </c>
      <c r="AF70" s="167"/>
      <c r="AG70" s="167"/>
    </row>
    <row r="71" spans="1:34" ht="62.25" customHeight="1" x14ac:dyDescent="0.9">
      <c r="A71" s="124"/>
      <c r="B71" s="132">
        <v>13</v>
      </c>
      <c r="C71" s="111" t="s">
        <v>238</v>
      </c>
      <c r="D71" s="111"/>
      <c r="E71" s="111" t="s">
        <v>110</v>
      </c>
      <c r="F71" s="111" t="s">
        <v>239</v>
      </c>
      <c r="G71" s="111">
        <v>16666</v>
      </c>
      <c r="H71" s="111" t="s">
        <v>37</v>
      </c>
      <c r="I71" s="113">
        <v>55.8</v>
      </c>
      <c r="J71" s="130">
        <v>60</v>
      </c>
      <c r="K71" s="101" t="s">
        <v>17</v>
      </c>
      <c r="L71" s="214">
        <v>60</v>
      </c>
      <c r="M71" s="214">
        <v>60</v>
      </c>
      <c r="N71" s="214">
        <v>60</v>
      </c>
      <c r="O71" s="214">
        <v>60</v>
      </c>
      <c r="P71" s="214">
        <v>60</v>
      </c>
      <c r="Q71" s="214">
        <v>60</v>
      </c>
      <c r="R71" s="214">
        <v>53</v>
      </c>
      <c r="S71" s="214">
        <v>67</v>
      </c>
      <c r="T71" s="214"/>
      <c r="U71" s="214"/>
      <c r="V71" s="214"/>
      <c r="W71" s="123">
        <f>+IF(COUNTA(L71:V71)=0,0,Y71/(COUNTA(L71:V71)))</f>
        <v>60</v>
      </c>
      <c r="X71" s="514"/>
      <c r="Y71" s="134">
        <f t="shared" si="3"/>
        <v>480</v>
      </c>
      <c r="Z71" s="137">
        <f>+Y71+AA71</f>
        <v>2552</v>
      </c>
      <c r="AA71" s="137">
        <v>2072</v>
      </c>
      <c r="AB71" s="140">
        <f>+Z70-Z71</f>
        <v>1249</v>
      </c>
      <c r="AC71" s="131">
        <f>+IF(((Y72+(Y73/2))*60)=0,"",(I71*Y71)/((Y72+(Y73/2))*60))</f>
        <v>0.94576271186440675</v>
      </c>
      <c r="AD71" s="157"/>
      <c r="AE71" s="167">
        <f t="shared" si="1"/>
        <v>0</v>
      </c>
      <c r="AF71" s="167">
        <f>+Y71*I71</f>
        <v>26784</v>
      </c>
      <c r="AG71" s="167"/>
    </row>
    <row r="72" spans="1:34" ht="62.25" customHeight="1" x14ac:dyDescent="0.9">
      <c r="A72" s="124"/>
      <c r="B72" s="125">
        <f>+B71</f>
        <v>13</v>
      </c>
      <c r="C72" s="184"/>
      <c r="D72" s="111"/>
      <c r="E72" s="111"/>
      <c r="F72" s="112" t="e">
        <f>+VLOOKUP(F71,'Obj Prix'!$H:$H,2,FALSE)</f>
        <v>#N/A</v>
      </c>
      <c r="G72" s="112"/>
      <c r="H72" s="210"/>
      <c r="I72" s="210">
        <v>2</v>
      </c>
      <c r="J72" s="114" t="s">
        <v>22</v>
      </c>
      <c r="K72" s="102" t="s">
        <v>18</v>
      </c>
      <c r="L72" s="215">
        <v>57</v>
      </c>
      <c r="M72" s="215">
        <v>57</v>
      </c>
      <c r="N72" s="215">
        <v>57</v>
      </c>
      <c r="O72" s="215">
        <v>57</v>
      </c>
      <c r="P72" s="215">
        <v>57</v>
      </c>
      <c r="Q72" s="215">
        <v>57</v>
      </c>
      <c r="R72" s="215">
        <v>57</v>
      </c>
      <c r="S72" s="215">
        <v>57</v>
      </c>
      <c r="T72" s="215"/>
      <c r="U72" s="215"/>
      <c r="V72" s="215"/>
      <c r="W72" s="160">
        <f>+W71-J71</f>
        <v>0</v>
      </c>
      <c r="X72" s="514"/>
      <c r="Y72" s="103">
        <f t="shared" si="3"/>
        <v>456</v>
      </c>
      <c r="Z72" s="138"/>
      <c r="AA72" s="138"/>
      <c r="AB72" s="115"/>
      <c r="AC72" s="116"/>
      <c r="AD72" s="157"/>
      <c r="AE72" s="167">
        <f t="shared" si="1"/>
        <v>0</v>
      </c>
      <c r="AF72" s="167"/>
      <c r="AG72" s="167"/>
    </row>
    <row r="73" spans="1:34" ht="62.25" customHeight="1" thickBot="1" x14ac:dyDescent="0.95">
      <c r="A73" s="124"/>
      <c r="B73" s="126">
        <f>+B71</f>
        <v>13</v>
      </c>
      <c r="C73" s="174" t="s">
        <v>76</v>
      </c>
      <c r="D73" s="175">
        <f>+D72+100</f>
        <v>100</v>
      </c>
      <c r="E73" s="175"/>
      <c r="F73" s="117" t="s">
        <v>94</v>
      </c>
      <c r="G73" s="218"/>
      <c r="H73" s="159" t="s">
        <v>245</v>
      </c>
      <c r="I73" s="165">
        <f>+IF(J73="","",IF(J71=0,"",(J71*I71)/(J73*60)))</f>
        <v>0.88571428571428568</v>
      </c>
      <c r="J73" s="118">
        <v>63</v>
      </c>
      <c r="K73" s="104" t="s">
        <v>19</v>
      </c>
      <c r="L73" s="216">
        <v>4</v>
      </c>
      <c r="M73" s="216">
        <v>4</v>
      </c>
      <c r="N73" s="216">
        <v>4</v>
      </c>
      <c r="O73" s="216">
        <v>4</v>
      </c>
      <c r="P73" s="216">
        <v>4</v>
      </c>
      <c r="Q73" s="216">
        <v>4</v>
      </c>
      <c r="R73" s="216">
        <v>4</v>
      </c>
      <c r="S73" s="216">
        <v>4</v>
      </c>
      <c r="T73" s="216"/>
      <c r="U73" s="216"/>
      <c r="V73" s="216"/>
      <c r="W73" s="173"/>
      <c r="X73" s="169">
        <v>39</v>
      </c>
      <c r="Y73" s="105">
        <f t="shared" si="3"/>
        <v>32</v>
      </c>
      <c r="Z73" s="139"/>
      <c r="AA73" s="139"/>
      <c r="AB73" s="119">
        <f>+IFERROR(AB71/(J71*9),"")</f>
        <v>2.3129629629629629</v>
      </c>
      <c r="AC73" s="120"/>
      <c r="AD73" s="161">
        <f>+Y72+Y73/2</f>
        <v>472</v>
      </c>
      <c r="AE73" s="167">
        <f t="shared" si="1"/>
        <v>28320</v>
      </c>
      <c r="AF73" s="167"/>
      <c r="AG73" s="230">
        <f>+IF((Y71-J71*9)&gt;=0,"",Y71-J71*9)</f>
        <v>-60</v>
      </c>
    </row>
    <row r="74" spans="1:34" s="98" customFormat="1" ht="62.25" customHeight="1" thickTop="1" x14ac:dyDescent="0.9">
      <c r="A74" s="124"/>
      <c r="B74" s="127">
        <f>+B75</f>
        <v>14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3">
        <v>150</v>
      </c>
      <c r="M74" s="213">
        <v>75</v>
      </c>
      <c r="N74" s="213">
        <v>75</v>
      </c>
      <c r="O74" s="213"/>
      <c r="P74" s="213">
        <v>75</v>
      </c>
      <c r="Q74" s="213">
        <v>75</v>
      </c>
      <c r="R74" s="213"/>
      <c r="S74" s="213"/>
      <c r="T74" s="213"/>
      <c r="U74" s="213"/>
      <c r="V74" s="213"/>
      <c r="W74" s="135"/>
      <c r="X74" s="513">
        <f>+W76</f>
        <v>0</v>
      </c>
      <c r="Y74" s="135">
        <f t="shared" si="3"/>
        <v>450</v>
      </c>
      <c r="Z74" s="136">
        <f>+AA74+Y74</f>
        <v>3953</v>
      </c>
      <c r="AA74" s="136">
        <v>3503</v>
      </c>
      <c r="AB74" s="109"/>
      <c r="AC74" s="110"/>
      <c r="AD74" s="157"/>
      <c r="AE74" s="167">
        <f t="shared" si="1"/>
        <v>0</v>
      </c>
      <c r="AF74" s="167"/>
      <c r="AG74" s="167"/>
      <c r="AH74" s="91"/>
    </row>
    <row r="75" spans="1:34" s="98" customFormat="1" ht="62.25" customHeight="1" x14ac:dyDescent="0.9">
      <c r="A75" s="124"/>
      <c r="B75" s="133">
        <v>14</v>
      </c>
      <c r="C75" s="111" t="s">
        <v>238</v>
      </c>
      <c r="D75" s="111"/>
      <c r="E75" s="111" t="s">
        <v>110</v>
      </c>
      <c r="F75" s="111" t="s">
        <v>239</v>
      </c>
      <c r="G75" s="111">
        <v>16666</v>
      </c>
      <c r="H75" s="111" t="s">
        <v>37</v>
      </c>
      <c r="I75" s="113">
        <v>55.8</v>
      </c>
      <c r="J75" s="130">
        <v>60</v>
      </c>
      <c r="K75" s="101" t="s">
        <v>17</v>
      </c>
      <c r="L75" s="214">
        <v>45</v>
      </c>
      <c r="M75" s="214">
        <v>60</v>
      </c>
      <c r="N75" s="214">
        <v>60</v>
      </c>
      <c r="O75" s="214">
        <v>60</v>
      </c>
      <c r="P75" s="214">
        <v>60</v>
      </c>
      <c r="Q75" s="214">
        <v>60</v>
      </c>
      <c r="R75" s="214">
        <v>60</v>
      </c>
      <c r="S75" s="214">
        <v>75</v>
      </c>
      <c r="T75" s="214"/>
      <c r="U75" s="214"/>
      <c r="V75" s="214"/>
      <c r="W75" s="123">
        <f>+IF(COUNTA(L75:V75)=0,0,Y75/(COUNTA(L75:V75)))</f>
        <v>60</v>
      </c>
      <c r="X75" s="514"/>
      <c r="Y75" s="134">
        <f t="shared" si="3"/>
        <v>480</v>
      </c>
      <c r="Z75" s="137">
        <f>+Y75+AA75</f>
        <v>3057</v>
      </c>
      <c r="AA75" s="137">
        <v>2577</v>
      </c>
      <c r="AB75" s="140">
        <f>+Z74-Z75</f>
        <v>896</v>
      </c>
      <c r="AC75" s="131">
        <f>+IF(((Y76+(Y77/2))*60)=0,"",(I75*Y75)/((Y76+(Y77/2))*60))</f>
        <v>0.94978723404255316</v>
      </c>
      <c r="AD75" s="157"/>
      <c r="AE75" s="167">
        <f t="shared" si="1"/>
        <v>0</v>
      </c>
      <c r="AF75" s="167">
        <f>+Y75*I75</f>
        <v>26784</v>
      </c>
      <c r="AG75" s="167"/>
      <c r="AH75" s="91"/>
    </row>
    <row r="76" spans="1:34" s="98" customFormat="1" ht="62.25" customHeight="1" x14ac:dyDescent="0.9">
      <c r="A76" s="124"/>
      <c r="B76" s="125">
        <f>+B75</f>
        <v>14</v>
      </c>
      <c r="C76" s="184"/>
      <c r="D76" s="111">
        <f>+B75</f>
        <v>14</v>
      </c>
      <c r="E76" s="111"/>
      <c r="F76" s="112" t="e">
        <f>+VLOOKUP(F75,'Obj Prix'!$H:$H,2,FALSE)</f>
        <v>#N/A</v>
      </c>
      <c r="G76" s="112"/>
      <c r="H76" s="210"/>
      <c r="I76" s="210">
        <v>1</v>
      </c>
      <c r="J76" s="114" t="s">
        <v>22</v>
      </c>
      <c r="K76" s="102" t="s">
        <v>18</v>
      </c>
      <c r="L76" s="215">
        <v>55</v>
      </c>
      <c r="M76" s="215">
        <v>57</v>
      </c>
      <c r="N76" s="215">
        <v>57</v>
      </c>
      <c r="O76" s="215">
        <v>57</v>
      </c>
      <c r="P76" s="215">
        <v>57</v>
      </c>
      <c r="Q76" s="215">
        <v>57</v>
      </c>
      <c r="R76" s="215">
        <v>57</v>
      </c>
      <c r="S76" s="215">
        <v>57</v>
      </c>
      <c r="T76" s="215"/>
      <c r="U76" s="215"/>
      <c r="V76" s="215"/>
      <c r="W76" s="160">
        <f>+W75-J75</f>
        <v>0</v>
      </c>
      <c r="X76" s="514"/>
      <c r="Y76" s="103">
        <f t="shared" si="3"/>
        <v>454</v>
      </c>
      <c r="Z76" s="138"/>
      <c r="AA76" s="138"/>
      <c r="AB76" s="115"/>
      <c r="AC76" s="116"/>
      <c r="AD76" s="157"/>
      <c r="AE76" s="167">
        <f t="shared" si="1"/>
        <v>0</v>
      </c>
      <c r="AF76" s="167"/>
      <c r="AG76" s="167"/>
      <c r="AH76" s="91"/>
    </row>
    <row r="77" spans="1:34" s="98" customFormat="1" ht="62.25" customHeight="1" thickBot="1" x14ac:dyDescent="0.95">
      <c r="A77" s="124"/>
      <c r="B77" s="126">
        <f>+B75</f>
        <v>14</v>
      </c>
      <c r="C77" s="174" t="s">
        <v>112</v>
      </c>
      <c r="D77" s="175">
        <f>+D76+100</f>
        <v>114</v>
      </c>
      <c r="E77" s="175"/>
      <c r="F77" s="117" t="s">
        <v>94</v>
      </c>
      <c r="G77" s="117"/>
      <c r="H77" s="159" t="s">
        <v>245</v>
      </c>
      <c r="I77" s="165">
        <f>+IF(J77="","",IF(J75=0,"",(J75*I75)/(J77*60)))</f>
        <v>0.88571428571428568</v>
      </c>
      <c r="J77" s="118">
        <v>63</v>
      </c>
      <c r="K77" s="104" t="s">
        <v>19</v>
      </c>
      <c r="L77" s="216">
        <v>4</v>
      </c>
      <c r="M77" s="216">
        <v>4</v>
      </c>
      <c r="N77" s="216">
        <v>4</v>
      </c>
      <c r="O77" s="216">
        <v>4</v>
      </c>
      <c r="P77" s="216">
        <v>4</v>
      </c>
      <c r="Q77" s="216">
        <v>4</v>
      </c>
      <c r="R77" s="216">
        <v>4</v>
      </c>
      <c r="S77" s="216">
        <v>4</v>
      </c>
      <c r="T77" s="216"/>
      <c r="U77" s="216"/>
      <c r="V77" s="216"/>
      <c r="W77" s="173"/>
      <c r="X77" s="169">
        <v>42.54</v>
      </c>
      <c r="Y77" s="105">
        <f t="shared" si="3"/>
        <v>32</v>
      </c>
      <c r="Z77" s="139"/>
      <c r="AA77" s="139"/>
      <c r="AB77" s="119">
        <f>+IFERROR(AB75/(J75*9),"")</f>
        <v>1.6592592592592592</v>
      </c>
      <c r="AC77" s="120"/>
      <c r="AD77" s="161">
        <f>+Y76+Y77/2</f>
        <v>470</v>
      </c>
      <c r="AE77" s="167">
        <f t="shared" si="1"/>
        <v>28200</v>
      </c>
      <c r="AF77" s="167"/>
      <c r="AG77" s="230">
        <f>+IF((Y75-J75*9)&gt;=0,"",Y75-J75*9)</f>
        <v>-60</v>
      </c>
      <c r="AH77" s="91"/>
    </row>
    <row r="78" spans="1:34" ht="62.25" customHeight="1" thickTop="1" x14ac:dyDescent="0.9">
      <c r="A78" s="124"/>
      <c r="B78" s="127">
        <f>+B79</f>
        <v>15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>
        <v>50</v>
      </c>
      <c r="M78" s="213">
        <v>50</v>
      </c>
      <c r="N78" s="213">
        <v>50</v>
      </c>
      <c r="O78" s="213">
        <v>100</v>
      </c>
      <c r="P78" s="213">
        <v>50</v>
      </c>
      <c r="Q78" s="213">
        <v>100</v>
      </c>
      <c r="R78" s="213">
        <v>100</v>
      </c>
      <c r="S78" s="213"/>
      <c r="T78" s="213"/>
      <c r="U78" s="213"/>
      <c r="V78" s="213"/>
      <c r="W78" s="135"/>
      <c r="X78" s="513">
        <f>+W80</f>
        <v>0</v>
      </c>
      <c r="Y78" s="135">
        <f t="shared" si="3"/>
        <v>500</v>
      </c>
      <c r="Z78" s="136">
        <f>+AA78+Y78</f>
        <v>2201</v>
      </c>
      <c r="AA78" s="136">
        <v>1701</v>
      </c>
      <c r="AB78" s="121"/>
      <c r="AC78" s="110"/>
      <c r="AD78" s="157"/>
      <c r="AE78" s="167">
        <f t="shared" si="1"/>
        <v>0</v>
      </c>
      <c r="AF78" s="167"/>
      <c r="AG78" s="167"/>
    </row>
    <row r="79" spans="1:34" ht="62.25" customHeight="1" x14ac:dyDescent="0.9">
      <c r="A79" s="124"/>
      <c r="B79" s="133">
        <v>15</v>
      </c>
      <c r="C79" s="111" t="s">
        <v>240</v>
      </c>
      <c r="D79" s="111"/>
      <c r="E79" s="111" t="s">
        <v>35</v>
      </c>
      <c r="F79" s="111" t="s">
        <v>241</v>
      </c>
      <c r="G79" s="111">
        <v>6600</v>
      </c>
      <c r="H79" s="111" t="s">
        <v>33</v>
      </c>
      <c r="I79" s="113">
        <v>51.08</v>
      </c>
      <c r="J79" s="130">
        <v>55</v>
      </c>
      <c r="K79" s="101" t="s">
        <v>17</v>
      </c>
      <c r="L79" s="214">
        <v>55</v>
      </c>
      <c r="M79" s="214">
        <v>55</v>
      </c>
      <c r="N79" s="214">
        <v>55</v>
      </c>
      <c r="O79" s="214">
        <v>55</v>
      </c>
      <c r="P79" s="214">
        <v>55</v>
      </c>
      <c r="Q79" s="214">
        <v>55</v>
      </c>
      <c r="R79" s="214">
        <v>55</v>
      </c>
      <c r="S79" s="214">
        <v>55</v>
      </c>
      <c r="T79" s="214"/>
      <c r="U79" s="214"/>
      <c r="V79" s="214"/>
      <c r="W79" s="123">
        <f>+IF(COUNTA(L79:V79)=0,0,Y79/(COUNTA(L79:V79)))</f>
        <v>55</v>
      </c>
      <c r="X79" s="514"/>
      <c r="Y79" s="134">
        <f t="shared" si="3"/>
        <v>440</v>
      </c>
      <c r="Z79" s="137">
        <f>+Y79+AA79</f>
        <v>1311</v>
      </c>
      <c r="AA79" s="137">
        <v>871</v>
      </c>
      <c r="AB79" s="140">
        <f>+Z78-Z79</f>
        <v>890</v>
      </c>
      <c r="AC79" s="131">
        <f>+IF(((Y80+(Y81/2))*60)=0,"",(I79*Y79)/((Y80+(Y81/2))*60))</f>
        <v>0.96542955326460489</v>
      </c>
      <c r="AD79" s="157"/>
      <c r="AE79" s="167">
        <f t="shared" si="1"/>
        <v>0</v>
      </c>
      <c r="AF79" s="167">
        <f>+Y79*I79</f>
        <v>22475.200000000001</v>
      </c>
      <c r="AG79" s="167"/>
    </row>
    <row r="80" spans="1:34" ht="62.25" customHeight="1" x14ac:dyDescent="0.9">
      <c r="A80" s="124"/>
      <c r="B80" s="125">
        <f>+B79</f>
        <v>15</v>
      </c>
      <c r="C80" s="184"/>
      <c r="D80" s="111">
        <f>+B79</f>
        <v>15</v>
      </c>
      <c r="E80" s="111"/>
      <c r="F80" s="112" t="e">
        <f>+VLOOKUP(F79,'Obj Prix'!$H:$H,2,FALSE)</f>
        <v>#N/A</v>
      </c>
      <c r="G80" s="112"/>
      <c r="H80" s="210"/>
      <c r="I80" s="210">
        <v>1</v>
      </c>
      <c r="J80" s="114" t="s">
        <v>22</v>
      </c>
      <c r="K80" s="102" t="s">
        <v>18</v>
      </c>
      <c r="L80" s="215">
        <v>48</v>
      </c>
      <c r="M80" s="215">
        <v>48</v>
      </c>
      <c r="N80" s="215">
        <v>48</v>
      </c>
      <c r="O80" s="215">
        <v>48</v>
      </c>
      <c r="P80" s="215">
        <v>48</v>
      </c>
      <c r="Q80" s="215">
        <v>48</v>
      </c>
      <c r="R80" s="215">
        <v>48</v>
      </c>
      <c r="S80" s="215">
        <v>48</v>
      </c>
      <c r="T80" s="215"/>
      <c r="U80" s="215"/>
      <c r="V80" s="215"/>
      <c r="W80" s="160">
        <f>+W79-J79</f>
        <v>0</v>
      </c>
      <c r="X80" s="514"/>
      <c r="Y80" s="103">
        <f t="shared" si="3"/>
        <v>384</v>
      </c>
      <c r="Z80" s="138"/>
      <c r="AA80" s="138"/>
      <c r="AB80" s="122"/>
      <c r="AC80" s="116"/>
      <c r="AD80" s="157"/>
      <c r="AE80" s="167">
        <f t="shared" si="1"/>
        <v>0</v>
      </c>
      <c r="AF80" s="167"/>
      <c r="AG80" s="167"/>
    </row>
    <row r="81" spans="1:55" ht="59.25" customHeight="1" thickBot="1" x14ac:dyDescent="0.95">
      <c r="A81" s="124"/>
      <c r="B81" s="126">
        <f>+B79</f>
        <v>15</v>
      </c>
      <c r="C81" s="174" t="s">
        <v>80</v>
      </c>
      <c r="D81" s="175">
        <f>+D80+100</f>
        <v>115</v>
      </c>
      <c r="E81" s="175"/>
      <c r="F81" s="117" t="s">
        <v>203</v>
      </c>
      <c r="G81" s="117"/>
      <c r="H81" s="146"/>
      <c r="I81" s="165">
        <f>+IF(J81="","",IF(J79=0,"",(J79*I79)/(J81*60)))</f>
        <v>0.90044871794871795</v>
      </c>
      <c r="J81" s="118">
        <v>52</v>
      </c>
      <c r="K81" s="104" t="s">
        <v>19</v>
      </c>
      <c r="L81" s="216">
        <v>1</v>
      </c>
      <c r="M81" s="216">
        <v>1</v>
      </c>
      <c r="N81" s="216">
        <v>1</v>
      </c>
      <c r="O81" s="216">
        <v>1</v>
      </c>
      <c r="P81" s="216">
        <v>1</v>
      </c>
      <c r="Q81" s="216">
        <v>1</v>
      </c>
      <c r="R81" s="216">
        <v>1</v>
      </c>
      <c r="S81" s="216">
        <v>1</v>
      </c>
      <c r="T81" s="216"/>
      <c r="U81" s="216"/>
      <c r="V81" s="216"/>
      <c r="W81" s="173"/>
      <c r="X81" s="169">
        <v>11.95</v>
      </c>
      <c r="Y81" s="105">
        <f t="shared" si="3"/>
        <v>8</v>
      </c>
      <c r="Z81" s="139"/>
      <c r="AA81" s="139"/>
      <c r="AB81" s="119">
        <f>+IFERROR(AB79/(J79*9),"")</f>
        <v>1.797979797979798</v>
      </c>
      <c r="AC81" s="120"/>
      <c r="AD81" s="161">
        <f>+Y80+Y81/2</f>
        <v>388</v>
      </c>
      <c r="AE81" s="167">
        <f t="shared" si="1"/>
        <v>23280</v>
      </c>
      <c r="AF81" s="167"/>
      <c r="AG81" s="230">
        <f>+IF((Y79-J79*9)&gt;=0,"",Y79-J79*9)</f>
        <v>-55</v>
      </c>
    </row>
    <row r="82" spans="1:55" s="98" customFormat="1" ht="62.25" customHeight="1" thickTop="1" x14ac:dyDescent="0.9">
      <c r="A82" s="124"/>
      <c r="B82" s="127">
        <f>+B83</f>
        <v>17</v>
      </c>
      <c r="C82" s="106"/>
      <c r="D82" s="106"/>
      <c r="E82" s="106"/>
      <c r="F82" s="111"/>
      <c r="G82" s="106"/>
      <c r="H82" s="106"/>
      <c r="I82" s="107" t="s">
        <v>20</v>
      </c>
      <c r="J82" s="108" t="s">
        <v>23</v>
      </c>
      <c r="K82" s="100" t="s">
        <v>21</v>
      </c>
      <c r="L82" s="213">
        <v>140</v>
      </c>
      <c r="M82" s="213">
        <v>140</v>
      </c>
      <c r="N82" s="213">
        <v>140</v>
      </c>
      <c r="O82" s="213"/>
      <c r="P82" s="213"/>
      <c r="Q82" s="213"/>
      <c r="R82" s="213"/>
      <c r="S82" s="213"/>
      <c r="T82" s="213"/>
      <c r="U82" s="213"/>
      <c r="V82" s="213"/>
      <c r="W82" s="135"/>
      <c r="X82" s="513">
        <f>+W84</f>
        <v>-13.75</v>
      </c>
      <c r="Y82" s="135">
        <f t="shared" si="3"/>
        <v>420</v>
      </c>
      <c r="Z82" s="136">
        <f>+AA82+Y82</f>
        <v>3089</v>
      </c>
      <c r="AA82" s="136">
        <v>2669</v>
      </c>
      <c r="AB82" s="121"/>
      <c r="AC82" s="110"/>
      <c r="AD82" s="157"/>
      <c r="AE82" s="167">
        <f t="shared" ref="AE82:AE97" si="4">+AD82*60</f>
        <v>0</v>
      </c>
      <c r="AF82" s="167"/>
      <c r="AG82" s="167"/>
      <c r="AH82" s="91"/>
    </row>
    <row r="83" spans="1:55" s="98" customFormat="1" ht="62.25" customHeight="1" x14ac:dyDescent="0.9">
      <c r="A83" s="124"/>
      <c r="B83" s="132">
        <v>17</v>
      </c>
      <c r="C83" s="111" t="s">
        <v>244</v>
      </c>
      <c r="D83" s="111"/>
      <c r="E83" s="111" t="s">
        <v>219</v>
      </c>
      <c r="F83" s="111" t="s">
        <v>243</v>
      </c>
      <c r="G83" s="111">
        <v>10000</v>
      </c>
      <c r="H83" s="111" t="s">
        <v>37</v>
      </c>
      <c r="I83" s="113">
        <v>39.5</v>
      </c>
      <c r="J83" s="130">
        <v>80</v>
      </c>
      <c r="K83" s="101" t="s">
        <v>17</v>
      </c>
      <c r="L83" s="214">
        <v>60</v>
      </c>
      <c r="M83" s="214">
        <v>60</v>
      </c>
      <c r="N83" s="214">
        <v>60</v>
      </c>
      <c r="O83" s="214">
        <v>70</v>
      </c>
      <c r="P83" s="214">
        <v>70</v>
      </c>
      <c r="Q83" s="214">
        <v>70</v>
      </c>
      <c r="R83" s="214">
        <v>70</v>
      </c>
      <c r="S83" s="214">
        <v>70</v>
      </c>
      <c r="T83" s="214"/>
      <c r="U83" s="214"/>
      <c r="V83" s="214"/>
      <c r="W83" s="123">
        <f>+IF(COUNTA(L83:V83)=0,0,Y83/(COUNTA(L83:V83)))</f>
        <v>66.25</v>
      </c>
      <c r="X83" s="514"/>
      <c r="Y83" s="134">
        <f t="shared" si="3"/>
        <v>530</v>
      </c>
      <c r="Z83" s="137">
        <f>+Y83+AA83</f>
        <v>1048</v>
      </c>
      <c r="AA83" s="137">
        <v>518</v>
      </c>
      <c r="AB83" s="140">
        <f>+Z82-Z83</f>
        <v>2041</v>
      </c>
      <c r="AC83" s="131">
        <f>+IF(((Y84+(Y85/2))*60)=0,"",(I83*Y83)/((Y84+(Y85/2))*60))</f>
        <v>0.71793552812071326</v>
      </c>
      <c r="AD83" s="157"/>
      <c r="AE83" s="167">
        <f t="shared" si="4"/>
        <v>0</v>
      </c>
      <c r="AF83" s="167">
        <f>+Y83*I83</f>
        <v>20935</v>
      </c>
      <c r="AG83" s="167"/>
      <c r="AH83" s="91"/>
    </row>
    <row r="84" spans="1:55" s="98" customFormat="1" ht="62.25" customHeight="1" x14ac:dyDescent="0.9">
      <c r="A84" s="124"/>
      <c r="B84" s="125">
        <f>+B83</f>
        <v>17</v>
      </c>
      <c r="C84" s="184"/>
      <c r="D84" s="111"/>
      <c r="E84" s="111"/>
      <c r="F84" s="112" t="e">
        <f>+VLOOKUP(F83,'Obj Prix'!$H:$H,2,FALSE)</f>
        <v>#N/A</v>
      </c>
      <c r="G84" s="219"/>
      <c r="H84" s="210"/>
      <c r="I84" s="210"/>
      <c r="J84" s="114" t="s">
        <v>22</v>
      </c>
      <c r="K84" s="102" t="s">
        <v>18</v>
      </c>
      <c r="L84" s="215">
        <v>58</v>
      </c>
      <c r="M84" s="215">
        <v>60</v>
      </c>
      <c r="N84" s="215">
        <v>60</v>
      </c>
      <c r="O84" s="215">
        <v>60</v>
      </c>
      <c r="P84" s="215">
        <v>60</v>
      </c>
      <c r="Q84" s="215">
        <v>60</v>
      </c>
      <c r="R84" s="215">
        <v>60</v>
      </c>
      <c r="S84" s="215">
        <v>60</v>
      </c>
      <c r="T84" s="215"/>
      <c r="U84" s="215"/>
      <c r="V84" s="215"/>
      <c r="W84" s="160">
        <f>+W83-J83</f>
        <v>-13.75</v>
      </c>
      <c r="X84" s="514"/>
      <c r="Y84" s="103">
        <f t="shared" si="3"/>
        <v>478</v>
      </c>
      <c r="Z84" s="138"/>
      <c r="AA84" s="138"/>
      <c r="AB84" s="122"/>
      <c r="AC84" s="116"/>
      <c r="AD84" s="157"/>
      <c r="AE84" s="167">
        <f t="shared" si="4"/>
        <v>0</v>
      </c>
      <c r="AF84" s="167"/>
      <c r="AG84" s="167"/>
      <c r="AH84" s="91"/>
    </row>
    <row r="85" spans="1:55" s="98" customFormat="1" ht="62.25" customHeight="1" thickBot="1" x14ac:dyDescent="0.95">
      <c r="A85" s="124"/>
      <c r="B85" s="126">
        <f>+B83</f>
        <v>17</v>
      </c>
      <c r="C85" s="174" t="s">
        <v>151</v>
      </c>
      <c r="D85" s="175">
        <f>+D84+100</f>
        <v>100</v>
      </c>
      <c r="E85" s="175"/>
      <c r="F85" s="117" t="s">
        <v>203</v>
      </c>
      <c r="G85" s="218"/>
      <c r="H85" s="159" t="s">
        <v>237</v>
      </c>
      <c r="I85" s="165">
        <f>+IF(J85="","",IF(J83=0,"",(J83*I83)/(J85*60)))</f>
        <v>0.87777777777777777</v>
      </c>
      <c r="J85" s="118">
        <v>60</v>
      </c>
      <c r="K85" s="104" t="s">
        <v>19</v>
      </c>
      <c r="L85" s="216">
        <v>2</v>
      </c>
      <c r="M85" s="216">
        <v>2</v>
      </c>
      <c r="N85" s="216">
        <v>2</v>
      </c>
      <c r="O85" s="216">
        <v>2</v>
      </c>
      <c r="P85" s="216">
        <v>2</v>
      </c>
      <c r="Q85" s="216">
        <v>2</v>
      </c>
      <c r="R85" s="216">
        <v>2</v>
      </c>
      <c r="S85" s="216">
        <v>2</v>
      </c>
      <c r="T85" s="216"/>
      <c r="U85" s="216"/>
      <c r="V85" s="216"/>
      <c r="W85" s="173"/>
      <c r="X85" s="168">
        <f>31.53+(COUNTA(L83:V83)-(Y83/J83))</f>
        <v>32.905000000000001</v>
      </c>
      <c r="Y85" s="105">
        <f t="shared" si="3"/>
        <v>16</v>
      </c>
      <c r="Z85" s="139"/>
      <c r="AA85" s="139"/>
      <c r="AB85" s="119">
        <f>+IFERROR(AB83/(J83*9),"")</f>
        <v>2.8347222222222221</v>
      </c>
      <c r="AC85" s="120"/>
      <c r="AD85" s="161">
        <f>+Y84+Y85/2</f>
        <v>486</v>
      </c>
      <c r="AE85" s="167">
        <f t="shared" si="4"/>
        <v>29160</v>
      </c>
      <c r="AF85" s="167"/>
      <c r="AG85" s="230">
        <f>+IF((Y83-J83*9)&gt;=0,"",Y83-J83*9)</f>
        <v>-190</v>
      </c>
      <c r="AH85" s="91"/>
    </row>
    <row r="86" spans="1:55" s="98" customFormat="1" ht="62.25" customHeight="1" thickTop="1" x14ac:dyDescent="0.9">
      <c r="A86" s="124"/>
      <c r="B86" s="127">
        <f>+B87</f>
        <v>18</v>
      </c>
      <c r="C86" s="106"/>
      <c r="D86" s="106"/>
      <c r="E86" s="106"/>
      <c r="F86" s="106"/>
      <c r="G86" s="106"/>
      <c r="H86" s="106"/>
      <c r="I86" s="107" t="s">
        <v>20</v>
      </c>
      <c r="J86" s="108" t="s">
        <v>23</v>
      </c>
      <c r="K86" s="100" t="s">
        <v>21</v>
      </c>
      <c r="L86" s="213">
        <v>75</v>
      </c>
      <c r="M86" s="213">
        <v>75</v>
      </c>
      <c r="N86" s="213">
        <v>75</v>
      </c>
      <c r="O86" s="213"/>
      <c r="P86" s="213">
        <v>75</v>
      </c>
      <c r="Q86" s="213">
        <v>75</v>
      </c>
      <c r="R86" s="213">
        <v>75</v>
      </c>
      <c r="S86" s="213"/>
      <c r="T86" s="213"/>
      <c r="U86" s="213"/>
      <c r="V86" s="213"/>
      <c r="W86" s="135"/>
      <c r="X86" s="513">
        <f>+W88</f>
        <v>-1.875</v>
      </c>
      <c r="Y86" s="135">
        <f t="shared" si="3"/>
        <v>450</v>
      </c>
      <c r="Z86" s="136">
        <f>+AA86+Y86</f>
        <v>3670</v>
      </c>
      <c r="AA86" s="136">
        <v>3220</v>
      </c>
      <c r="AB86" s="121"/>
      <c r="AC86" s="110"/>
      <c r="AD86" s="157"/>
      <c r="AE86" s="167">
        <f t="shared" si="4"/>
        <v>0</v>
      </c>
      <c r="AF86" s="167"/>
      <c r="AG86" s="167"/>
      <c r="AH86" s="91"/>
    </row>
    <row r="87" spans="1:55" s="98" customFormat="1" ht="62.25" customHeight="1" x14ac:dyDescent="0.9">
      <c r="A87" s="124"/>
      <c r="B87" s="132">
        <v>18</v>
      </c>
      <c r="C87" s="111" t="s">
        <v>238</v>
      </c>
      <c r="D87" s="111"/>
      <c r="E87" s="111" t="s">
        <v>110</v>
      </c>
      <c r="F87" s="111" t="s">
        <v>239</v>
      </c>
      <c r="G87" s="111">
        <v>16666</v>
      </c>
      <c r="H87" s="111" t="s">
        <v>37</v>
      </c>
      <c r="I87" s="113">
        <v>55.8</v>
      </c>
      <c r="J87" s="130">
        <v>60</v>
      </c>
      <c r="K87" s="101" t="s">
        <v>17</v>
      </c>
      <c r="L87" s="214">
        <v>55</v>
      </c>
      <c r="M87" s="214">
        <v>60</v>
      </c>
      <c r="N87" s="214">
        <v>60</v>
      </c>
      <c r="O87" s="214">
        <v>60</v>
      </c>
      <c r="P87" s="214">
        <v>60</v>
      </c>
      <c r="Q87" s="214">
        <v>60</v>
      </c>
      <c r="R87" s="214">
        <v>60</v>
      </c>
      <c r="S87" s="214">
        <v>50</v>
      </c>
      <c r="T87" s="214"/>
      <c r="U87" s="214"/>
      <c r="V87" s="214"/>
      <c r="W87" s="123">
        <f>+IF(COUNTA(L87:V87)=0,0,Y87/(COUNTA(L87:V87)))</f>
        <v>58.125</v>
      </c>
      <c r="X87" s="514"/>
      <c r="Y87" s="134">
        <f t="shared" si="3"/>
        <v>465</v>
      </c>
      <c r="Z87" s="137">
        <f>+Y87+AA87</f>
        <v>2474</v>
      </c>
      <c r="AA87" s="137">
        <v>2009</v>
      </c>
      <c r="AB87" s="140">
        <f>+Z86-Z87</f>
        <v>1196</v>
      </c>
      <c r="AC87" s="131">
        <f>+IF(((Y88+(Y89/2))*60)=0,"",(I87*Y87)/((Y88+(Y89/2))*60))</f>
        <v>0.87896341463414629</v>
      </c>
      <c r="AD87" s="157"/>
      <c r="AE87" s="167">
        <f t="shared" si="4"/>
        <v>0</v>
      </c>
      <c r="AF87" s="167">
        <f>+Y87*I87</f>
        <v>25947</v>
      </c>
      <c r="AG87" s="167"/>
      <c r="AH87" s="91"/>
    </row>
    <row r="88" spans="1:55" s="98" customFormat="1" ht="62.25" customHeight="1" x14ac:dyDescent="0.9">
      <c r="A88" s="124"/>
      <c r="B88" s="125">
        <f>+B87</f>
        <v>18</v>
      </c>
      <c r="C88" s="184"/>
      <c r="D88" s="111">
        <f>+B87</f>
        <v>18</v>
      </c>
      <c r="E88" s="111"/>
      <c r="F88" s="112" t="e">
        <f>+VLOOKUP(F87,'Obj Prix'!$H:$H,2,FALSE)</f>
        <v>#N/A</v>
      </c>
      <c r="G88" s="219"/>
      <c r="H88" s="210">
        <v>1</v>
      </c>
      <c r="I88" s="210"/>
      <c r="J88" s="114" t="s">
        <v>22</v>
      </c>
      <c r="K88" s="102" t="s">
        <v>18</v>
      </c>
      <c r="L88" s="215">
        <v>61</v>
      </c>
      <c r="M88" s="215">
        <v>61</v>
      </c>
      <c r="N88" s="215">
        <v>61</v>
      </c>
      <c r="O88" s="215">
        <v>61</v>
      </c>
      <c r="P88" s="215">
        <v>61</v>
      </c>
      <c r="Q88" s="215">
        <v>61</v>
      </c>
      <c r="R88" s="215">
        <v>61</v>
      </c>
      <c r="S88" s="215">
        <v>61</v>
      </c>
      <c r="T88" s="215"/>
      <c r="U88" s="215"/>
      <c r="V88" s="215"/>
      <c r="W88" s="160">
        <f>+W87-J87</f>
        <v>-1.875</v>
      </c>
      <c r="X88" s="514"/>
      <c r="Y88" s="103">
        <f t="shared" si="3"/>
        <v>488</v>
      </c>
      <c r="Z88" s="138"/>
      <c r="AA88" s="138"/>
      <c r="AB88" s="122"/>
      <c r="AC88" s="116"/>
      <c r="AD88" s="157"/>
      <c r="AE88" s="167">
        <f t="shared" si="4"/>
        <v>0</v>
      </c>
      <c r="AF88" s="167"/>
      <c r="AG88" s="167"/>
      <c r="AH88" s="91"/>
    </row>
    <row r="89" spans="1:55" s="98" customFormat="1" ht="62.25" customHeight="1" thickBot="1" x14ac:dyDescent="0.95">
      <c r="A89" s="124"/>
      <c r="B89" s="126">
        <f>+B87</f>
        <v>18</v>
      </c>
      <c r="C89" s="174" t="s">
        <v>79</v>
      </c>
      <c r="D89" s="175">
        <f>+D88+100</f>
        <v>118</v>
      </c>
      <c r="E89" s="175"/>
      <c r="F89" s="117" t="s">
        <v>94</v>
      </c>
      <c r="G89" s="117"/>
      <c r="H89" s="146"/>
      <c r="I89" s="165">
        <f>+IF(J89="","",IF(J87=0,"",(J87*I87)/(J89*60)))</f>
        <v>0.97894736842105268</v>
      </c>
      <c r="J89" s="118">
        <v>57</v>
      </c>
      <c r="K89" s="104" t="s">
        <v>19</v>
      </c>
      <c r="L89" s="216">
        <v>1</v>
      </c>
      <c r="M89" s="216">
        <v>1</v>
      </c>
      <c r="N89" s="216">
        <v>1</v>
      </c>
      <c r="O89" s="216">
        <v>1</v>
      </c>
      <c r="P89" s="216">
        <v>1</v>
      </c>
      <c r="Q89" s="216">
        <v>1</v>
      </c>
      <c r="R89" s="216">
        <v>1</v>
      </c>
      <c r="S89" s="216">
        <v>1</v>
      </c>
      <c r="T89" s="216"/>
      <c r="U89" s="216"/>
      <c r="V89" s="216"/>
      <c r="W89" s="173"/>
      <c r="X89" s="168">
        <f>51.79+(COUNTA(L87:V87)-(Y87/J87))</f>
        <v>52.04</v>
      </c>
      <c r="Y89" s="105">
        <f t="shared" si="3"/>
        <v>8</v>
      </c>
      <c r="Z89" s="139"/>
      <c r="AA89" s="139"/>
      <c r="AB89" s="119">
        <f>+IFERROR(AB87/(J87*9),"")</f>
        <v>2.2148148148148148</v>
      </c>
      <c r="AC89" s="120"/>
      <c r="AD89" s="161">
        <f>+Y88+Y89/2</f>
        <v>492</v>
      </c>
      <c r="AE89" s="167">
        <f t="shared" si="4"/>
        <v>29520</v>
      </c>
      <c r="AF89" s="167"/>
      <c r="AG89" s="230">
        <f>+IF((Y87-J87*9)&gt;=0,"",Y87-J87*9)</f>
        <v>-75</v>
      </c>
      <c r="AH89" s="91"/>
    </row>
    <row r="90" spans="1:55" ht="62.25" customHeight="1" thickTop="1" x14ac:dyDescent="0.9">
      <c r="A90" s="124"/>
      <c r="B90" s="127">
        <f>+B91</f>
        <v>19</v>
      </c>
      <c r="C90" s="106"/>
      <c r="D90" s="106"/>
      <c r="E90" s="106"/>
      <c r="F90" s="106"/>
      <c r="G90" s="106"/>
      <c r="H90" s="106"/>
      <c r="I90" s="107" t="s">
        <v>20</v>
      </c>
      <c r="J90" s="108" t="s">
        <v>23</v>
      </c>
      <c r="K90" s="100" t="s">
        <v>21</v>
      </c>
      <c r="L90" s="213">
        <v>70</v>
      </c>
      <c r="M90" s="213">
        <v>70</v>
      </c>
      <c r="N90" s="213">
        <v>51</v>
      </c>
      <c r="O90" s="213">
        <v>51</v>
      </c>
      <c r="P90" s="213">
        <v>70</v>
      </c>
      <c r="Q90" s="213">
        <v>26</v>
      </c>
      <c r="R90" s="213">
        <v>26</v>
      </c>
      <c r="S90" s="213"/>
      <c r="T90" s="213"/>
      <c r="U90" s="213"/>
      <c r="V90" s="213"/>
      <c r="W90" s="135"/>
      <c r="X90" s="513">
        <f>+W92</f>
        <v>5</v>
      </c>
      <c r="Y90" s="135">
        <f t="shared" si="3"/>
        <v>364</v>
      </c>
      <c r="Z90" s="136">
        <f>+AA90+Y90</f>
        <v>1947</v>
      </c>
      <c r="AA90" s="136">
        <v>1583</v>
      </c>
      <c r="AB90" s="109"/>
      <c r="AC90" s="110"/>
      <c r="AD90" s="157"/>
      <c r="AE90" s="167">
        <f t="shared" si="4"/>
        <v>0</v>
      </c>
      <c r="AF90" s="167"/>
      <c r="AG90" s="167"/>
    </row>
    <row r="91" spans="1:55" ht="62.25" customHeight="1" x14ac:dyDescent="0.9">
      <c r="A91" s="124"/>
      <c r="B91" s="133">
        <v>19</v>
      </c>
      <c r="C91" s="111" t="s">
        <v>249</v>
      </c>
      <c r="D91" s="111"/>
      <c r="E91" s="111" t="s">
        <v>35</v>
      </c>
      <c r="F91" s="111" t="s">
        <v>250</v>
      </c>
      <c r="G91" s="111"/>
      <c r="H91" s="111" t="s">
        <v>251</v>
      </c>
      <c r="I91" s="113">
        <v>61</v>
      </c>
      <c r="J91" s="130">
        <v>55</v>
      </c>
      <c r="K91" s="101" t="s">
        <v>17</v>
      </c>
      <c r="L91" s="237">
        <v>60</v>
      </c>
      <c r="M91" s="237">
        <v>60</v>
      </c>
      <c r="N91" s="237">
        <v>60</v>
      </c>
      <c r="O91" s="237">
        <v>60</v>
      </c>
      <c r="P91" s="237">
        <v>60</v>
      </c>
      <c r="Q91" s="237">
        <v>60</v>
      </c>
      <c r="R91" s="237">
        <v>60</v>
      </c>
      <c r="S91" s="237">
        <v>60</v>
      </c>
      <c r="T91" s="214"/>
      <c r="U91" s="214"/>
      <c r="V91" s="214"/>
      <c r="W91" s="123">
        <f>+IF(COUNTA(L91:V91)=0,0,Y91/(COUNTA(L91:V91)))</f>
        <v>60</v>
      </c>
      <c r="X91" s="514"/>
      <c r="Y91" s="134">
        <f t="shared" si="3"/>
        <v>480</v>
      </c>
      <c r="Z91" s="137">
        <f>+Y91+AA91</f>
        <v>1180</v>
      </c>
      <c r="AA91" s="137">
        <v>700</v>
      </c>
      <c r="AB91" s="140">
        <f>+Z90-Z91</f>
        <v>767</v>
      </c>
      <c r="AC91" s="131">
        <f>+IF(((Y92+(Y93/2))*60)=0,"",(I91*Y91)/((Y92+(Y93/2))*60))</f>
        <v>1</v>
      </c>
      <c r="AD91" s="157"/>
      <c r="AE91" s="167">
        <f t="shared" si="4"/>
        <v>0</v>
      </c>
      <c r="AF91" s="167">
        <f>+Y91*I91</f>
        <v>29280</v>
      </c>
      <c r="AG91" s="167"/>
    </row>
    <row r="92" spans="1:55" ht="62.25" customHeight="1" x14ac:dyDescent="0.9">
      <c r="A92" s="124"/>
      <c r="B92" s="125">
        <f>+B91</f>
        <v>19</v>
      </c>
      <c r="C92" s="184"/>
      <c r="D92" s="111">
        <f>+B91</f>
        <v>19</v>
      </c>
      <c r="E92" s="111"/>
      <c r="F92" s="112" t="e">
        <f>+VLOOKUP(F91,'Obj Prix'!$H:$H,2,FALSE)</f>
        <v>#N/A</v>
      </c>
      <c r="G92" s="219"/>
      <c r="H92" s="210"/>
      <c r="I92" s="210"/>
      <c r="J92" s="114" t="s">
        <v>22</v>
      </c>
      <c r="K92" s="102" t="s">
        <v>18</v>
      </c>
      <c r="L92" s="215">
        <v>59</v>
      </c>
      <c r="M92" s="215">
        <v>59</v>
      </c>
      <c r="N92" s="215">
        <v>59</v>
      </c>
      <c r="O92" s="215">
        <v>59</v>
      </c>
      <c r="P92" s="215">
        <v>59</v>
      </c>
      <c r="Q92" s="215">
        <v>59</v>
      </c>
      <c r="R92" s="215">
        <v>59</v>
      </c>
      <c r="S92" s="215">
        <v>59</v>
      </c>
      <c r="T92" s="215"/>
      <c r="U92" s="215"/>
      <c r="V92" s="215"/>
      <c r="W92" s="160">
        <f>+W91-J91</f>
        <v>5</v>
      </c>
      <c r="X92" s="514"/>
      <c r="Y92" s="103">
        <f t="shared" si="3"/>
        <v>472</v>
      </c>
      <c r="Z92" s="138"/>
      <c r="AA92" s="138"/>
      <c r="AB92" s="115"/>
      <c r="AC92" s="116"/>
      <c r="AD92" s="157"/>
      <c r="AE92" s="167">
        <f t="shared" si="4"/>
        <v>0</v>
      </c>
      <c r="AF92" s="167"/>
      <c r="AG92" s="167"/>
    </row>
    <row r="93" spans="1:55" s="98" customFormat="1" ht="62.25" customHeight="1" thickBot="1" x14ac:dyDescent="0.95">
      <c r="A93" s="124"/>
      <c r="B93" s="126">
        <f>+B91</f>
        <v>19</v>
      </c>
      <c r="C93" s="174" t="s">
        <v>152</v>
      </c>
      <c r="D93" s="175">
        <f>+D92+100</f>
        <v>119</v>
      </c>
      <c r="E93" s="175"/>
      <c r="F93" s="117" t="s">
        <v>203</v>
      </c>
      <c r="G93" s="117"/>
      <c r="H93" s="159" t="s">
        <v>255</v>
      </c>
      <c r="I93" s="165">
        <f>+IF(J93="","",IF(J91=0,"",(J91*I91)/(J93*60)))</f>
        <v>0.9018817204301075</v>
      </c>
      <c r="J93" s="118">
        <v>62</v>
      </c>
      <c r="K93" s="104" t="s">
        <v>19</v>
      </c>
      <c r="L93" s="216">
        <v>4</v>
      </c>
      <c r="M93" s="216">
        <v>4</v>
      </c>
      <c r="N93" s="216">
        <v>4</v>
      </c>
      <c r="O93" s="216">
        <v>4</v>
      </c>
      <c r="P93" s="216">
        <v>4</v>
      </c>
      <c r="Q93" s="216">
        <v>4</v>
      </c>
      <c r="R93" s="216">
        <v>4</v>
      </c>
      <c r="S93" s="216">
        <v>4</v>
      </c>
      <c r="T93" s="216"/>
      <c r="U93" s="216"/>
      <c r="V93" s="216"/>
      <c r="W93" s="173"/>
      <c r="X93" s="169">
        <v>15.12</v>
      </c>
      <c r="Y93" s="105">
        <f t="shared" si="3"/>
        <v>32</v>
      </c>
      <c r="Z93" s="139"/>
      <c r="AA93" s="139"/>
      <c r="AB93" s="119">
        <f>+IFERROR(AB91/(J91*9),"")</f>
        <v>1.5494949494949495</v>
      </c>
      <c r="AC93" s="120"/>
      <c r="AD93" s="161">
        <f>+Y92+Y93/2</f>
        <v>488</v>
      </c>
      <c r="AE93" s="167">
        <f t="shared" si="4"/>
        <v>29280</v>
      </c>
      <c r="AF93" s="167"/>
      <c r="AG93" s="230">
        <f>+IF((Y91-J91*9)&gt;=0,"",Y91-J91*9)</f>
        <v>-15</v>
      </c>
      <c r="AH93" s="91"/>
    </row>
    <row r="94" spans="1:55" ht="62.25" customHeight="1" thickTop="1" x14ac:dyDescent="0.9">
      <c r="A94" s="124"/>
      <c r="B94" s="127">
        <f>+B95</f>
        <v>21</v>
      </c>
      <c r="C94" s="106"/>
      <c r="D94" s="106"/>
      <c r="E94" s="106"/>
      <c r="F94" s="106"/>
      <c r="G94" s="106"/>
      <c r="H94" s="106"/>
      <c r="I94" s="107" t="s">
        <v>20</v>
      </c>
      <c r="J94" s="108" t="s">
        <v>23</v>
      </c>
      <c r="K94" s="100" t="s">
        <v>21</v>
      </c>
      <c r="L94" s="213"/>
      <c r="M94" s="213"/>
      <c r="N94" s="213"/>
      <c r="O94" s="213"/>
      <c r="P94" s="213"/>
      <c r="Q94" s="213"/>
      <c r="R94" s="213"/>
      <c r="S94" s="213"/>
      <c r="T94" s="213"/>
      <c r="U94" s="213"/>
      <c r="V94" s="213"/>
      <c r="W94" s="135"/>
      <c r="X94" s="513">
        <f>+W96</f>
        <v>0</v>
      </c>
      <c r="Y94" s="135">
        <f t="shared" si="3"/>
        <v>0</v>
      </c>
      <c r="Z94" s="136">
        <f>+AA94+Y94</f>
        <v>820</v>
      </c>
      <c r="AA94" s="136">
        <v>820</v>
      </c>
      <c r="AB94" s="121"/>
      <c r="AC94" s="110"/>
      <c r="AD94" s="157"/>
      <c r="AE94" s="167">
        <f t="shared" si="4"/>
        <v>0</v>
      </c>
      <c r="AF94" s="167"/>
      <c r="AG94" s="167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</row>
    <row r="95" spans="1:55" ht="62.25" customHeight="1" x14ac:dyDescent="0.9">
      <c r="A95" s="124"/>
      <c r="B95" s="132">
        <v>21</v>
      </c>
      <c r="C95" s="111" t="s">
        <v>256</v>
      </c>
      <c r="D95" s="111"/>
      <c r="E95" s="111" t="s">
        <v>110</v>
      </c>
      <c r="F95" s="111" t="s">
        <v>257</v>
      </c>
      <c r="G95" s="111">
        <v>800</v>
      </c>
      <c r="H95" s="111" t="s">
        <v>251</v>
      </c>
      <c r="I95" s="113"/>
      <c r="J95" s="130"/>
      <c r="K95" s="101" t="s">
        <v>17</v>
      </c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123">
        <f>+IF(COUNTA(L95:V95)=0,0,Y95/(COUNTA(L95:V95)))</f>
        <v>0</v>
      </c>
      <c r="X95" s="514"/>
      <c r="Y95" s="134">
        <f t="shared" si="3"/>
        <v>0</v>
      </c>
      <c r="Z95" s="137">
        <f>+Y95+AA95</f>
        <v>0</v>
      </c>
      <c r="AA95" s="137">
        <v>0</v>
      </c>
      <c r="AB95" s="140">
        <f>+Z94-Z95</f>
        <v>820</v>
      </c>
      <c r="AC95" s="131" t="str">
        <f>+IF(((Y96+(Y97/2))*60)=0,"",(I95*Y95)/((Y96+(Y97/2))*60))</f>
        <v/>
      </c>
      <c r="AD95" s="157"/>
      <c r="AE95" s="167">
        <f t="shared" si="4"/>
        <v>0</v>
      </c>
      <c r="AF95" s="167">
        <f>+Y95*I95</f>
        <v>0</v>
      </c>
      <c r="AG95" s="167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</row>
    <row r="96" spans="1:55" ht="62.25" customHeight="1" x14ac:dyDescent="0.9">
      <c r="A96" s="124"/>
      <c r="B96" s="125">
        <f>+B95</f>
        <v>21</v>
      </c>
      <c r="C96" s="184"/>
      <c r="D96" s="111">
        <f>+B95</f>
        <v>21</v>
      </c>
      <c r="E96" s="111"/>
      <c r="F96" s="112" t="e">
        <f>+VLOOKUP(F95,'Obj Prix'!$H:$H,2,FALSE)</f>
        <v>#N/A</v>
      </c>
      <c r="G96" s="112"/>
      <c r="H96" s="210"/>
      <c r="I96" s="113"/>
      <c r="J96" s="114" t="s">
        <v>22</v>
      </c>
      <c r="K96" s="102" t="s">
        <v>18</v>
      </c>
      <c r="L96" s="215"/>
      <c r="M96" s="215"/>
      <c r="N96" s="215"/>
      <c r="O96" s="215"/>
      <c r="P96" s="215"/>
      <c r="Q96" s="215"/>
      <c r="R96" s="215"/>
      <c r="S96" s="215"/>
      <c r="T96" s="215"/>
      <c r="U96" s="215"/>
      <c r="V96" s="215"/>
      <c r="W96" s="160">
        <f>+W95-J95</f>
        <v>0</v>
      </c>
      <c r="X96" s="514"/>
      <c r="Y96" s="103">
        <f t="shared" si="3"/>
        <v>0</v>
      </c>
      <c r="Z96" s="138"/>
      <c r="AA96" s="138"/>
      <c r="AB96" s="122"/>
      <c r="AC96" s="116"/>
      <c r="AD96" s="157"/>
      <c r="AE96" s="167">
        <f t="shared" si="4"/>
        <v>0</v>
      </c>
      <c r="AF96" s="167"/>
      <c r="AG96" s="167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</row>
    <row r="97" spans="1:35" s="98" customFormat="1" ht="62.25" customHeight="1" thickBot="1" x14ac:dyDescent="0.95">
      <c r="A97" s="124"/>
      <c r="B97" s="129">
        <f>+B95</f>
        <v>21</v>
      </c>
      <c r="C97" s="174" t="s">
        <v>214</v>
      </c>
      <c r="D97" s="175">
        <f>+D96+100</f>
        <v>121</v>
      </c>
      <c r="E97" s="175"/>
      <c r="F97" s="117" t="s">
        <v>111</v>
      </c>
      <c r="G97" s="117"/>
      <c r="H97" s="146"/>
      <c r="I97" s="165" t="str">
        <f>+IF(J97="","",IF(J95=0,"",(J95*I95)/(J97*60)))</f>
        <v/>
      </c>
      <c r="J97" s="118">
        <v>23</v>
      </c>
      <c r="K97" s="104" t="s">
        <v>19</v>
      </c>
      <c r="L97" s="216"/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173"/>
      <c r="X97" s="168"/>
      <c r="Y97" s="105">
        <f t="shared" si="3"/>
        <v>0</v>
      </c>
      <c r="Z97" s="139"/>
      <c r="AA97" s="139"/>
      <c r="AB97" s="119" t="str">
        <f>+IFERROR(AB95/(J95*9),"")</f>
        <v/>
      </c>
      <c r="AC97" s="120"/>
      <c r="AD97" s="161">
        <f>+Y96+Y97/2</f>
        <v>0</v>
      </c>
      <c r="AE97" s="167">
        <f t="shared" si="4"/>
        <v>0</v>
      </c>
      <c r="AF97" s="167"/>
      <c r="AG97" s="230" t="str">
        <f>+IF((Y95-J95*9)&gt;=0,"",Y95-J95*9)</f>
        <v/>
      </c>
      <c r="AH97" s="91"/>
    </row>
    <row r="98" spans="1:35" s="98" customFormat="1" ht="39.75" customHeight="1" thickTop="1" thickBot="1" x14ac:dyDescent="0.95">
      <c r="A98" s="124"/>
      <c r="B98" s="94"/>
      <c r="C98" s="176"/>
      <c r="D98" s="91"/>
      <c r="E98" s="91"/>
      <c r="F98" s="91"/>
      <c r="G98" s="91"/>
      <c r="I98" s="91"/>
      <c r="J98" s="91"/>
      <c r="K98" s="99"/>
      <c r="L98" s="124"/>
      <c r="M98" s="124"/>
      <c r="N98" s="124"/>
      <c r="O98" s="124"/>
      <c r="P98" s="124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5"/>
      <c r="AD98" s="158"/>
      <c r="AE98" s="167"/>
      <c r="AG98" s="220"/>
      <c r="AH98" s="220"/>
      <c r="AI98" s="220"/>
    </row>
    <row r="99" spans="1:35" s="148" customFormat="1" ht="91.5" customHeight="1" thickTop="1" thickBot="1" x14ac:dyDescent="0.55000000000000004">
      <c r="A99" s="164"/>
      <c r="B99" s="181"/>
      <c r="C99" s="92"/>
      <c r="D99" s="92"/>
      <c r="E99" s="92"/>
      <c r="F99" s="92"/>
      <c r="G99" s="92"/>
      <c r="H99" s="98"/>
      <c r="I99" s="92"/>
      <c r="J99" s="92"/>
      <c r="K99" s="179" t="s">
        <v>17</v>
      </c>
      <c r="L99" s="166">
        <f t="shared" ref="L99:V99" si="5">+SUMIF($K$6:$K$98,$K$99,L6:L98)</f>
        <v>927</v>
      </c>
      <c r="M99" s="166">
        <f t="shared" si="5"/>
        <v>1007</v>
      </c>
      <c r="N99" s="166">
        <f t="shared" si="5"/>
        <v>1039</v>
      </c>
      <c r="O99" s="166">
        <f t="shared" si="5"/>
        <v>1041</v>
      </c>
      <c r="P99" s="166">
        <f t="shared" si="5"/>
        <v>1027</v>
      </c>
      <c r="Q99" s="166">
        <f t="shared" si="5"/>
        <v>1059</v>
      </c>
      <c r="R99" s="166">
        <f t="shared" si="5"/>
        <v>1050</v>
      </c>
      <c r="S99" s="166">
        <f t="shared" si="5"/>
        <v>1069</v>
      </c>
      <c r="T99" s="166">
        <f t="shared" si="5"/>
        <v>0</v>
      </c>
      <c r="U99" s="166">
        <f t="shared" si="5"/>
        <v>0</v>
      </c>
      <c r="V99" s="166">
        <f t="shared" si="5"/>
        <v>0</v>
      </c>
      <c r="W99" s="2"/>
      <c r="X99" s="166">
        <f>+SUM(L99:V99)</f>
        <v>8219</v>
      </c>
      <c r="Y99" s="92"/>
      <c r="Z99" s="164"/>
      <c r="AA99" s="92"/>
      <c r="AB99" s="92"/>
      <c r="AC99" s="177"/>
      <c r="AD99" s="178"/>
      <c r="AE99" s="167">
        <f>+AD99*60</f>
        <v>0</v>
      </c>
      <c r="AH99" s="91"/>
    </row>
    <row r="100" spans="1:35" s="148" customFormat="1" ht="91.5" customHeight="1" thickTop="1" thickBot="1" x14ac:dyDescent="0.55000000000000004">
      <c r="A100" s="164"/>
      <c r="B100" s="223"/>
      <c r="C100" s="223"/>
      <c r="D100" s="223"/>
      <c r="E100" s="223"/>
      <c r="F100" s="223"/>
      <c r="G100" s="223"/>
      <c r="H100" s="98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92"/>
      <c r="Z100" s="92"/>
      <c r="AA100" s="92"/>
      <c r="AB100" s="92"/>
      <c r="AC100" s="177"/>
      <c r="AD100" s="178"/>
      <c r="AE100" s="167"/>
      <c r="AH100" s="91"/>
    </row>
    <row r="101" spans="1:35" s="98" customFormat="1" ht="91.5" customHeight="1" thickTop="1" thickBot="1" x14ac:dyDescent="0.95">
      <c r="A101" s="124"/>
      <c r="B101" s="94"/>
      <c r="C101" s="91"/>
      <c r="D101" s="91"/>
      <c r="E101" s="91"/>
      <c r="F101" s="91"/>
      <c r="G101" s="91"/>
      <c r="H101" s="91"/>
      <c r="I101" s="91"/>
      <c r="J101" s="91"/>
      <c r="K101" s="208" t="s">
        <v>18</v>
      </c>
      <c r="L101" s="166">
        <f t="shared" ref="L101:V101" si="6">+SUMIF($K$6:$K$98,$K$101,L6:L98)</f>
        <v>878</v>
      </c>
      <c r="M101" s="166">
        <f t="shared" si="6"/>
        <v>883</v>
      </c>
      <c r="N101" s="166">
        <f t="shared" si="6"/>
        <v>883</v>
      </c>
      <c r="O101" s="166">
        <f t="shared" si="6"/>
        <v>883</v>
      </c>
      <c r="P101" s="166">
        <f t="shared" si="6"/>
        <v>882</v>
      </c>
      <c r="Q101" s="166">
        <f t="shared" si="6"/>
        <v>882</v>
      </c>
      <c r="R101" s="166">
        <f t="shared" si="6"/>
        <v>882</v>
      </c>
      <c r="S101" s="166">
        <f t="shared" si="6"/>
        <v>882</v>
      </c>
      <c r="T101" s="166">
        <f t="shared" si="6"/>
        <v>0</v>
      </c>
      <c r="U101" s="166">
        <f t="shared" si="6"/>
        <v>0</v>
      </c>
      <c r="V101" s="166">
        <f t="shared" si="6"/>
        <v>0</v>
      </c>
      <c r="W101" s="2"/>
      <c r="X101" s="91"/>
      <c r="Y101" s="91"/>
      <c r="Z101" s="91"/>
      <c r="AA101" s="91"/>
      <c r="AB101" s="91"/>
      <c r="AC101" s="95"/>
      <c r="AD101" s="158"/>
      <c r="AH101" s="91"/>
    </row>
    <row r="102" spans="1:35" s="98" customFormat="1" ht="91.5" customHeight="1" thickTop="1" thickBot="1" x14ac:dyDescent="0.95">
      <c r="A102" s="124"/>
      <c r="B102" s="94"/>
      <c r="C102" s="91"/>
      <c r="D102" s="91"/>
      <c r="E102" s="91"/>
      <c r="F102" s="91"/>
      <c r="G102" s="91"/>
      <c r="H102" s="92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 t="s">
        <v>185</v>
      </c>
      <c r="Y102" s="91"/>
      <c r="Z102" s="91"/>
      <c r="AA102" s="91"/>
      <c r="AB102" s="91"/>
      <c r="AC102" s="95"/>
      <c r="AD102" s="158"/>
      <c r="AH102" s="91"/>
    </row>
    <row r="103" spans="1:35" s="98" customFormat="1" ht="91.5" customHeight="1" thickTop="1" thickBot="1" x14ac:dyDescent="0.95">
      <c r="A103" s="124"/>
      <c r="B103" s="94"/>
      <c r="C103" s="92"/>
      <c r="D103" s="92"/>
      <c r="E103" s="92"/>
      <c r="F103" s="92"/>
      <c r="G103" s="92"/>
      <c r="H103" s="223"/>
      <c r="I103" s="93"/>
      <c r="J103" s="92"/>
      <c r="K103" s="208" t="s">
        <v>19</v>
      </c>
      <c r="L103" s="166">
        <f t="shared" ref="L103:V103" si="7">+SUMIF($K$6:$K$98,$K$103,L6:L98)</f>
        <v>42</v>
      </c>
      <c r="M103" s="166">
        <f t="shared" si="7"/>
        <v>42</v>
      </c>
      <c r="N103" s="166">
        <f t="shared" si="7"/>
        <v>42</v>
      </c>
      <c r="O103" s="166">
        <f t="shared" si="7"/>
        <v>42</v>
      </c>
      <c r="P103" s="166">
        <f t="shared" si="7"/>
        <v>42</v>
      </c>
      <c r="Q103" s="166">
        <f t="shared" si="7"/>
        <v>42</v>
      </c>
      <c r="R103" s="166">
        <f t="shared" si="7"/>
        <v>42</v>
      </c>
      <c r="S103" s="166">
        <f t="shared" si="7"/>
        <v>42</v>
      </c>
      <c r="T103" s="166">
        <f t="shared" si="7"/>
        <v>0</v>
      </c>
      <c r="U103" s="166">
        <f t="shared" si="7"/>
        <v>0</v>
      </c>
      <c r="V103" s="166">
        <f t="shared" si="7"/>
        <v>0</v>
      </c>
      <c r="W103" s="2"/>
      <c r="X103" s="91"/>
      <c r="Y103" s="91"/>
      <c r="Z103" s="91"/>
      <c r="AA103" s="91"/>
      <c r="AB103" s="91"/>
      <c r="AC103" s="95"/>
      <c r="AD103" s="158"/>
      <c r="AH103" s="91"/>
    </row>
    <row r="104" spans="1:35" s="98" customFormat="1" ht="62.25" customHeight="1" thickTop="1" x14ac:dyDescent="0.9">
      <c r="A104" s="124"/>
      <c r="B104" s="94"/>
      <c r="C104" s="92"/>
      <c r="D104" s="92"/>
      <c r="E104" s="92"/>
      <c r="F104" s="92"/>
      <c r="G104" s="92"/>
      <c r="H104" s="91"/>
      <c r="I104" s="93"/>
      <c r="J104" s="92"/>
      <c r="K104" s="99"/>
      <c r="L104" s="209">
        <f>+IF(L101=0,"",L103/L101)</f>
        <v>4.7835990888382689E-2</v>
      </c>
      <c r="M104" s="209">
        <f t="shared" ref="M104:V104" si="8">+IF(M101=0,"",M103/M101)</f>
        <v>4.7565118912797279E-2</v>
      </c>
      <c r="N104" s="209">
        <f t="shared" si="8"/>
        <v>4.7565118912797279E-2</v>
      </c>
      <c r="O104" s="209">
        <f t="shared" si="8"/>
        <v>4.7565118912797279E-2</v>
      </c>
      <c r="P104" s="209">
        <f t="shared" si="8"/>
        <v>4.7619047619047616E-2</v>
      </c>
      <c r="Q104" s="209">
        <f t="shared" si="8"/>
        <v>4.7619047619047616E-2</v>
      </c>
      <c r="R104" s="209">
        <f t="shared" si="8"/>
        <v>4.7619047619047616E-2</v>
      </c>
      <c r="S104" s="209">
        <f t="shared" si="8"/>
        <v>4.7619047619047616E-2</v>
      </c>
      <c r="T104" s="209" t="str">
        <f t="shared" si="8"/>
        <v/>
      </c>
      <c r="U104" s="209" t="str">
        <f t="shared" si="8"/>
        <v/>
      </c>
      <c r="V104" s="209" t="str">
        <f t="shared" si="8"/>
        <v/>
      </c>
      <c r="W104" s="91"/>
      <c r="X104" s="91"/>
      <c r="Y104" s="91"/>
      <c r="Z104" s="91"/>
      <c r="AA104" s="91"/>
      <c r="AB104" s="211"/>
      <c r="AC104" s="95"/>
      <c r="AD104" s="158"/>
      <c r="AH104" s="91"/>
    </row>
    <row r="105" spans="1:35" s="98" customFormat="1" ht="62.25" customHeight="1" thickBot="1" x14ac:dyDescent="0.95">
      <c r="A105" s="124"/>
      <c r="B105" s="94"/>
      <c r="C105" s="92"/>
      <c r="D105" s="92"/>
      <c r="E105" s="92"/>
      <c r="F105" s="92"/>
      <c r="G105" s="92"/>
      <c r="H105" s="91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</row>
    <row r="106" spans="1:35" s="98" customFormat="1" ht="88.5" customHeight="1" thickTop="1" thickBot="1" x14ac:dyDescent="0.95">
      <c r="A106" s="124"/>
      <c r="B106" s="94"/>
      <c r="C106" s="92"/>
      <c r="D106" s="92"/>
      <c r="E106" s="92"/>
      <c r="F106" s="92"/>
      <c r="G106" s="92"/>
      <c r="H106" s="92"/>
      <c r="I106" s="93"/>
      <c r="J106" s="212" t="s">
        <v>18</v>
      </c>
      <c r="K106" s="222" t="s">
        <v>180</v>
      </c>
      <c r="L106" s="166">
        <f t="shared" ref="L106:V106" si="9">+IF(L101=0,"",SUMIF($K$6:$K$98,$J$106,$I$6:$I$98))</f>
        <v>11</v>
      </c>
      <c r="M106" s="166">
        <f t="shared" si="9"/>
        <v>11</v>
      </c>
      <c r="N106" s="166">
        <f t="shared" si="9"/>
        <v>11</v>
      </c>
      <c r="O106" s="166">
        <f t="shared" si="9"/>
        <v>11</v>
      </c>
      <c r="P106" s="166">
        <f t="shared" si="9"/>
        <v>11</v>
      </c>
      <c r="Q106" s="166">
        <f t="shared" si="9"/>
        <v>11</v>
      </c>
      <c r="R106" s="166">
        <f t="shared" si="9"/>
        <v>11</v>
      </c>
      <c r="S106" s="166">
        <f t="shared" si="9"/>
        <v>11</v>
      </c>
      <c r="T106" s="166" t="str">
        <f t="shared" si="9"/>
        <v/>
      </c>
      <c r="U106" s="166" t="str">
        <f t="shared" si="9"/>
        <v/>
      </c>
      <c r="V106" s="166" t="str">
        <f t="shared" si="9"/>
        <v/>
      </c>
      <c r="W106" s="2"/>
      <c r="X106" s="91"/>
      <c r="Y106" s="91"/>
      <c r="Z106" s="91"/>
      <c r="AA106" s="91"/>
      <c r="AB106" s="91"/>
      <c r="AC106" s="95"/>
      <c r="AD106" s="158"/>
      <c r="AH106" s="91"/>
    </row>
    <row r="107" spans="1:35" s="98" customFormat="1" ht="62.25" customHeight="1" thickTop="1" x14ac:dyDescent="0.9">
      <c r="A107" s="124"/>
      <c r="B107" s="94"/>
      <c r="C107" s="92"/>
      <c r="D107" s="92"/>
      <c r="E107" s="92"/>
      <c r="F107" s="92"/>
      <c r="G107" s="92"/>
      <c r="H107" s="92"/>
      <c r="I107" s="93"/>
      <c r="J107" s="212"/>
      <c r="K107" s="99"/>
      <c r="L107" s="209">
        <f>+IF(L101=0,"",L106/L101)</f>
        <v>1.2528473804100227E-2</v>
      </c>
      <c r="M107" s="209">
        <f t="shared" ref="M107:V107" si="10">+IF(M101=0,"",M106/M101)</f>
        <v>1.245753114382786E-2</v>
      </c>
      <c r="N107" s="209">
        <f t="shared" si="10"/>
        <v>1.245753114382786E-2</v>
      </c>
      <c r="O107" s="209">
        <f t="shared" si="10"/>
        <v>1.245753114382786E-2</v>
      </c>
      <c r="P107" s="209">
        <f t="shared" si="10"/>
        <v>1.2471655328798186E-2</v>
      </c>
      <c r="Q107" s="209">
        <f t="shared" si="10"/>
        <v>1.2471655328798186E-2</v>
      </c>
      <c r="R107" s="209">
        <f t="shared" si="10"/>
        <v>1.2471655328798186E-2</v>
      </c>
      <c r="S107" s="209">
        <f t="shared" si="10"/>
        <v>1.2471655328798186E-2</v>
      </c>
      <c r="T107" s="209" t="str">
        <f t="shared" si="10"/>
        <v/>
      </c>
      <c r="U107" s="209" t="str">
        <f t="shared" si="10"/>
        <v/>
      </c>
      <c r="V107" s="209" t="str">
        <f t="shared" si="10"/>
        <v/>
      </c>
      <c r="W107" s="91"/>
      <c r="X107" s="91"/>
      <c r="Y107" s="91"/>
      <c r="Z107" s="91"/>
      <c r="AA107" s="91"/>
      <c r="AB107" s="91"/>
      <c r="AC107" s="95"/>
      <c r="AD107" s="158"/>
      <c r="AH107" s="91"/>
    </row>
    <row r="108" spans="1:35" s="98" customFormat="1" ht="62.25" customHeight="1" thickBot="1" x14ac:dyDescent="0.95">
      <c r="A108" s="124"/>
      <c r="B108" s="94"/>
      <c r="C108" s="92"/>
      <c r="D108" s="92"/>
      <c r="E108" s="92"/>
      <c r="F108" s="92"/>
      <c r="G108" s="92"/>
      <c r="H108" s="92"/>
      <c r="I108" s="93"/>
      <c r="J108" s="212"/>
      <c r="K108" s="99"/>
      <c r="L108" s="91"/>
      <c r="M108" s="91"/>
      <c r="N108" s="91"/>
      <c r="O108" s="91"/>
      <c r="P108" s="124"/>
      <c r="Q108" s="124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5"/>
      <c r="AD108" s="158"/>
      <c r="AH108" s="91"/>
    </row>
    <row r="109" spans="1:35" s="98" customFormat="1" ht="98.25" customHeight="1" thickTop="1" thickBot="1" x14ac:dyDescent="0.95">
      <c r="A109" s="124"/>
      <c r="B109" s="94"/>
      <c r="C109" s="92"/>
      <c r="D109" s="92"/>
      <c r="E109" s="92"/>
      <c r="F109" s="92"/>
      <c r="G109" s="92"/>
      <c r="H109" s="92"/>
      <c r="I109" s="93"/>
      <c r="J109" s="212"/>
      <c r="K109" s="222" t="s">
        <v>181</v>
      </c>
      <c r="L109" s="166">
        <f t="shared" ref="L109:V109" si="11">+IF(L101=0,"",SUMIF($K$6:$K$98,$J$106,$H$6:$H$101))</f>
        <v>1</v>
      </c>
      <c r="M109" s="166">
        <f t="shared" si="11"/>
        <v>1</v>
      </c>
      <c r="N109" s="166">
        <f t="shared" si="11"/>
        <v>1</v>
      </c>
      <c r="O109" s="166">
        <f t="shared" si="11"/>
        <v>1</v>
      </c>
      <c r="P109" s="166">
        <f t="shared" si="11"/>
        <v>1</v>
      </c>
      <c r="Q109" s="166">
        <f t="shared" si="11"/>
        <v>1</v>
      </c>
      <c r="R109" s="166">
        <f t="shared" si="11"/>
        <v>1</v>
      </c>
      <c r="S109" s="166">
        <f t="shared" si="11"/>
        <v>1</v>
      </c>
      <c r="T109" s="166" t="str">
        <f t="shared" si="11"/>
        <v/>
      </c>
      <c r="U109" s="166" t="str">
        <f t="shared" si="11"/>
        <v/>
      </c>
      <c r="V109" s="166" t="str">
        <f t="shared" si="11"/>
        <v/>
      </c>
      <c r="W109" s="91"/>
      <c r="X109" s="91"/>
      <c r="Y109" s="91"/>
      <c r="Z109" s="91"/>
      <c r="AA109" s="91"/>
      <c r="AB109" s="91"/>
      <c r="AC109" s="95"/>
      <c r="AD109" s="158"/>
      <c r="AH109" s="91"/>
    </row>
    <row r="110" spans="1:35" s="98" customFormat="1" ht="62.25" customHeight="1" thickTop="1" x14ac:dyDescent="0.9">
      <c r="A110" s="124"/>
      <c r="B110" s="94"/>
      <c r="C110" s="92"/>
      <c r="D110" s="92"/>
      <c r="E110" s="92"/>
      <c r="F110" s="92"/>
      <c r="G110" s="92"/>
      <c r="H110" s="92"/>
      <c r="I110" s="93"/>
      <c r="J110" s="212"/>
      <c r="K110" s="99"/>
      <c r="L110" s="209">
        <f>+IF(L101=0,"",L109/L101)</f>
        <v>1.1389521640091116E-3</v>
      </c>
      <c r="M110" s="209">
        <f t="shared" ref="M110:V110" si="12">+IF(M101=0,"",M109/M101)</f>
        <v>1.1325028312570782E-3</v>
      </c>
      <c r="N110" s="209">
        <f t="shared" si="12"/>
        <v>1.1325028312570782E-3</v>
      </c>
      <c r="O110" s="209">
        <f t="shared" si="12"/>
        <v>1.1325028312570782E-3</v>
      </c>
      <c r="P110" s="209">
        <f t="shared" si="12"/>
        <v>1.1337868480725624E-3</v>
      </c>
      <c r="Q110" s="209">
        <f t="shared" si="12"/>
        <v>1.1337868480725624E-3</v>
      </c>
      <c r="R110" s="209">
        <f t="shared" si="12"/>
        <v>1.1337868480725624E-3</v>
      </c>
      <c r="S110" s="209">
        <f t="shared" si="12"/>
        <v>1.1337868480725624E-3</v>
      </c>
      <c r="T110" s="209" t="str">
        <f t="shared" si="12"/>
        <v/>
      </c>
      <c r="U110" s="209" t="str">
        <f t="shared" si="12"/>
        <v/>
      </c>
      <c r="V110" s="209" t="str">
        <f t="shared" si="12"/>
        <v/>
      </c>
      <c r="W110" s="91"/>
      <c r="X110" s="91"/>
      <c r="Y110" s="91"/>
      <c r="Z110" s="91"/>
      <c r="AA110" s="91"/>
      <c r="AB110" s="91"/>
      <c r="AC110" s="95"/>
      <c r="AD110" s="158"/>
      <c r="AH110" s="91"/>
    </row>
    <row r="111" spans="1:35" s="98" customFormat="1" ht="62.25" customHeight="1" x14ac:dyDescent="0.9">
      <c r="A111" s="124"/>
      <c r="B111" s="94"/>
      <c r="C111" s="92"/>
      <c r="D111" s="92"/>
      <c r="E111" s="92"/>
      <c r="F111" s="92"/>
      <c r="G111" s="92"/>
      <c r="H111" s="92"/>
      <c r="I111" s="93"/>
      <c r="J111" s="212"/>
      <c r="K111" s="99"/>
      <c r="L111" s="91"/>
      <c r="M111" s="91"/>
      <c r="N111" s="91"/>
      <c r="O111" s="91"/>
      <c r="P111" s="124"/>
      <c r="Q111" s="124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5"/>
      <c r="AD111" s="158"/>
      <c r="AH111" s="91"/>
    </row>
    <row r="112" spans="1:35" s="98" customFormat="1" x14ac:dyDescent="0.55000000000000004">
      <c r="A112" s="91"/>
      <c r="B112" s="94"/>
      <c r="C112" s="92"/>
      <c r="D112" s="92"/>
      <c r="E112" s="92"/>
      <c r="F112" s="92"/>
      <c r="G112" s="92"/>
      <c r="H112" s="92"/>
      <c r="I112" s="93"/>
      <c r="J112" s="92"/>
      <c r="K112" s="99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5"/>
      <c r="AD112" s="155"/>
      <c r="AH112" s="91"/>
    </row>
    <row r="113" spans="1:34" s="98" customFormat="1" ht="46.5" x14ac:dyDescent="0.7">
      <c r="A113" s="91"/>
      <c r="B113" s="94"/>
      <c r="C113" s="92"/>
      <c r="D113" s="92"/>
      <c r="E113" s="92"/>
      <c r="F113" s="92"/>
      <c r="G113" s="92"/>
      <c r="H113" s="92"/>
      <c r="I113" s="93"/>
      <c r="J113" s="92"/>
      <c r="K113" s="99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5"/>
      <c r="AD113" s="158"/>
      <c r="AH113" s="91"/>
    </row>
    <row r="114" spans="1:34" ht="46.5" x14ac:dyDescent="0.7">
      <c r="I114" s="91"/>
      <c r="J114" s="91"/>
      <c r="S114" s="515"/>
      <c r="T114" s="515"/>
      <c r="U114" s="515"/>
      <c r="AD114" s="158"/>
    </row>
    <row r="115" spans="1:34" ht="105" customHeight="1" x14ac:dyDescent="0.7">
      <c r="AD115" s="158"/>
    </row>
    <row r="116" spans="1:34" ht="46.5" x14ac:dyDescent="0.7">
      <c r="A116" s="91" t="s">
        <v>197</v>
      </c>
      <c r="AD116" s="158"/>
    </row>
    <row r="117" spans="1:34" s="98" customFormat="1" ht="46.5" x14ac:dyDescent="0.7">
      <c r="A117" s="91"/>
      <c r="B117" s="94"/>
      <c r="C117" s="92"/>
      <c r="D117" s="92"/>
      <c r="E117" s="92"/>
      <c r="F117" s="92"/>
      <c r="G117" s="92"/>
      <c r="H117" s="91"/>
      <c r="I117" s="93"/>
      <c r="J117" s="92"/>
      <c r="K117" s="99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5"/>
      <c r="AD117" s="158"/>
      <c r="AH117" s="91"/>
    </row>
    <row r="118" spans="1:34" s="98" customFormat="1" ht="46.5" x14ac:dyDescent="0.7">
      <c r="A118" s="91"/>
      <c r="B118" s="94"/>
      <c r="C118" s="92"/>
      <c r="D118" s="92"/>
      <c r="E118" s="92"/>
      <c r="F118" s="92"/>
      <c r="G118" s="92"/>
      <c r="H118" s="92"/>
      <c r="I118" s="93"/>
      <c r="J118" s="92"/>
      <c r="K118" s="99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5"/>
      <c r="AD118" s="158"/>
      <c r="AH118" s="91"/>
    </row>
    <row r="119" spans="1:34" s="98" customFormat="1" ht="46.5" x14ac:dyDescent="0.7">
      <c r="A119" s="91"/>
      <c r="B119" s="94"/>
      <c r="C119" s="92"/>
      <c r="D119" s="92"/>
      <c r="E119" s="92"/>
      <c r="F119" s="92"/>
      <c r="G119" s="92"/>
      <c r="H119" s="92"/>
      <c r="I119" s="93"/>
      <c r="J119" s="92"/>
      <c r="K119" s="99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5"/>
      <c r="AD119" s="158"/>
      <c r="AH119" s="91"/>
    </row>
    <row r="120" spans="1:34" s="98" customFormat="1" ht="66" customHeight="1" x14ac:dyDescent="0.7">
      <c r="A120" s="91"/>
      <c r="B120" s="94"/>
      <c r="C120" s="92"/>
      <c r="D120" s="92"/>
      <c r="E120" s="92"/>
      <c r="F120" s="92"/>
      <c r="G120" s="92"/>
      <c r="H120" s="92"/>
      <c r="I120" s="93"/>
      <c r="J120" s="92"/>
      <c r="K120" s="99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5"/>
      <c r="AD120" s="158"/>
      <c r="AH120" s="91"/>
    </row>
  </sheetData>
  <sheetProtection algorithmName="SHA-512" hashValue="cBL0xSeSQsLH58j6YaKsfwTwrU5hSmZ0D3kO5NIiU8ekI1WSJ6tg4kpHqT18DAtufK2S6z0D/Rc/0wxYwFI73A==" saltValue="MXiRizUqjbrgVY0GnS+z+Q==" spinCount="100000" sheet="1" objects="1" scenarios="1" selectLockedCells="1" autoFilter="0"/>
  <mergeCells count="32">
    <mergeCell ref="S114:U114"/>
    <mergeCell ref="X74:X76"/>
    <mergeCell ref="X78:X80"/>
    <mergeCell ref="X82:X84"/>
    <mergeCell ref="X86:X88"/>
    <mergeCell ref="X90:X92"/>
    <mergeCell ref="X94:X96"/>
    <mergeCell ref="X70:X72"/>
    <mergeCell ref="X26:X28"/>
    <mergeCell ref="X30:X32"/>
    <mergeCell ref="X34:X36"/>
    <mergeCell ref="X38:X40"/>
    <mergeCell ref="X42:X44"/>
    <mergeCell ref="X46:X48"/>
    <mergeCell ref="X50:X52"/>
    <mergeCell ref="X54:X56"/>
    <mergeCell ref="X58:X60"/>
    <mergeCell ref="X62:X64"/>
    <mergeCell ref="X66:X68"/>
    <mergeCell ref="X22:X24"/>
    <mergeCell ref="B1:Z2"/>
    <mergeCell ref="AB1:AC1"/>
    <mergeCell ref="AB2:AC3"/>
    <mergeCell ref="J3:K3"/>
    <mergeCell ref="B4:F4"/>
    <mergeCell ref="J4:K4"/>
    <mergeCell ref="AB4:AC4"/>
    <mergeCell ref="I5:J5"/>
    <mergeCell ref="X6:X8"/>
    <mergeCell ref="X10:X12"/>
    <mergeCell ref="X14:X16"/>
    <mergeCell ref="X18:X20"/>
  </mergeCells>
  <conditionalFormatting sqref="L91:S91">
    <cfRule type="cellIs" dxfId="14026" priority="16" operator="lessThan">
      <formula>0</formula>
    </cfRule>
  </conditionalFormatting>
  <conditionalFormatting sqref="W8 W12 W16 W20 W24 W28 W36 W40 W48 W52 W56 W64 W72 W76 W80 W84 W88 W92">
    <cfRule type="cellIs" dxfId="14025" priority="17" operator="lessThan">
      <formula>0</formula>
    </cfRule>
  </conditionalFormatting>
  <conditionalFormatting sqref="W31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W32">
    <cfRule type="cellIs" dxfId="14024" priority="1" operator="lessThan">
      <formula>0</formula>
    </cfRule>
  </conditionalFormatting>
  <conditionalFormatting sqref="W35 W27 W7 W11 W15 W19 W23 W39 W47 W51 W55 W63 W71 W75 W79 W83 W87 W91">
    <cfRule type="iconSet" priority="18">
      <iconSet>
        <cfvo type="percent" val="0"/>
        <cfvo type="percent" val="&quot;$I$6&quot;"/>
        <cfvo type="percent" val="#REF!"/>
      </iconSet>
    </cfRule>
  </conditionalFormatting>
  <conditionalFormatting sqref="W43">
    <cfRule type="iconSet" priority="8">
      <iconSet>
        <cfvo type="percent" val="0"/>
        <cfvo type="percent" val="&quot;$I$6&quot;"/>
        <cfvo type="percent" val="#REF!"/>
      </iconSet>
    </cfRule>
  </conditionalFormatting>
  <conditionalFormatting sqref="W44">
    <cfRule type="cellIs" dxfId="14023" priority="7" operator="lessThan">
      <formula>0</formula>
    </cfRule>
  </conditionalFormatting>
  <conditionalFormatting sqref="W59">
    <cfRule type="iconSet" priority="5">
      <iconSet>
        <cfvo type="percent" val="0"/>
        <cfvo type="percent" val="&quot;$I$6&quot;"/>
        <cfvo type="percent" val="#REF!"/>
      </iconSet>
    </cfRule>
  </conditionalFormatting>
  <conditionalFormatting sqref="W60">
    <cfRule type="cellIs" dxfId="14022" priority="4" operator="lessThan">
      <formula>0</formula>
    </cfRule>
  </conditionalFormatting>
  <conditionalFormatting sqref="W67">
    <cfRule type="iconSet" priority="11">
      <iconSet>
        <cfvo type="percent" val="0"/>
        <cfvo type="percent" val="&quot;$I$6&quot;"/>
        <cfvo type="percent" val="#REF!"/>
      </iconSet>
    </cfRule>
  </conditionalFormatting>
  <conditionalFormatting sqref="W68">
    <cfRule type="cellIs" dxfId="14021" priority="10" operator="lessThan">
      <formula>0</formula>
    </cfRule>
  </conditionalFormatting>
  <conditionalFormatting sqref="W95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W96">
    <cfRule type="cellIs" dxfId="14020" priority="13" operator="lessThan">
      <formula>0</formula>
    </cfRule>
  </conditionalFormatting>
  <conditionalFormatting sqref="AB2:AC3">
    <cfRule type="cellIs" dxfId="14019" priority="37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/>
  <headerFooter>
    <oddHeader>&amp;L&amp;"-,Bold"&amp;48&amp;T</oddHead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3" id="{883D22B4-29AA-49B5-AF5A-12869DC0EF9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35" id="{2386D233-A358-44A0-B89D-2E23ADB24A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7" id="{FF401300-4DFA-4880-A4C2-57D81E3E89C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20" id="{330C1B59-DACF-46D7-984F-B26847B3589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33" id="{CB17E32E-17BD-47AD-A7D5-5D4063D416A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19" id="{68E470B0-309B-415F-9C39-4D1BCEBF534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3" id="{CF19DDBC-2235-432B-9004-AB6690EDC0D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8" id="{9CCA1E11-5DB9-4CF2-8583-029A6CF812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26" id="{4C242F91-F4E2-47B4-A3A6-D4887B7C047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9" id="{F3AD67BC-D8EF-47F0-932E-0D8CB008AB7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32" id="{E793EB56-1DB8-478E-B056-194EA2716A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36" id="{6F915893-28EF-4055-81BD-446C71D8B1C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25" id="{974FFC0C-D225-4142-835B-F847805406E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6" id="{B8E5E2BC-45EF-4D11-9873-7C69CE22B0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34" id="{FED28944-87B8-483E-82EC-8D4E62F9A67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12" id="{542CBC0D-8374-4F00-AF80-3118FF7988E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29" id="{862051C5-19C6-4EA6-A58E-5AAD5986A3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30" id="{6C39EF8F-8FDD-46CE-89DB-400D3354FB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22" id="{DDBFE5F1-917B-4228-B73B-FACD3EAAE2A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24" id="{D1B9B9C4-F395-41B0-9FC3-041453BB6F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  <x14:conditionalFormatting xmlns:xm="http://schemas.microsoft.com/office/excel/2006/main">
          <x14:cfRule type="iconSet" priority="31" id="{43D3703F-421F-40B5-982A-413502B381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X86</xm:sqref>
        </x14:conditionalFormatting>
        <x14:conditionalFormatting xmlns:xm="http://schemas.microsoft.com/office/excel/2006/main">
          <x14:cfRule type="iconSet" priority="21" id="{3C0BE1B9-C520-4CBD-AC0F-936E8B23FCF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X90</xm:sqref>
        </x14:conditionalFormatting>
        <x14:conditionalFormatting xmlns:xm="http://schemas.microsoft.com/office/excel/2006/main">
          <x14:cfRule type="iconSet" priority="15" id="{F8A1DBEB-7B02-4CC9-BB4A-7C03DCB5FB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X94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00B0F0"/>
  </sheetPr>
  <dimension ref="A1:BD104"/>
  <sheetViews>
    <sheetView zoomScale="23" zoomScaleNormal="23" zoomScaleSheetLayoutView="23" zoomScalePageLayoutView="23" workbookViewId="0">
      <pane xSplit="2" ySplit="5" topLeftCell="J6" activePane="bottomRight" state="frozen"/>
      <selection activeCell="D43" sqref="D43"/>
      <selection pane="topRight" activeCell="D43" sqref="D43"/>
      <selection pane="bottomLeft" activeCell="D43" sqref="D43"/>
      <selection pane="bottomRight" activeCell="AG9" sqref="AG9"/>
    </sheetView>
  </sheetViews>
  <sheetFormatPr defaultColWidth="9.140625" defaultRowHeight="36" x14ac:dyDescent="0.55000000000000004"/>
  <cols>
    <col min="1" max="1" width="1" style="91" customWidth="1"/>
    <col min="2" max="2" width="18.85546875" style="94" customWidth="1"/>
    <col min="3" max="3" width="46.28515625" style="92" customWidth="1"/>
    <col min="4" max="4" width="3.85546875" style="92" hidden="1" customWidth="1"/>
    <col min="5" max="5" width="29.140625" style="92" customWidth="1"/>
    <col min="6" max="6" width="45.7109375" style="92" customWidth="1"/>
    <col min="7" max="7" width="31.140625" style="92" customWidth="1"/>
    <col min="8" max="8" width="45.14062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3.5703125" style="91" customWidth="1"/>
    <col min="25" max="25" width="33.140625" style="91" customWidth="1"/>
    <col min="26" max="26" width="37.42578125" style="91" customWidth="1"/>
    <col min="27" max="27" width="33.140625" style="91" hidden="1" customWidth="1"/>
    <col min="28" max="28" width="32.42578125" style="91" customWidth="1"/>
    <col min="29" max="29" width="30.42578125" style="95" customWidth="1"/>
    <col min="30" max="30" width="26.85546875" style="155" customWidth="1"/>
    <col min="31" max="31" width="32.42578125" style="98" customWidth="1"/>
    <col min="32" max="32" width="34" style="98" customWidth="1"/>
    <col min="33" max="33" width="35.42578125" style="98" customWidth="1"/>
    <col min="34" max="34" width="34.5703125" style="91" customWidth="1"/>
    <col min="35" max="35" width="40.7109375" style="91" customWidth="1"/>
    <col min="36" max="36" width="38.28515625" style="91" customWidth="1"/>
    <col min="37" max="43" width="9.140625" style="91" customWidth="1"/>
    <col min="44" max="44" width="30.28515625" style="91" customWidth="1"/>
    <col min="45" max="100" width="9.140625" style="91" customWidth="1"/>
    <col min="101" max="16384" width="9.140625" style="91"/>
  </cols>
  <sheetData>
    <row r="1" spans="1:35" ht="23.25" customHeight="1" x14ac:dyDescent="0.5">
      <c r="B1" s="526" t="s">
        <v>29</v>
      </c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B1" s="519" t="s">
        <v>81</v>
      </c>
      <c r="AC1" s="519"/>
    </row>
    <row r="2" spans="1:35" ht="67.5" customHeight="1" x14ac:dyDescent="0.7">
      <c r="A2" s="91">
        <v>77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96"/>
      <c r="AB2" s="520">
        <f>+AF2/AE2</f>
        <v>0.84402420728960625</v>
      </c>
      <c r="AC2" s="520"/>
      <c r="AD2" s="250">
        <v>45</v>
      </c>
      <c r="AE2" s="183">
        <f>+SUBTOTAL(9,AE6:AE99)</f>
        <v>382942.5</v>
      </c>
      <c r="AF2" s="183">
        <f>+SUBTOTAL(9,AF6:AF99)</f>
        <v>323212.74000000005</v>
      </c>
    </row>
    <row r="3" spans="1:35" ht="64.5" customHeight="1" x14ac:dyDescent="0.7">
      <c r="B3" s="233"/>
      <c r="C3" s="233"/>
      <c r="D3" s="233"/>
      <c r="E3" s="231"/>
      <c r="F3" s="231"/>
      <c r="G3" s="231"/>
      <c r="H3" s="231"/>
      <c r="I3" s="231"/>
      <c r="J3" s="521" t="s">
        <v>97</v>
      </c>
      <c r="K3" s="521"/>
      <c r="L3" s="147" t="s">
        <v>82</v>
      </c>
      <c r="M3" s="147" t="s">
        <v>267</v>
      </c>
      <c r="N3" s="147" t="s">
        <v>268</v>
      </c>
      <c r="O3" s="147" t="s">
        <v>269</v>
      </c>
      <c r="P3" s="147" t="s">
        <v>270</v>
      </c>
      <c r="Q3" s="147" t="s">
        <v>271</v>
      </c>
      <c r="R3" s="147" t="s">
        <v>272</v>
      </c>
      <c r="S3" s="147" t="s">
        <v>273</v>
      </c>
      <c r="T3" s="147" t="s">
        <v>262</v>
      </c>
      <c r="V3" s="243"/>
      <c r="X3" s="147"/>
      <c r="Y3" s="233"/>
      <c r="Z3" s="233"/>
      <c r="AA3" s="96"/>
      <c r="AB3" s="520"/>
      <c r="AC3" s="520"/>
      <c r="AD3" s="250">
        <v>35</v>
      </c>
      <c r="AE3" s="183"/>
      <c r="AF3" s="183"/>
      <c r="AG3" s="98">
        <v>15</v>
      </c>
    </row>
    <row r="4" spans="1:35" s="141" customFormat="1" ht="79.5" customHeight="1" thickBot="1" x14ac:dyDescent="0.75">
      <c r="B4" s="522" t="s">
        <v>108</v>
      </c>
      <c r="C4" s="522"/>
      <c r="D4" s="522"/>
      <c r="E4" s="522"/>
      <c r="F4" s="522"/>
      <c r="G4" s="217"/>
      <c r="I4" s="142"/>
      <c r="J4" s="523" t="s">
        <v>113</v>
      </c>
      <c r="K4" s="523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5" t="s">
        <v>106</v>
      </c>
      <c r="U4" s="527" t="s">
        <v>313</v>
      </c>
      <c r="V4" s="527"/>
      <c r="W4" s="527"/>
      <c r="X4" s="527"/>
      <c r="Y4" s="170">
        <f>+X83</f>
        <v>4927</v>
      </c>
      <c r="Z4" s="144" t="s">
        <v>28</v>
      </c>
      <c r="AA4" s="145"/>
      <c r="AB4" s="524">
        <v>44786</v>
      </c>
      <c r="AC4" s="524"/>
      <c r="AD4" s="171">
        <f>+SUM(AD6:AD87)</f>
        <v>6338.5</v>
      </c>
      <c r="AE4" s="171">
        <f>+SUM(AE6:AE87)</f>
        <v>382942.5</v>
      </c>
      <c r="AF4" s="171">
        <f>+SUM(AF6:AF87)</f>
        <v>323212.74000000005</v>
      </c>
      <c r="AG4" s="171">
        <f>+SUM(AG6:AG87)</f>
        <v>6213.625</v>
      </c>
    </row>
    <row r="5" spans="1:35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516" t="s">
        <v>95</v>
      </c>
      <c r="J5" s="517"/>
      <c r="K5" s="151"/>
      <c r="L5" s="152" t="s">
        <v>89</v>
      </c>
      <c r="M5" s="150">
        <v>2</v>
      </c>
      <c r="N5" s="150">
        <v>3</v>
      </c>
      <c r="O5" s="150">
        <v>4</v>
      </c>
      <c r="P5" s="150">
        <v>5</v>
      </c>
      <c r="Q5" s="248">
        <v>6</v>
      </c>
      <c r="R5" s="249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/>
      <c r="AD5" s="156"/>
    </row>
    <row r="6" spans="1:35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50</v>
      </c>
      <c r="M6" s="215">
        <v>50</v>
      </c>
      <c r="N6" s="215">
        <v>50</v>
      </c>
      <c r="O6" s="215"/>
      <c r="P6" s="215"/>
      <c r="Q6" s="215"/>
      <c r="R6" s="215"/>
      <c r="S6" s="215"/>
      <c r="T6" s="215"/>
      <c r="U6" s="215"/>
      <c r="W6" s="135"/>
      <c r="X6" s="513">
        <f>+W8</f>
        <v>-2.3333333333333357</v>
      </c>
      <c r="Y6" s="135">
        <f>+SUM(L6:V6)</f>
        <v>150</v>
      </c>
      <c r="Z6" s="136">
        <f>+AA6+Y6</f>
        <v>2450</v>
      </c>
      <c r="AA6" s="136">
        <v>2300</v>
      </c>
      <c r="AB6" s="109"/>
      <c r="AC6" s="110"/>
      <c r="AD6" s="157"/>
      <c r="AE6" s="167"/>
      <c r="AF6" s="167"/>
      <c r="AG6" s="167"/>
      <c r="AH6" s="124"/>
      <c r="AI6" s="91"/>
    </row>
    <row r="7" spans="1:35" s="98" customFormat="1" ht="62.25" customHeight="1" x14ac:dyDescent="0.9">
      <c r="A7" s="124"/>
      <c r="B7" s="132">
        <v>1</v>
      </c>
      <c r="C7" s="111" t="s">
        <v>290</v>
      </c>
      <c r="D7" s="111"/>
      <c r="E7" s="111" t="s">
        <v>274</v>
      </c>
      <c r="F7" s="111" t="s">
        <v>288</v>
      </c>
      <c r="G7" s="111">
        <v>3000</v>
      </c>
      <c r="H7" s="111"/>
      <c r="I7" s="113">
        <v>75.47</v>
      </c>
      <c r="J7" s="130">
        <v>37</v>
      </c>
      <c r="K7" s="101" t="s">
        <v>17</v>
      </c>
      <c r="L7" s="214">
        <v>37</v>
      </c>
      <c r="M7" s="214">
        <v>37</v>
      </c>
      <c r="N7" s="214">
        <v>37</v>
      </c>
      <c r="O7" s="214">
        <v>37</v>
      </c>
      <c r="P7" s="214">
        <v>37</v>
      </c>
      <c r="Q7" s="214">
        <v>37</v>
      </c>
      <c r="R7" s="214">
        <v>19</v>
      </c>
      <c r="S7" s="214">
        <v>19</v>
      </c>
      <c r="T7" s="214"/>
      <c r="U7" s="214"/>
      <c r="V7" s="214"/>
      <c r="W7" s="123">
        <f>+IF(COUNTA(L7:V7)=8,Y7/(COUNTA(L7:V7)-0.5),IF(COUNTA(L7:V7)=0,0,Y7/COUNTA(L7:V7)))</f>
        <v>34.666666666666664</v>
      </c>
      <c r="X7" s="514"/>
      <c r="Y7" s="134">
        <f>+SUM(L7:V7)</f>
        <v>260</v>
      </c>
      <c r="Z7" s="137">
        <f>+Y7+AA7</f>
        <v>2000</v>
      </c>
      <c r="AA7" s="137">
        <v>1740</v>
      </c>
      <c r="AB7" s="140">
        <f>+Z6-Z7</f>
        <v>450</v>
      </c>
      <c r="AC7" s="131">
        <f>+IF(((Y8+(Y9/2))*60)=0,"",(I7*Y7)/((Y8+(Y9/2))*60))</f>
        <v>0.74538271604938278</v>
      </c>
      <c r="AD7" s="157"/>
      <c r="AE7" s="167"/>
      <c r="AF7" s="167">
        <f>+Y7*I7</f>
        <v>19622.2</v>
      </c>
      <c r="AG7" s="167"/>
      <c r="AH7" s="124"/>
      <c r="AI7" s="91"/>
    </row>
    <row r="8" spans="1:35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238"/>
      <c r="H8" s="210"/>
      <c r="I8" s="210">
        <v>2</v>
      </c>
      <c r="J8" s="114" t="s">
        <v>22</v>
      </c>
      <c r="K8" s="102" t="s">
        <v>18</v>
      </c>
      <c r="L8" s="215">
        <v>58</v>
      </c>
      <c r="M8" s="215">
        <v>58</v>
      </c>
      <c r="N8" s="215">
        <v>58</v>
      </c>
      <c r="O8" s="215">
        <v>58</v>
      </c>
      <c r="P8" s="215">
        <v>58</v>
      </c>
      <c r="Q8" s="215">
        <v>58</v>
      </c>
      <c r="R8" s="215">
        <v>58</v>
      </c>
      <c r="S8" s="215">
        <v>58</v>
      </c>
      <c r="T8" s="215"/>
      <c r="U8" s="244"/>
      <c r="V8" s="215"/>
      <c r="W8" s="160">
        <f>+W7-J7</f>
        <v>-2.3333333333333357</v>
      </c>
      <c r="X8" s="514"/>
      <c r="Y8" s="103">
        <f>+SUM(L8:V8)-S8/2</f>
        <v>435</v>
      </c>
      <c r="Z8" s="103"/>
      <c r="AA8" s="103"/>
      <c r="AB8" s="115"/>
      <c r="AC8" s="116"/>
      <c r="AD8" s="157">
        <f>-(R8+(R9/2))*$AD$2/60</f>
        <v>-43.875</v>
      </c>
      <c r="AE8" s="167"/>
      <c r="AF8" s="167"/>
      <c r="AG8" s="167"/>
      <c r="AH8" s="124"/>
      <c r="AI8" s="91"/>
    </row>
    <row r="9" spans="1:35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 t="s">
        <v>289</v>
      </c>
      <c r="I9" s="165">
        <f>+IF(J9="","",IF(J7=0,"",(J7*I7)/(J9*60)))</f>
        <v>0.83106845238095239</v>
      </c>
      <c r="J9" s="118">
        <v>56</v>
      </c>
      <c r="K9" s="104" t="s">
        <v>19</v>
      </c>
      <c r="L9" s="216">
        <v>1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/>
      <c r="U9" s="245"/>
      <c r="V9" s="216"/>
      <c r="W9" s="173"/>
      <c r="X9" s="169">
        <v>17.190000000000001</v>
      </c>
      <c r="Y9" s="105">
        <f>+SUM(L9:V9)-S9/2</f>
        <v>7.5</v>
      </c>
      <c r="Z9" s="105"/>
      <c r="AA9" s="105"/>
      <c r="AB9" s="119">
        <f>+IFERROR(AB7/(J7*9),"")</f>
        <v>1.3513513513513513</v>
      </c>
      <c r="AC9" s="120"/>
      <c r="AD9" s="161">
        <f>+Y8+Y9/2</f>
        <v>438.75</v>
      </c>
      <c r="AE9" s="167">
        <f>+AD9*60</f>
        <v>26325</v>
      </c>
      <c r="AF9" s="167"/>
      <c r="AG9" s="230">
        <f>+AD8+AD9</f>
        <v>394.875</v>
      </c>
      <c r="AH9" s="124"/>
      <c r="AI9" s="91"/>
    </row>
    <row r="10" spans="1:35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5">
        <v>80</v>
      </c>
      <c r="M10" s="215">
        <v>80</v>
      </c>
      <c r="N10" s="215">
        <v>80</v>
      </c>
      <c r="O10" s="215"/>
      <c r="P10" s="215">
        <v>40</v>
      </c>
      <c r="Q10" s="215"/>
      <c r="R10" s="215">
        <v>40</v>
      </c>
      <c r="S10" s="215"/>
      <c r="T10" s="215"/>
      <c r="U10" s="213"/>
      <c r="V10" s="213"/>
      <c r="W10" s="135"/>
      <c r="X10" s="513">
        <f>+W12</f>
        <v>-3.8666666666666671</v>
      </c>
      <c r="Y10" s="135">
        <f>+SUM(L10:V10)</f>
        <v>320</v>
      </c>
      <c r="Z10" s="136">
        <f>+AA10+Y10</f>
        <v>3040</v>
      </c>
      <c r="AA10" s="136">
        <v>2720</v>
      </c>
      <c r="AB10" s="109"/>
      <c r="AC10" s="110"/>
      <c r="AD10" s="157"/>
      <c r="AE10" s="167">
        <f t="shared" ref="AE10:AE73" si="0">+AD10*60</f>
        <v>0</v>
      </c>
      <c r="AF10" s="167"/>
      <c r="AG10" s="167"/>
      <c r="AH10" s="124"/>
      <c r="AI10" s="91"/>
    </row>
    <row r="11" spans="1:35" s="98" customFormat="1" ht="62.25" customHeight="1" x14ac:dyDescent="0.9">
      <c r="A11" s="124"/>
      <c r="B11" s="132">
        <v>2</v>
      </c>
      <c r="C11" s="111" t="s">
        <v>298</v>
      </c>
      <c r="D11" s="111"/>
      <c r="E11" s="111" t="s">
        <v>35</v>
      </c>
      <c r="F11" s="111" t="s">
        <v>299</v>
      </c>
      <c r="G11" s="111">
        <v>8731</v>
      </c>
      <c r="H11" s="111" t="s">
        <v>300</v>
      </c>
      <c r="I11" s="113">
        <v>54.97</v>
      </c>
      <c r="J11" s="130">
        <v>50</v>
      </c>
      <c r="K11" s="101" t="s">
        <v>17</v>
      </c>
      <c r="L11" s="214">
        <v>40</v>
      </c>
      <c r="M11" s="214">
        <v>50</v>
      </c>
      <c r="N11" s="214">
        <v>50</v>
      </c>
      <c r="O11" s="214">
        <v>45</v>
      </c>
      <c r="P11" s="214">
        <v>50</v>
      </c>
      <c r="Q11" s="214">
        <v>50</v>
      </c>
      <c r="R11" s="214">
        <v>36</v>
      </c>
      <c r="S11" s="214">
        <v>25</v>
      </c>
      <c r="T11" s="214"/>
      <c r="U11" s="214"/>
      <c r="V11" s="214"/>
      <c r="W11" s="123">
        <f>+IF(COUNTA(L11:V11)=8,Y11/(COUNTA(L11:V11)-0.5),IF(COUNTA(L11:V11)=0,0,Y11/COUNTA(L11:V11)))</f>
        <v>46.133333333333333</v>
      </c>
      <c r="X11" s="514"/>
      <c r="Y11" s="134">
        <f>+SUM(L11:V11)</f>
        <v>346</v>
      </c>
      <c r="Z11" s="137">
        <f>+Y11+AA11</f>
        <v>2468</v>
      </c>
      <c r="AA11" s="137">
        <v>2122</v>
      </c>
      <c r="AB11" s="140">
        <f>+Z10-Z11</f>
        <v>572</v>
      </c>
      <c r="AC11" s="131">
        <f>+IF(((Y12+(Y13/2))*60)=0,"",(I11*Y11)/((Y12+(Y13/2))*60))</f>
        <v>0.82874161220043574</v>
      </c>
      <c r="AD11" s="157"/>
      <c r="AE11" s="167">
        <f t="shared" si="0"/>
        <v>0</v>
      </c>
      <c r="AF11" s="167">
        <f>+Y11*I11</f>
        <v>19019.62</v>
      </c>
      <c r="AG11" s="167"/>
      <c r="AH11" s="124"/>
      <c r="AI11" s="91"/>
    </row>
    <row r="12" spans="1:35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238"/>
      <c r="H12" s="210"/>
      <c r="I12" s="113">
        <v>2</v>
      </c>
      <c r="J12" s="114" t="s">
        <v>22</v>
      </c>
      <c r="K12" s="102" t="s">
        <v>18</v>
      </c>
      <c r="L12" s="215">
        <v>50</v>
      </c>
      <c r="M12" s="215">
        <v>50</v>
      </c>
      <c r="N12" s="215">
        <v>50</v>
      </c>
      <c r="O12" s="215">
        <v>50</v>
      </c>
      <c r="P12" s="215">
        <v>50</v>
      </c>
      <c r="Q12" s="215">
        <v>50</v>
      </c>
      <c r="R12" s="215">
        <v>50</v>
      </c>
      <c r="S12" s="215">
        <v>50</v>
      </c>
      <c r="T12" s="215"/>
      <c r="U12" s="244"/>
      <c r="V12" s="215"/>
      <c r="W12" s="160">
        <f>+W11-J11</f>
        <v>-3.8666666666666671</v>
      </c>
      <c r="X12" s="514"/>
      <c r="Y12" s="103">
        <f>+SUM(L12:V12)-S12/2</f>
        <v>375</v>
      </c>
      <c r="Z12" s="138"/>
      <c r="AA12" s="138"/>
      <c r="AB12" s="115"/>
      <c r="AC12" s="116"/>
      <c r="AD12" s="157">
        <f>-(R12+(R13/2))*$AD$2/60</f>
        <v>-38.25</v>
      </c>
      <c r="AE12" s="167">
        <f t="shared" si="0"/>
        <v>-2295</v>
      </c>
      <c r="AF12" s="167"/>
      <c r="AG12" s="167"/>
      <c r="AH12" s="124"/>
      <c r="AI12" s="91"/>
    </row>
    <row r="13" spans="1:35" s="98" customFormat="1" ht="62.25" customHeight="1" thickBot="1" x14ac:dyDescent="0.95">
      <c r="A13" s="124"/>
      <c r="B13" s="129">
        <f>+B11</f>
        <v>2</v>
      </c>
      <c r="C13" s="174" t="s">
        <v>275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0.88092948717948716</v>
      </c>
      <c r="J13" s="118">
        <v>52</v>
      </c>
      <c r="K13" s="104" t="s">
        <v>19</v>
      </c>
      <c r="L13" s="216">
        <v>2</v>
      </c>
      <c r="M13" s="216">
        <v>2</v>
      </c>
      <c r="N13" s="216">
        <v>2</v>
      </c>
      <c r="O13" s="216">
        <v>2</v>
      </c>
      <c r="P13" s="216">
        <v>2</v>
      </c>
      <c r="Q13" s="216">
        <v>2</v>
      </c>
      <c r="R13" s="216">
        <v>2</v>
      </c>
      <c r="S13" s="216">
        <v>2</v>
      </c>
      <c r="T13" s="216"/>
      <c r="U13" s="245"/>
      <c r="V13" s="216"/>
      <c r="W13" s="173"/>
      <c r="X13" s="168">
        <f>15.24+(COUNTA(L11:V11)-(Y11/J11))</f>
        <v>16.32</v>
      </c>
      <c r="Y13" s="105">
        <f>+SUM(L13:V13)-S13/2</f>
        <v>15</v>
      </c>
      <c r="Z13" s="139"/>
      <c r="AA13" s="139"/>
      <c r="AB13" s="119">
        <f>+IFERROR(AB11/(J11*9),"")</f>
        <v>1.2711111111111111</v>
      </c>
      <c r="AC13" s="162"/>
      <c r="AD13" s="161">
        <f>+Y12+Y13/2</f>
        <v>382.5</v>
      </c>
      <c r="AE13" s="167">
        <f t="shared" si="0"/>
        <v>22950</v>
      </c>
      <c r="AF13" s="167"/>
      <c r="AG13" s="230">
        <f>+AD12+AD13</f>
        <v>344.25</v>
      </c>
      <c r="AH13" s="124"/>
      <c r="AI13" s="91"/>
    </row>
    <row r="14" spans="1:35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3">
        <v>100</v>
      </c>
      <c r="M14" s="213">
        <v>50</v>
      </c>
      <c r="N14" s="213">
        <v>50</v>
      </c>
      <c r="O14" s="213"/>
      <c r="P14" s="213">
        <v>50</v>
      </c>
      <c r="Q14" s="213">
        <v>50</v>
      </c>
      <c r="R14" s="213"/>
      <c r="S14" s="213"/>
      <c r="T14" s="213"/>
      <c r="U14" s="213"/>
      <c r="V14" s="213"/>
      <c r="W14" s="135"/>
      <c r="X14" s="513">
        <f>+W16</f>
        <v>-0.93333333333333002</v>
      </c>
      <c r="Y14" s="135">
        <f>+SUM(L14:V14)</f>
        <v>300</v>
      </c>
      <c r="Z14" s="136">
        <f>+AA14+Y14</f>
        <v>2350</v>
      </c>
      <c r="AA14" s="136">
        <v>2050</v>
      </c>
      <c r="AB14" s="109"/>
      <c r="AC14" s="110"/>
      <c r="AD14" s="157"/>
      <c r="AE14" s="167">
        <f t="shared" si="0"/>
        <v>0</v>
      </c>
      <c r="AF14" s="167"/>
      <c r="AG14" s="167"/>
      <c r="AH14" s="246" t="s">
        <v>276</v>
      </c>
      <c r="AI14" s="246" t="s">
        <v>287</v>
      </c>
    </row>
    <row r="15" spans="1:35" s="98" customFormat="1" ht="62.25" customHeight="1" x14ac:dyDescent="0.9">
      <c r="A15" s="124"/>
      <c r="B15" s="132">
        <v>3</v>
      </c>
      <c r="C15" s="111" t="s">
        <v>302</v>
      </c>
      <c r="D15" s="111"/>
      <c r="E15" s="111" t="s">
        <v>35</v>
      </c>
      <c r="F15" s="111" t="s">
        <v>277</v>
      </c>
      <c r="G15" s="111">
        <v>3550</v>
      </c>
      <c r="H15" s="111" t="s">
        <v>33</v>
      </c>
      <c r="I15" s="113">
        <v>70.680000000000007</v>
      </c>
      <c r="J15" s="130">
        <v>44</v>
      </c>
      <c r="K15" s="101" t="s">
        <v>17</v>
      </c>
      <c r="L15" s="214">
        <v>50</v>
      </c>
      <c r="M15" s="214">
        <v>50</v>
      </c>
      <c r="N15" s="214">
        <v>50</v>
      </c>
      <c r="O15" s="214">
        <v>45</v>
      </c>
      <c r="P15" s="214">
        <v>50</v>
      </c>
      <c r="Q15" s="214">
        <v>38</v>
      </c>
      <c r="R15" s="214">
        <v>20</v>
      </c>
      <c r="S15" s="214">
        <v>20</v>
      </c>
      <c r="T15" s="214"/>
      <c r="U15" s="214"/>
      <c r="V15" s="214"/>
      <c r="W15" s="123">
        <f>+IF(COUNTA(L15:V15)=8,Y15/(COUNTA(L15:V15)-0.5),IF(COUNTA(L15:V15)=0,0,Y15/COUNTA(L15:V15)))</f>
        <v>43.06666666666667</v>
      </c>
      <c r="X15" s="514"/>
      <c r="Y15" s="134">
        <f>+SUM(L15:V15)</f>
        <v>323</v>
      </c>
      <c r="Z15" s="137">
        <f>+Y15+AA15</f>
        <v>1698</v>
      </c>
      <c r="AA15" s="137">
        <v>1375</v>
      </c>
      <c r="AB15" s="140">
        <f>+Z14-Z15</f>
        <v>652</v>
      </c>
      <c r="AC15" s="131">
        <f>+IF(((Y16+(Y17/2))*60)=0,"",(I15*Y15)/((Y16+(Y17/2))*60))</f>
        <v>0.85264761904761921</v>
      </c>
      <c r="AD15" s="157"/>
      <c r="AE15" s="167">
        <f t="shared" si="0"/>
        <v>0</v>
      </c>
      <c r="AF15" s="167">
        <f>+Y15*I15</f>
        <v>22829.640000000003</v>
      </c>
      <c r="AG15" s="167"/>
      <c r="AH15" s="246">
        <v>1980</v>
      </c>
      <c r="AI15" s="246">
        <v>9732</v>
      </c>
    </row>
    <row r="16" spans="1:35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238" t="s">
        <v>263</v>
      </c>
      <c r="H16" s="210"/>
      <c r="I16" s="113">
        <v>2</v>
      </c>
      <c r="J16" s="114" t="s">
        <v>22</v>
      </c>
      <c r="K16" s="102" t="s">
        <v>18</v>
      </c>
      <c r="L16" s="215">
        <v>57</v>
      </c>
      <c r="M16" s="215">
        <v>57</v>
      </c>
      <c r="N16" s="215">
        <v>57</v>
      </c>
      <c r="O16" s="215">
        <v>57</v>
      </c>
      <c r="P16" s="215">
        <v>57</v>
      </c>
      <c r="Q16" s="215">
        <v>57</v>
      </c>
      <c r="R16" s="215">
        <v>57</v>
      </c>
      <c r="S16" s="215">
        <v>57</v>
      </c>
      <c r="T16" s="215"/>
      <c r="U16" s="244"/>
      <c r="V16" s="215"/>
      <c r="W16" s="160">
        <f>+W15-J15</f>
        <v>-0.93333333333333002</v>
      </c>
      <c r="X16" s="514"/>
      <c r="Y16" s="103">
        <f>+SUM(L16:V16)-S16/2</f>
        <v>427.5</v>
      </c>
      <c r="Z16" s="138"/>
      <c r="AA16" s="138"/>
      <c r="AB16" s="115"/>
      <c r="AC16" s="116"/>
      <c r="AD16" s="157">
        <f>-(R16+(R17/2))*$AD$2/60</f>
        <v>-44.625</v>
      </c>
      <c r="AE16" s="167">
        <f t="shared" si="0"/>
        <v>-2677.5</v>
      </c>
      <c r="AF16" s="167"/>
      <c r="AG16" s="167"/>
      <c r="AH16" s="124"/>
      <c r="AI16" s="91"/>
    </row>
    <row r="17" spans="1:56" s="98" customFormat="1" ht="62.25" customHeight="1" thickBot="1" x14ac:dyDescent="0.95">
      <c r="A17" s="124"/>
      <c r="B17" s="126">
        <f>+B15</f>
        <v>3</v>
      </c>
      <c r="C17" s="174" t="s">
        <v>236</v>
      </c>
      <c r="D17" s="175">
        <f>+D16+100</f>
        <v>103</v>
      </c>
      <c r="E17" s="175"/>
      <c r="F17" s="117" t="s">
        <v>94</v>
      </c>
      <c r="G17" s="117"/>
      <c r="H17" s="159" t="s">
        <v>285</v>
      </c>
      <c r="I17" s="165">
        <f>+IF(J17="","",IF(J15=0,"",(J15*I15)/(J17*60)))</f>
        <v>0.87850847457627124</v>
      </c>
      <c r="J17" s="118">
        <v>59</v>
      </c>
      <c r="K17" s="104" t="s">
        <v>19</v>
      </c>
      <c r="L17" s="216">
        <v>5</v>
      </c>
      <c r="M17" s="216">
        <v>5</v>
      </c>
      <c r="N17" s="216">
        <v>5</v>
      </c>
      <c r="O17" s="216">
        <v>5</v>
      </c>
      <c r="P17" s="216">
        <v>5</v>
      </c>
      <c r="Q17" s="216">
        <v>5</v>
      </c>
      <c r="R17" s="216">
        <v>5</v>
      </c>
      <c r="S17" s="216">
        <v>5</v>
      </c>
      <c r="T17" s="216"/>
      <c r="U17" s="245"/>
      <c r="V17" s="216"/>
      <c r="W17" s="173"/>
      <c r="X17" s="169">
        <v>17</v>
      </c>
      <c r="Y17" s="105">
        <f>+SUM(L17:V17)-S17/2</f>
        <v>37.5</v>
      </c>
      <c r="Z17" s="139"/>
      <c r="AA17" s="139"/>
      <c r="AB17" s="119">
        <f>+IFERROR(AB15/(J15*9),"")</f>
        <v>1.6464646464646464</v>
      </c>
      <c r="AC17" s="120"/>
      <c r="AD17" s="161">
        <f>+Y16+Y17/2</f>
        <v>446.25</v>
      </c>
      <c r="AE17" s="167">
        <f t="shared" si="0"/>
        <v>26775</v>
      </c>
      <c r="AF17" s="167"/>
      <c r="AG17" s="230">
        <f>+AD16+AD17</f>
        <v>401.625</v>
      </c>
      <c r="AH17" s="124"/>
      <c r="AI17" s="91"/>
    </row>
    <row r="18" spans="1:56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100</v>
      </c>
      <c r="M18" s="215">
        <v>100</v>
      </c>
      <c r="N18" s="215">
        <v>100</v>
      </c>
      <c r="O18" s="215"/>
      <c r="P18" s="215"/>
      <c r="Q18" s="215"/>
      <c r="R18" s="215"/>
      <c r="S18" s="215"/>
      <c r="T18" s="215"/>
      <c r="U18" s="213"/>
      <c r="V18" s="213"/>
      <c r="W18" s="135"/>
      <c r="X18" s="513">
        <f>+W20</f>
        <v>1</v>
      </c>
      <c r="Y18" s="135">
        <f>+SUM(L18:V18)</f>
        <v>300</v>
      </c>
      <c r="Z18" s="136">
        <f>+AA18+Y18</f>
        <v>4201</v>
      </c>
      <c r="AA18" s="136">
        <v>3901</v>
      </c>
      <c r="AB18" s="109"/>
      <c r="AC18" s="110"/>
      <c r="AD18" s="157"/>
      <c r="AE18" s="167">
        <f t="shared" si="0"/>
        <v>0</v>
      </c>
      <c r="AF18" s="167"/>
      <c r="AG18" s="167"/>
      <c r="AH18" s="124"/>
      <c r="AI18" s="91"/>
    </row>
    <row r="19" spans="1:56" s="98" customFormat="1" ht="62.25" customHeight="1" x14ac:dyDescent="0.9">
      <c r="A19" s="124"/>
      <c r="B19" s="132">
        <v>4</v>
      </c>
      <c r="C19" s="111" t="s">
        <v>292</v>
      </c>
      <c r="D19" s="111"/>
      <c r="E19" s="111" t="s">
        <v>35</v>
      </c>
      <c r="F19" s="111" t="s">
        <v>293</v>
      </c>
      <c r="G19" s="111">
        <v>11466</v>
      </c>
      <c r="H19" s="111" t="s">
        <v>33</v>
      </c>
      <c r="I19" s="113">
        <v>61.52</v>
      </c>
      <c r="J19" s="130">
        <v>45</v>
      </c>
      <c r="K19" s="101" t="s">
        <v>17</v>
      </c>
      <c r="L19" s="214">
        <v>45</v>
      </c>
      <c r="M19" s="214">
        <v>45</v>
      </c>
      <c r="N19" s="214">
        <v>50</v>
      </c>
      <c r="O19" s="214">
        <v>50</v>
      </c>
      <c r="P19" s="214">
        <v>50</v>
      </c>
      <c r="Q19" s="214">
        <v>50</v>
      </c>
      <c r="R19" s="214">
        <v>30</v>
      </c>
      <c r="S19" s="214">
        <v>25</v>
      </c>
      <c r="T19" s="214"/>
      <c r="U19" s="214"/>
      <c r="V19" s="214"/>
      <c r="W19" s="123">
        <f>+IF(COUNTA(L19:V19)=8,Y19/(COUNTA(L19:V19)-0.5),IF(COUNTA(L19:V19)=0,0,Y19/COUNTA(L19:V19)))</f>
        <v>46</v>
      </c>
      <c r="X19" s="514"/>
      <c r="Y19" s="134">
        <f>+SUM(L19:V19)</f>
        <v>345</v>
      </c>
      <c r="Z19" s="137">
        <f>+Y19+AA19</f>
        <v>3382</v>
      </c>
      <c r="AA19" s="137">
        <v>3037</v>
      </c>
      <c r="AB19" s="140">
        <f>+Z18-Z19</f>
        <v>819</v>
      </c>
      <c r="AC19" s="131">
        <f>+IF(((Y20+(Y21/2))*60)=0,"",(I19*Y19)/((Y20+(Y21/2))*60))</f>
        <v>0.82746198830409368</v>
      </c>
      <c r="AD19" s="157"/>
      <c r="AE19" s="167">
        <f t="shared" si="0"/>
        <v>0</v>
      </c>
      <c r="AF19" s="167">
        <f>+Y19*I19</f>
        <v>21224.400000000001</v>
      </c>
      <c r="AG19" s="167"/>
      <c r="AH19" s="124"/>
      <c r="AI19" s="91"/>
    </row>
    <row r="20" spans="1:56" s="98" customFormat="1" ht="62.25" customHeight="1" x14ac:dyDescent="0.9">
      <c r="A20" s="124"/>
      <c r="B20" s="125">
        <f>+B19</f>
        <v>4</v>
      </c>
      <c r="C20" s="184"/>
      <c r="D20" s="111">
        <f>+B19</f>
        <v>4</v>
      </c>
      <c r="E20" s="111"/>
      <c r="F20" s="112" t="e">
        <f>+VLOOKUP(F19,'Obj Prix'!$H:$H,2,FALSE)</f>
        <v>#N/A</v>
      </c>
      <c r="G20" s="238" t="s">
        <v>263</v>
      </c>
      <c r="H20" s="210"/>
      <c r="I20" s="113">
        <v>1</v>
      </c>
      <c r="J20" s="114" t="s">
        <v>22</v>
      </c>
      <c r="K20" s="102" t="s">
        <v>18</v>
      </c>
      <c r="L20" s="215">
        <v>56</v>
      </c>
      <c r="M20" s="215">
        <v>56</v>
      </c>
      <c r="N20" s="215">
        <v>56</v>
      </c>
      <c r="O20" s="215">
        <v>56</v>
      </c>
      <c r="P20" s="215">
        <v>56</v>
      </c>
      <c r="Q20" s="215">
        <v>56</v>
      </c>
      <c r="R20" s="215">
        <v>56</v>
      </c>
      <c r="S20" s="215">
        <v>56</v>
      </c>
      <c r="T20" s="215"/>
      <c r="U20" s="244"/>
      <c r="V20" s="215"/>
      <c r="W20" s="160">
        <f>+W19-J19</f>
        <v>1</v>
      </c>
      <c r="X20" s="514"/>
      <c r="Y20" s="103">
        <f>+SUM(L20:V20)-S20/2</f>
        <v>420</v>
      </c>
      <c r="Z20" s="138"/>
      <c r="AA20" s="138"/>
      <c r="AB20" s="115"/>
      <c r="AC20" s="116"/>
      <c r="AD20" s="157">
        <f>-(R20+(R21/2))*$AD$2/60</f>
        <v>-42.75</v>
      </c>
      <c r="AE20" s="167">
        <f>+AD20*60</f>
        <v>-2565</v>
      </c>
      <c r="AF20" s="167"/>
      <c r="AG20" s="167"/>
      <c r="AH20" s="124"/>
      <c r="AI20" s="91"/>
    </row>
    <row r="21" spans="1:56" s="98" customFormat="1" ht="62.25" customHeight="1" thickBot="1" x14ac:dyDescent="0.95">
      <c r="A21" s="124"/>
      <c r="B21" s="126">
        <f>+B19</f>
        <v>4</v>
      </c>
      <c r="C21" s="174" t="s">
        <v>96</v>
      </c>
      <c r="D21" s="175">
        <f>+D20+100</f>
        <v>104</v>
      </c>
      <c r="E21" s="175"/>
      <c r="F21" s="117" t="s">
        <v>94</v>
      </c>
      <c r="G21" s="117"/>
      <c r="H21" s="159" t="s">
        <v>301</v>
      </c>
      <c r="I21" s="165">
        <f>+IF(J21="","",IF(J19=0,"",(J19*I19)/(J21*60)))</f>
        <v>0.85444444444444445</v>
      </c>
      <c r="J21" s="118">
        <v>54</v>
      </c>
      <c r="K21" s="104" t="s">
        <v>19</v>
      </c>
      <c r="L21" s="216">
        <v>2</v>
      </c>
      <c r="M21" s="216">
        <v>2</v>
      </c>
      <c r="N21" s="216">
        <v>2</v>
      </c>
      <c r="O21" s="216">
        <v>2</v>
      </c>
      <c r="P21" s="216">
        <v>2</v>
      </c>
      <c r="Q21" s="216">
        <v>2</v>
      </c>
      <c r="R21" s="216">
        <v>2</v>
      </c>
      <c r="S21" s="216">
        <v>2</v>
      </c>
      <c r="T21" s="216"/>
      <c r="U21" s="245"/>
      <c r="V21" s="216"/>
      <c r="W21" s="173"/>
      <c r="X21" s="169">
        <v>27.11</v>
      </c>
      <c r="Y21" s="105">
        <f>+SUM(L21:V21)-S21/2</f>
        <v>15</v>
      </c>
      <c r="Z21" s="139"/>
      <c r="AA21" s="139"/>
      <c r="AB21" s="119">
        <f>+IFERROR(AB19/(J19*9),"")</f>
        <v>2.0222222222222221</v>
      </c>
      <c r="AC21" s="120"/>
      <c r="AD21" s="161">
        <f>+Y20+Y21/2</f>
        <v>427.5</v>
      </c>
      <c r="AE21" s="167">
        <f t="shared" si="0"/>
        <v>25650</v>
      </c>
      <c r="AF21" s="167"/>
      <c r="AG21" s="230">
        <f>+AD20+AD21</f>
        <v>384.75</v>
      </c>
      <c r="AH21" s="124"/>
      <c r="AI21" s="91"/>
    </row>
    <row r="22" spans="1:56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5">
        <v>100</v>
      </c>
      <c r="M22" s="215">
        <v>100</v>
      </c>
      <c r="N22" s="215">
        <v>100</v>
      </c>
      <c r="O22" s="215"/>
      <c r="P22" s="215">
        <v>73</v>
      </c>
      <c r="Q22" s="215"/>
      <c r="R22" s="215"/>
      <c r="S22" s="215"/>
      <c r="T22" s="213"/>
      <c r="U22" s="213"/>
      <c r="V22" s="213"/>
      <c r="W22" s="135"/>
      <c r="X22" s="513">
        <f>+W24</f>
        <v>-3.4666666666666686</v>
      </c>
      <c r="Y22" s="135">
        <f>+SUM(L22:V22)</f>
        <v>373</v>
      </c>
      <c r="Z22" s="136">
        <f>+AA22+Y22</f>
        <v>2171</v>
      </c>
      <c r="AA22" s="136">
        <v>1798</v>
      </c>
      <c r="AB22" s="121"/>
      <c r="AC22" s="110"/>
      <c r="AD22" s="157"/>
      <c r="AE22" s="167">
        <f t="shared" si="0"/>
        <v>0</v>
      </c>
      <c r="AF22" s="167"/>
      <c r="AG22" s="167"/>
      <c r="AH22" s="124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</row>
    <row r="23" spans="1:56" ht="62.25" customHeight="1" x14ac:dyDescent="0.9">
      <c r="A23" s="124"/>
      <c r="B23" s="132">
        <v>5</v>
      </c>
      <c r="C23" s="111" t="s">
        <v>304</v>
      </c>
      <c r="D23" s="111"/>
      <c r="E23" s="111" t="s">
        <v>35</v>
      </c>
      <c r="F23" s="111" t="s">
        <v>305</v>
      </c>
      <c r="G23" s="111">
        <v>5000</v>
      </c>
      <c r="H23" s="111" t="s">
        <v>33</v>
      </c>
      <c r="I23" s="113">
        <v>66.739999999999995</v>
      </c>
      <c r="J23" s="130">
        <v>50</v>
      </c>
      <c r="K23" s="101" t="s">
        <v>17</v>
      </c>
      <c r="L23" s="214">
        <v>50</v>
      </c>
      <c r="M23" s="214">
        <v>50</v>
      </c>
      <c r="N23" s="214">
        <v>50</v>
      </c>
      <c r="O23" s="214">
        <v>50</v>
      </c>
      <c r="P23" s="214">
        <v>50</v>
      </c>
      <c r="Q23" s="214">
        <v>40</v>
      </c>
      <c r="R23" s="214">
        <v>35</v>
      </c>
      <c r="S23" s="214">
        <v>24</v>
      </c>
      <c r="T23" s="214"/>
      <c r="U23" s="214"/>
      <c r="V23" s="214"/>
      <c r="W23" s="123">
        <f>+IF(COUNTA(L23:V23)=8,Y23/(COUNTA(L23:V23)-0.5),IF(COUNTA(L23:V23)=0,0,Y23/COUNTA(L23:V23)))</f>
        <v>46.533333333333331</v>
      </c>
      <c r="X23" s="514"/>
      <c r="Y23" s="134">
        <f>+SUM(L23:V23)</f>
        <v>349</v>
      </c>
      <c r="Z23" s="137">
        <f>+Y23+AA23</f>
        <v>1301</v>
      </c>
      <c r="AA23" s="137">
        <v>952</v>
      </c>
      <c r="AB23" s="140">
        <f>+Z22-Z23</f>
        <v>870</v>
      </c>
      <c r="AC23" s="131">
        <f>+IF(((Y24+(Y25/2))*60)=0,"",(I23*Y23)/((Y24+(Y25/2))*60))</f>
        <v>0.86267629629629627</v>
      </c>
      <c r="AD23" s="157"/>
      <c r="AE23" s="167">
        <f t="shared" si="0"/>
        <v>0</v>
      </c>
      <c r="AF23" s="167">
        <f>+Y23*I23</f>
        <v>23292.26</v>
      </c>
      <c r="AG23" s="167"/>
      <c r="AH23" s="124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</row>
    <row r="24" spans="1:56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238" t="s">
        <v>263</v>
      </c>
      <c r="H24" s="210"/>
      <c r="I24" s="210">
        <v>2</v>
      </c>
      <c r="J24" s="114" t="s">
        <v>22</v>
      </c>
      <c r="K24" s="102" t="s">
        <v>18</v>
      </c>
      <c r="L24" s="215">
        <v>59</v>
      </c>
      <c r="M24" s="215">
        <v>59</v>
      </c>
      <c r="N24" s="215">
        <v>59</v>
      </c>
      <c r="O24" s="215">
        <v>59</v>
      </c>
      <c r="P24" s="215">
        <v>59</v>
      </c>
      <c r="Q24" s="215">
        <v>59</v>
      </c>
      <c r="R24" s="215">
        <v>59</v>
      </c>
      <c r="S24" s="215">
        <v>59</v>
      </c>
      <c r="T24" s="215"/>
      <c r="U24" s="215"/>
      <c r="V24" s="215"/>
      <c r="W24" s="160">
        <f>+W23-J23</f>
        <v>-3.4666666666666686</v>
      </c>
      <c r="X24" s="514"/>
      <c r="Y24" s="103">
        <f>+SUM(L24:V24)-S24/2</f>
        <v>442.5</v>
      </c>
      <c r="Z24" s="138"/>
      <c r="AA24" s="138"/>
      <c r="AB24" s="122"/>
      <c r="AC24" s="116"/>
      <c r="AD24" s="157">
        <f>-(R24+(R25/2))*$AD$2/60</f>
        <v>-45</v>
      </c>
      <c r="AE24" s="167">
        <f t="shared" si="0"/>
        <v>-2700</v>
      </c>
      <c r="AF24" s="167"/>
      <c r="AG24" s="167"/>
      <c r="AH24" s="124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56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59" t="s">
        <v>301</v>
      </c>
      <c r="I25" s="165">
        <f>+IF(J25="","",IF(J23=0,"",(J23*I23)/(J25*60)))</f>
        <v>0.94265536723163834</v>
      </c>
      <c r="J25" s="118">
        <v>59</v>
      </c>
      <c r="K25" s="104" t="s">
        <v>19</v>
      </c>
      <c r="L25" s="216">
        <v>2</v>
      </c>
      <c r="M25" s="216">
        <v>2</v>
      </c>
      <c r="N25" s="216">
        <v>2</v>
      </c>
      <c r="O25" s="216">
        <v>2</v>
      </c>
      <c r="P25" s="216">
        <v>2</v>
      </c>
      <c r="Q25" s="216">
        <v>2</v>
      </c>
      <c r="R25" s="216">
        <v>2</v>
      </c>
      <c r="S25" s="216">
        <v>2</v>
      </c>
      <c r="T25" s="216"/>
      <c r="U25" s="216"/>
      <c r="V25" s="216"/>
      <c r="W25" s="173"/>
      <c r="X25" s="168">
        <f>16.85+(COUNTA(L23:V23)-(Y23/J23))</f>
        <v>17.87</v>
      </c>
      <c r="Y25" s="105">
        <f>+SUM(L25:V25)-S25/2</f>
        <v>15</v>
      </c>
      <c r="Z25" s="139"/>
      <c r="AA25" s="139"/>
      <c r="AB25" s="119">
        <f>+IFERROR(AB23/(J23*9),"")</f>
        <v>1.9333333333333333</v>
      </c>
      <c r="AC25" s="120"/>
      <c r="AD25" s="161">
        <f>+Y24+Y25/2</f>
        <v>450</v>
      </c>
      <c r="AE25" s="167">
        <f t="shared" si="0"/>
        <v>27000</v>
      </c>
      <c r="AF25" s="167"/>
      <c r="AG25" s="230">
        <f>+AD24+AD25</f>
        <v>405</v>
      </c>
      <c r="AH25" s="124"/>
      <c r="AI25" s="91"/>
    </row>
    <row r="26" spans="1:56" ht="62.25" customHeight="1" thickTop="1" x14ac:dyDescent="0.9">
      <c r="A26" s="124"/>
      <c r="B26" s="127">
        <f>+B27</f>
        <v>6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3">
        <v>40</v>
      </c>
      <c r="M26" s="213">
        <v>40</v>
      </c>
      <c r="N26" s="213">
        <v>40</v>
      </c>
      <c r="O26" s="213">
        <v>40</v>
      </c>
      <c r="P26" s="213">
        <v>40</v>
      </c>
      <c r="Q26" s="213">
        <v>40</v>
      </c>
      <c r="R26" s="213">
        <v>40</v>
      </c>
      <c r="S26" s="213">
        <v>40</v>
      </c>
      <c r="T26" s="213"/>
      <c r="U26" s="213"/>
      <c r="V26" s="213"/>
      <c r="W26" s="135"/>
      <c r="X26" s="513">
        <f>+W28</f>
        <v>-19.600000000000001</v>
      </c>
      <c r="Y26" s="135">
        <f>+SUM(L26:V26)</f>
        <v>320</v>
      </c>
      <c r="Z26" s="136">
        <f>+AA26+Y26</f>
        <v>2400</v>
      </c>
      <c r="AA26" s="136">
        <v>2080</v>
      </c>
      <c r="AB26" s="121"/>
      <c r="AC26" s="110"/>
      <c r="AD26" s="157"/>
      <c r="AE26" s="167">
        <f t="shared" si="0"/>
        <v>0</v>
      </c>
      <c r="AF26" s="167"/>
      <c r="AG26" s="167"/>
      <c r="AH26" s="124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</row>
    <row r="27" spans="1:56" ht="62.25" customHeight="1" x14ac:dyDescent="0.9">
      <c r="A27" s="124"/>
      <c r="B27" s="132">
        <v>6</v>
      </c>
      <c r="C27" s="111" t="s">
        <v>298</v>
      </c>
      <c r="D27" s="111"/>
      <c r="E27" s="111" t="s">
        <v>35</v>
      </c>
      <c r="F27" s="111" t="s">
        <v>299</v>
      </c>
      <c r="G27" s="111">
        <v>8731</v>
      </c>
      <c r="H27" s="111" t="s">
        <v>300</v>
      </c>
      <c r="I27" s="113">
        <v>60.17</v>
      </c>
      <c r="J27" s="130">
        <v>50</v>
      </c>
      <c r="K27" s="101" t="s">
        <v>17</v>
      </c>
      <c r="L27" s="214">
        <v>20</v>
      </c>
      <c r="M27" s="214">
        <v>24</v>
      </c>
      <c r="N27" s="214">
        <v>20</v>
      </c>
      <c r="O27" s="214">
        <v>40</v>
      </c>
      <c r="P27" s="214">
        <v>40</v>
      </c>
      <c r="Q27" s="214">
        <v>24</v>
      </c>
      <c r="R27" s="214">
        <v>40</v>
      </c>
      <c r="S27" s="214">
        <v>20</v>
      </c>
      <c r="T27" s="214"/>
      <c r="U27" s="214"/>
      <c r="V27" s="214"/>
      <c r="W27" s="123">
        <f>+IF(COUNTA(L27:V27)=8,Y27/(COUNTA(L27:V27)-0.5),IF(COUNTA(L27:V27)=0,0,Y27/COUNTA(L27:V27)))</f>
        <v>30.4</v>
      </c>
      <c r="X27" s="514"/>
      <c r="Y27" s="134">
        <f>+SUM(L27:V27)</f>
        <v>228</v>
      </c>
      <c r="Z27" s="137">
        <f>+Y27+AA27</f>
        <v>1593</v>
      </c>
      <c r="AA27" s="137">
        <v>1365</v>
      </c>
      <c r="AB27" s="140">
        <f>+Z26-Z27</f>
        <v>807</v>
      </c>
      <c r="AC27" s="131">
        <f>+IF(((Y28+(Y29/2))*60)=0,"",(I27*Y27)/((Y28+(Y29/2))*60))</f>
        <v>0.60368580858085807</v>
      </c>
      <c r="AD27" s="157"/>
      <c r="AE27" s="167">
        <f t="shared" si="0"/>
        <v>0</v>
      </c>
      <c r="AF27" s="167">
        <f>+Y27*I27</f>
        <v>13718.76</v>
      </c>
      <c r="AG27" s="167"/>
      <c r="AH27" s="124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</row>
    <row r="28" spans="1:56" ht="62.25" customHeight="1" x14ac:dyDescent="0.9">
      <c r="A28" s="124"/>
      <c r="B28" s="125">
        <f>+B27</f>
        <v>6</v>
      </c>
      <c r="C28" s="184"/>
      <c r="D28" s="111">
        <f>+B27</f>
        <v>6</v>
      </c>
      <c r="E28" s="111"/>
      <c r="F28" s="112" t="e">
        <f>+VLOOKUP(F27,'Obj Prix'!$H:$H,2,FALSE)</f>
        <v>#N/A</v>
      </c>
      <c r="G28" s="238" t="s">
        <v>263</v>
      </c>
      <c r="H28" s="210"/>
      <c r="I28" s="113">
        <v>2</v>
      </c>
      <c r="J28" s="114" t="s">
        <v>22</v>
      </c>
      <c r="K28" s="102" t="s">
        <v>18</v>
      </c>
      <c r="L28" s="215">
        <v>48</v>
      </c>
      <c r="M28" s="215">
        <v>48</v>
      </c>
      <c r="N28" s="215">
        <v>48</v>
      </c>
      <c r="O28" s="215">
        <v>48</v>
      </c>
      <c r="P28" s="215">
        <v>48</v>
      </c>
      <c r="Q28" s="215">
        <v>48</v>
      </c>
      <c r="R28" s="215">
        <v>48</v>
      </c>
      <c r="S28" s="215">
        <v>48</v>
      </c>
      <c r="T28" s="215"/>
      <c r="U28" s="244"/>
      <c r="V28" s="215"/>
      <c r="W28" s="160">
        <f>+W27-J27</f>
        <v>-19.600000000000001</v>
      </c>
      <c r="X28" s="514"/>
      <c r="Y28" s="103">
        <f>+SUM(L28:V28)-S28/2</f>
        <v>360</v>
      </c>
      <c r="Z28" s="138"/>
      <c r="AA28" s="138"/>
      <c r="AB28" s="122"/>
      <c r="AC28" s="116"/>
      <c r="AD28" s="157">
        <f>-(R28+(R29/2))*$AD$2/60</f>
        <v>-37.875</v>
      </c>
      <c r="AE28" s="167">
        <f t="shared" si="0"/>
        <v>-2272.5</v>
      </c>
      <c r="AF28" s="167"/>
      <c r="AG28" s="167"/>
      <c r="AH28" s="124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</row>
    <row r="29" spans="1:56" s="98" customFormat="1" ht="62.25" customHeight="1" thickBot="1" x14ac:dyDescent="0.95">
      <c r="A29" s="124"/>
      <c r="B29" s="129">
        <f>+B27</f>
        <v>6</v>
      </c>
      <c r="C29" s="174" t="s">
        <v>307</v>
      </c>
      <c r="D29" s="175">
        <f>+D28+100</f>
        <v>106</v>
      </c>
      <c r="E29" s="175"/>
      <c r="F29" s="117" t="s">
        <v>111</v>
      </c>
      <c r="G29" s="117"/>
      <c r="H29" s="159" t="s">
        <v>303</v>
      </c>
      <c r="I29" s="165">
        <f>+IF(J29="","",IF(J27=0,"",(J27*I27)/(J29*60)))</f>
        <v>0.89538690476190474</v>
      </c>
      <c r="J29" s="118">
        <v>56</v>
      </c>
      <c r="K29" s="104" t="s">
        <v>19</v>
      </c>
      <c r="L29" s="216">
        <v>5</v>
      </c>
      <c r="M29" s="216">
        <v>5</v>
      </c>
      <c r="N29" s="216">
        <v>5</v>
      </c>
      <c r="O29" s="216">
        <v>5</v>
      </c>
      <c r="P29" s="216">
        <v>5</v>
      </c>
      <c r="Q29" s="216">
        <v>5</v>
      </c>
      <c r="R29" s="216">
        <v>5</v>
      </c>
      <c r="S29" s="216">
        <v>5</v>
      </c>
      <c r="T29" s="216"/>
      <c r="U29" s="245"/>
      <c r="V29" s="216"/>
      <c r="W29" s="173"/>
      <c r="X29" s="168">
        <f>36.96+(COUNTA(L27:V27)-(Y27/J27))</f>
        <v>40.4</v>
      </c>
      <c r="Y29" s="105">
        <f>+SUM(L29:V29)-S29/2</f>
        <v>37.5</v>
      </c>
      <c r="Z29" s="139"/>
      <c r="AA29" s="139"/>
      <c r="AB29" s="119">
        <f>+IFERROR(AB27/(J27*9),"")</f>
        <v>1.7933333333333332</v>
      </c>
      <c r="AC29" s="120"/>
      <c r="AD29" s="161">
        <f>+Y28+Y29/2</f>
        <v>378.75</v>
      </c>
      <c r="AE29" s="167">
        <f t="shared" si="0"/>
        <v>22725</v>
      </c>
      <c r="AF29" s="167"/>
      <c r="AG29" s="230">
        <f>+AD28+AD29</f>
        <v>340.875</v>
      </c>
      <c r="AH29" s="124"/>
      <c r="AI29" s="91"/>
    </row>
    <row r="30" spans="1:56" s="98" customFormat="1" ht="65.25" customHeight="1" thickTop="1" x14ac:dyDescent="0.9">
      <c r="A30" s="124"/>
      <c r="B30" s="127">
        <f>+B31</f>
        <v>7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5"/>
      <c r="M30" s="215"/>
      <c r="N30" s="215"/>
      <c r="O30" s="215"/>
      <c r="P30" s="215"/>
      <c r="Q30" s="215"/>
      <c r="R30" s="215"/>
      <c r="S30" s="215"/>
      <c r="T30" s="215"/>
      <c r="U30" s="215"/>
      <c r="V30" s="213"/>
      <c r="W30" s="135"/>
      <c r="X30" s="513">
        <f>+W32</f>
        <v>-4</v>
      </c>
      <c r="Y30" s="135">
        <f>+SUM(L30:V30)</f>
        <v>0</v>
      </c>
      <c r="Z30" s="136">
        <f>+AA30+Y30</f>
        <v>2950</v>
      </c>
      <c r="AA30" s="136">
        <v>2950</v>
      </c>
      <c r="AB30" s="121"/>
      <c r="AC30" s="110"/>
      <c r="AD30" s="157"/>
      <c r="AE30" s="167">
        <f t="shared" si="0"/>
        <v>0</v>
      </c>
      <c r="AF30" s="167"/>
      <c r="AG30" s="167"/>
      <c r="AH30" s="246" t="s">
        <v>276</v>
      </c>
      <c r="AI30" s="246" t="s">
        <v>287</v>
      </c>
    </row>
    <row r="31" spans="1:56" s="98" customFormat="1" ht="62.25" customHeight="1" x14ac:dyDescent="0.9">
      <c r="A31" s="124"/>
      <c r="B31" s="132">
        <v>7</v>
      </c>
      <c r="C31" s="111" t="s">
        <v>302</v>
      </c>
      <c r="D31" s="111"/>
      <c r="E31" s="111" t="s">
        <v>35</v>
      </c>
      <c r="F31" s="111" t="s">
        <v>277</v>
      </c>
      <c r="G31" s="111">
        <v>2950</v>
      </c>
      <c r="H31" s="111" t="s">
        <v>33</v>
      </c>
      <c r="I31" s="113">
        <v>70.680000000000007</v>
      </c>
      <c r="J31" s="130">
        <v>44</v>
      </c>
      <c r="K31" s="101" t="s">
        <v>17</v>
      </c>
      <c r="L31" s="214">
        <v>35</v>
      </c>
      <c r="M31" s="214">
        <v>45</v>
      </c>
      <c r="N31" s="214">
        <v>50</v>
      </c>
      <c r="O31" s="214">
        <v>60</v>
      </c>
      <c r="P31" s="214">
        <v>40</v>
      </c>
      <c r="Q31" s="214">
        <v>20</v>
      </c>
      <c r="R31" s="214">
        <v>30</v>
      </c>
      <c r="S31" s="214">
        <v>20</v>
      </c>
      <c r="T31" s="214"/>
      <c r="U31" s="214"/>
      <c r="V31" s="214"/>
      <c r="W31" s="123">
        <f>+IF(COUNTA(L31:V31)=8,Y31/(COUNTA(L31:V31)-0.5),IF(COUNTA(L31:V31)=0,0,Y31/COUNTA(L31:V31)))</f>
        <v>40</v>
      </c>
      <c r="X31" s="514"/>
      <c r="Y31" s="134">
        <f>+SUM(L31:V31)</f>
        <v>300</v>
      </c>
      <c r="Z31" s="137">
        <f>+Y31+AA31</f>
        <v>2922</v>
      </c>
      <c r="AA31" s="137">
        <v>2622</v>
      </c>
      <c r="AB31" s="140">
        <f>+Z30-Z31</f>
        <v>28</v>
      </c>
      <c r="AC31" s="131">
        <f>+IF(((Y32+(Y33/2))*60)=0,"",(I31*Y31)/((Y32+(Y33/2))*60))</f>
        <v>0.80272572402044307</v>
      </c>
      <c r="AD31" s="157"/>
      <c r="AE31" s="167">
        <f t="shared" si="0"/>
        <v>0</v>
      </c>
      <c r="AF31" s="167">
        <f>+Y31*I31</f>
        <v>21204.000000000004</v>
      </c>
      <c r="AG31" s="167"/>
      <c r="AH31" s="246">
        <v>3448</v>
      </c>
      <c r="AI31" s="246">
        <v>8448</v>
      </c>
    </row>
    <row r="32" spans="1:56" s="98" customFormat="1" ht="62.25" customHeight="1" x14ac:dyDescent="0.9">
      <c r="A32" s="124"/>
      <c r="B32" s="125">
        <f>+B31</f>
        <v>7</v>
      </c>
      <c r="C32" s="184"/>
      <c r="D32" s="111">
        <f>+B31</f>
        <v>7</v>
      </c>
      <c r="E32" s="111"/>
      <c r="F32" s="112" t="e">
        <f>+VLOOKUP(F31,'Obj Prix'!$H:$H,2,FALSE)</f>
        <v>#N/A</v>
      </c>
      <c r="G32" s="238" t="s">
        <v>263</v>
      </c>
      <c r="H32" s="210"/>
      <c r="I32" s="210">
        <v>3</v>
      </c>
      <c r="J32" s="114" t="s">
        <v>22</v>
      </c>
      <c r="K32" s="102" t="s">
        <v>18</v>
      </c>
      <c r="L32" s="215">
        <v>52</v>
      </c>
      <c r="M32" s="215">
        <v>58</v>
      </c>
      <c r="N32" s="215">
        <v>58</v>
      </c>
      <c r="O32" s="215">
        <v>58</v>
      </c>
      <c r="P32" s="215">
        <v>58</v>
      </c>
      <c r="Q32" s="215">
        <v>58</v>
      </c>
      <c r="R32" s="215">
        <v>58</v>
      </c>
      <c r="S32" s="215">
        <v>58</v>
      </c>
      <c r="T32" s="215"/>
      <c r="U32" s="244"/>
      <c r="V32" s="215"/>
      <c r="W32" s="160">
        <f>+W31-J31</f>
        <v>-4</v>
      </c>
      <c r="X32" s="514"/>
      <c r="Y32" s="103">
        <f>+SUM(L32:V32)-S32/2</f>
        <v>429</v>
      </c>
      <c r="Z32" s="138"/>
      <c r="AA32" s="138"/>
      <c r="AB32" s="122"/>
      <c r="AC32" s="116"/>
      <c r="AD32" s="157">
        <f>-(R32+(R33/2))*$AD$2/60</f>
        <v>-44.625</v>
      </c>
      <c r="AE32" s="167">
        <f t="shared" si="0"/>
        <v>-2677.5</v>
      </c>
      <c r="AF32" s="167"/>
      <c r="AG32" s="167"/>
      <c r="AH32" s="124"/>
      <c r="AI32" s="91"/>
    </row>
    <row r="33" spans="1:35" s="98" customFormat="1" ht="62.25" customHeight="1" thickBot="1" x14ac:dyDescent="0.95">
      <c r="A33" s="124"/>
      <c r="B33" s="126">
        <f>+B31</f>
        <v>7</v>
      </c>
      <c r="C33" s="174" t="s">
        <v>93</v>
      </c>
      <c r="D33" s="175">
        <f>+D32+100</f>
        <v>107</v>
      </c>
      <c r="E33" s="175"/>
      <c r="F33" s="117" t="s">
        <v>94</v>
      </c>
      <c r="G33" s="218"/>
      <c r="H33" s="159" t="s">
        <v>285</v>
      </c>
      <c r="I33" s="165">
        <f>+IF(J33="","",IF(J31=0,"",(J31*I31)/(J33*60)))</f>
        <v>0.89365517241379311</v>
      </c>
      <c r="J33" s="118">
        <v>58</v>
      </c>
      <c r="K33" s="104" t="s">
        <v>19</v>
      </c>
      <c r="L33" s="216">
        <v>3</v>
      </c>
      <c r="M33" s="216">
        <v>3</v>
      </c>
      <c r="N33" s="216">
        <v>3</v>
      </c>
      <c r="O33" s="216">
        <v>3</v>
      </c>
      <c r="P33" s="216">
        <v>3</v>
      </c>
      <c r="Q33" s="216">
        <v>3</v>
      </c>
      <c r="R33" s="216">
        <v>3</v>
      </c>
      <c r="S33" s="216">
        <v>3</v>
      </c>
      <c r="T33" s="216"/>
      <c r="U33" s="245"/>
      <c r="V33" s="216"/>
      <c r="W33" s="173"/>
      <c r="X33" s="169">
        <v>18.920000000000002</v>
      </c>
      <c r="Y33" s="105">
        <f>+SUM(L33:V33)-S33/2</f>
        <v>22.5</v>
      </c>
      <c r="Z33" s="139"/>
      <c r="AA33" s="139"/>
      <c r="AB33" s="119">
        <f>+IFERROR(AB31/(J31*9),"")</f>
        <v>7.0707070707070704E-2</v>
      </c>
      <c r="AC33" s="120"/>
      <c r="AD33" s="161">
        <f>+Y32+Y33/2</f>
        <v>440.25</v>
      </c>
      <c r="AE33" s="167">
        <f t="shared" si="0"/>
        <v>26415</v>
      </c>
      <c r="AF33" s="167"/>
      <c r="AG33" s="230">
        <f>+AD32+AD33</f>
        <v>395.625</v>
      </c>
      <c r="AH33" s="124"/>
      <c r="AI33" s="91"/>
    </row>
    <row r="34" spans="1:35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5"/>
      <c r="M34" s="215">
        <v>50</v>
      </c>
      <c r="N34" s="215"/>
      <c r="O34" s="215">
        <v>50</v>
      </c>
      <c r="P34" s="215">
        <v>50</v>
      </c>
      <c r="Q34" s="215"/>
      <c r="R34" s="215">
        <v>50</v>
      </c>
      <c r="S34" s="215"/>
      <c r="T34" s="215"/>
      <c r="U34" s="215"/>
      <c r="V34" s="213"/>
      <c r="W34" s="135"/>
      <c r="X34" s="513">
        <f>+W36</f>
        <v>-44</v>
      </c>
      <c r="Y34" s="135">
        <f>+SUM(L34:V34)</f>
        <v>200</v>
      </c>
      <c r="Z34" s="136">
        <f>+AA34+Y34</f>
        <v>300</v>
      </c>
      <c r="AA34" s="136">
        <v>100</v>
      </c>
      <c r="AB34" s="121"/>
      <c r="AC34" s="110"/>
      <c r="AD34" s="157"/>
      <c r="AE34" s="167">
        <f t="shared" si="0"/>
        <v>0</v>
      </c>
      <c r="AF34" s="167"/>
      <c r="AG34" s="167"/>
      <c r="AH34" s="246" t="s">
        <v>276</v>
      </c>
      <c r="AI34" s="246" t="s">
        <v>287</v>
      </c>
    </row>
    <row r="35" spans="1:35" s="98" customFormat="1" ht="62.25" customHeight="1" x14ac:dyDescent="0.9">
      <c r="A35" s="124"/>
      <c r="B35" s="132">
        <v>7</v>
      </c>
      <c r="C35" s="111" t="s">
        <v>309</v>
      </c>
      <c r="D35" s="111"/>
      <c r="E35" s="111" t="s">
        <v>35</v>
      </c>
      <c r="F35" s="111" t="s">
        <v>310</v>
      </c>
      <c r="G35" s="111">
        <v>16000</v>
      </c>
      <c r="H35" s="111" t="s">
        <v>33</v>
      </c>
      <c r="I35" s="113">
        <v>70.680000000000007</v>
      </c>
      <c r="J35" s="130">
        <v>44</v>
      </c>
      <c r="K35" s="101" t="s">
        <v>17</v>
      </c>
      <c r="L35" s="214"/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123">
        <f>+IF(COUNTA(L35:V35)=8,Y35/(COUNTA(L35:V35)-0.5),IF(COUNTA(L35:V35)=0,0,Y35/COUNTA(L35:V35)))</f>
        <v>0</v>
      </c>
      <c r="X35" s="514"/>
      <c r="Y35" s="134">
        <f>+SUM(L35:V35)</f>
        <v>0</v>
      </c>
      <c r="Z35" s="137">
        <f>+Y35+AA35</f>
        <v>0</v>
      </c>
      <c r="AA35" s="137">
        <v>0</v>
      </c>
      <c r="AB35" s="140">
        <f>+Z34-Z35</f>
        <v>300</v>
      </c>
      <c r="AC35" s="131" t="str">
        <f>+IF(((Y36+(Y37/2))*60)=0,"",(I35*Y35)/((Y36+(Y37/2))*60))</f>
        <v/>
      </c>
      <c r="AD35" s="157"/>
      <c r="AE35" s="167">
        <f t="shared" si="0"/>
        <v>0</v>
      </c>
      <c r="AF35" s="167">
        <f>+Y35*I35</f>
        <v>0</v>
      </c>
      <c r="AG35" s="167"/>
      <c r="AH35" s="246">
        <v>3448</v>
      </c>
      <c r="AI35" s="246">
        <v>8448</v>
      </c>
    </row>
    <row r="36" spans="1:35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238"/>
      <c r="H36" s="210"/>
      <c r="I36" s="210"/>
      <c r="J36" s="114" t="s">
        <v>22</v>
      </c>
      <c r="K36" s="102" t="s">
        <v>18</v>
      </c>
      <c r="L36" s="215"/>
      <c r="M36" s="215"/>
      <c r="N36" s="215"/>
      <c r="O36" s="215"/>
      <c r="P36" s="215"/>
      <c r="Q36" s="215"/>
      <c r="R36" s="215"/>
      <c r="S36" s="215"/>
      <c r="T36" s="215"/>
      <c r="U36" s="244"/>
      <c r="V36" s="215"/>
      <c r="W36" s="160">
        <f>+W35-J35</f>
        <v>-44</v>
      </c>
      <c r="X36" s="514"/>
      <c r="Y36" s="103">
        <f>+SUM(L36:V36)-S36/2</f>
        <v>0</v>
      </c>
      <c r="Z36" s="138"/>
      <c r="AA36" s="138"/>
      <c r="AB36" s="122"/>
      <c r="AC36" s="116"/>
      <c r="AD36" s="157">
        <f>-(R36+(R37/2))*$AD$2/60</f>
        <v>0</v>
      </c>
      <c r="AE36" s="167">
        <f t="shared" si="0"/>
        <v>0</v>
      </c>
      <c r="AF36" s="167"/>
      <c r="AG36" s="167"/>
      <c r="AH36" s="124"/>
      <c r="AI36" s="91"/>
    </row>
    <row r="37" spans="1:35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94</v>
      </c>
      <c r="G37" s="218"/>
      <c r="H37" s="159"/>
      <c r="I37" s="165">
        <f>+IF(J37="","",IF(J35=0,"",(J35*I35)/(J37*60)))</f>
        <v>0.89365517241379311</v>
      </c>
      <c r="J37" s="118">
        <v>58</v>
      </c>
      <c r="K37" s="104" t="s">
        <v>19</v>
      </c>
      <c r="L37" s="216"/>
      <c r="M37" s="216"/>
      <c r="N37" s="216"/>
      <c r="O37" s="216"/>
      <c r="P37" s="216"/>
      <c r="Q37" s="216"/>
      <c r="R37" s="216"/>
      <c r="S37" s="216"/>
      <c r="T37" s="216"/>
      <c r="U37" s="245"/>
      <c r="V37" s="216"/>
      <c r="W37" s="173"/>
      <c r="X37" s="169"/>
      <c r="Y37" s="105">
        <f>+SUM(L37:V37)-S37/2</f>
        <v>0</v>
      </c>
      <c r="Z37" s="139"/>
      <c r="AA37" s="139"/>
      <c r="AB37" s="119">
        <f>+IFERROR(AB35/(J35*9),"")</f>
        <v>0.75757575757575757</v>
      </c>
      <c r="AC37" s="120"/>
      <c r="AD37" s="161">
        <f>+Y36+Y37/2</f>
        <v>0</v>
      </c>
      <c r="AE37" s="167">
        <f t="shared" si="0"/>
        <v>0</v>
      </c>
      <c r="AF37" s="167"/>
      <c r="AG37" s="230"/>
      <c r="AH37" s="124"/>
      <c r="AI37" s="91"/>
    </row>
    <row r="38" spans="1:35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5">
        <v>40</v>
      </c>
      <c r="M38" s="215">
        <v>40</v>
      </c>
      <c r="N38" s="215">
        <v>40</v>
      </c>
      <c r="O38" s="215">
        <v>40</v>
      </c>
      <c r="P38" s="215">
        <v>40</v>
      </c>
      <c r="Q38" s="215">
        <v>40</v>
      </c>
      <c r="R38" s="215">
        <v>40</v>
      </c>
      <c r="S38" s="215">
        <v>40</v>
      </c>
      <c r="T38" s="215"/>
      <c r="U38" s="213"/>
      <c r="V38" s="213"/>
      <c r="W38" s="135"/>
      <c r="X38" s="513">
        <f>+W40</f>
        <v>-50</v>
      </c>
      <c r="Y38" s="135">
        <f>+SUM(L38:V38)</f>
        <v>320</v>
      </c>
      <c r="Z38" s="136">
        <f>+AA38+Y38</f>
        <v>760</v>
      </c>
      <c r="AA38" s="136">
        <v>440</v>
      </c>
      <c r="AB38" s="109"/>
      <c r="AC38" s="110"/>
      <c r="AD38" s="157"/>
      <c r="AE38" s="167">
        <f>+AD38*60</f>
        <v>0</v>
      </c>
      <c r="AF38" s="167"/>
      <c r="AG38" s="167"/>
      <c r="AH38" s="124"/>
    </row>
    <row r="39" spans="1:35" ht="62.25" customHeight="1" x14ac:dyDescent="0.9">
      <c r="A39" s="124"/>
      <c r="B39" s="132">
        <v>8</v>
      </c>
      <c r="C39" s="111" t="s">
        <v>298</v>
      </c>
      <c r="D39" s="111"/>
      <c r="E39" s="111" t="s">
        <v>35</v>
      </c>
      <c r="F39" s="111" t="s">
        <v>299</v>
      </c>
      <c r="G39" s="111">
        <v>8731</v>
      </c>
      <c r="H39" s="111" t="s">
        <v>300</v>
      </c>
      <c r="I39" s="113">
        <v>60.17</v>
      </c>
      <c r="J39" s="130">
        <v>50</v>
      </c>
      <c r="K39" s="101" t="s">
        <v>17</v>
      </c>
      <c r="L39" s="214">
        <v>0</v>
      </c>
      <c r="M39" s="214">
        <v>0</v>
      </c>
      <c r="N39" s="214">
        <v>0</v>
      </c>
      <c r="O39" s="214">
        <v>0</v>
      </c>
      <c r="P39" s="214">
        <v>0</v>
      </c>
      <c r="Q39" s="214">
        <v>0</v>
      </c>
      <c r="R39" s="214">
        <v>0</v>
      </c>
      <c r="S39" s="214">
        <v>0</v>
      </c>
      <c r="T39" s="214"/>
      <c r="U39" s="214"/>
      <c r="V39" s="214"/>
      <c r="W39" s="123">
        <f>+IF(COUNTA(L39:V39)=8,Y39/(COUNTA(L39:V39)-0.5),IF(COUNTA(L39:V39)=0,0,Y39/COUNTA(L39:V39)))</f>
        <v>0</v>
      </c>
      <c r="X39" s="514"/>
      <c r="Y39" s="134">
        <f>+SUM(L39:V39)</f>
        <v>0</v>
      </c>
      <c r="Z39" s="137">
        <f>+Y39+AA39</f>
        <v>0</v>
      </c>
      <c r="AA39" s="137">
        <v>0</v>
      </c>
      <c r="AB39" s="140">
        <f>+Z38-Z39</f>
        <v>760</v>
      </c>
      <c r="AC39" s="131">
        <f>+IF(((Y40+(Y41/2))*60)=0,"",(I39*Y39)/((Y40+(Y41/2))*60))</f>
        <v>0</v>
      </c>
      <c r="AD39" s="157"/>
      <c r="AE39" s="167">
        <f>+AD39*60</f>
        <v>0</v>
      </c>
      <c r="AF39" s="167">
        <f>+Y39*I39</f>
        <v>0</v>
      </c>
      <c r="AG39" s="167"/>
      <c r="AH39" s="124"/>
    </row>
    <row r="40" spans="1:35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238"/>
      <c r="H40" s="210"/>
      <c r="I40" s="113"/>
      <c r="J40" s="114" t="s">
        <v>22</v>
      </c>
      <c r="K40" s="102" t="s">
        <v>18</v>
      </c>
      <c r="L40" s="215">
        <v>36</v>
      </c>
      <c r="M40" s="215">
        <v>36</v>
      </c>
      <c r="N40" s="215">
        <v>36</v>
      </c>
      <c r="O40" s="215">
        <v>36</v>
      </c>
      <c r="P40" s="215">
        <v>36</v>
      </c>
      <c r="Q40" s="215">
        <v>36</v>
      </c>
      <c r="R40" s="215">
        <v>36</v>
      </c>
      <c r="S40" s="215">
        <v>36</v>
      </c>
      <c r="T40" s="215"/>
      <c r="U40" s="215"/>
      <c r="V40" s="215"/>
      <c r="W40" s="160">
        <f>+W39-J39</f>
        <v>-50</v>
      </c>
      <c r="X40" s="514"/>
      <c r="Y40" s="103">
        <f>+SUM(L40:V40)-S40/2</f>
        <v>270</v>
      </c>
      <c r="Z40" s="138"/>
      <c r="AA40" s="138"/>
      <c r="AB40" s="115"/>
      <c r="AC40" s="116"/>
      <c r="AD40" s="157">
        <f>-(R40+(R41/2))*$AD$2/60</f>
        <v>-27.75</v>
      </c>
      <c r="AE40" s="167">
        <f>+AD40*60</f>
        <v>-1665</v>
      </c>
      <c r="AF40" s="167"/>
      <c r="AG40" s="167"/>
      <c r="AH40" s="124"/>
    </row>
    <row r="41" spans="1:35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203</v>
      </c>
      <c r="G41" s="117"/>
      <c r="H41" s="159" t="s">
        <v>306</v>
      </c>
      <c r="I41" s="165">
        <f>+IF(J41="","",IF(J39=0,"",(J39*I39)/(J41*60)))</f>
        <v>0.89538690476190474</v>
      </c>
      <c r="J41" s="118">
        <v>56</v>
      </c>
      <c r="K41" s="104" t="s">
        <v>19</v>
      </c>
      <c r="L41" s="216">
        <v>2</v>
      </c>
      <c r="M41" s="216">
        <v>2</v>
      </c>
      <c r="N41" s="216">
        <v>2</v>
      </c>
      <c r="O41" s="216">
        <v>2</v>
      </c>
      <c r="P41" s="216">
        <v>2</v>
      </c>
      <c r="Q41" s="216">
        <v>2</v>
      </c>
      <c r="R41" s="216">
        <v>2</v>
      </c>
      <c r="S41" s="216">
        <v>2</v>
      </c>
      <c r="T41" s="216"/>
      <c r="U41" s="216"/>
      <c r="V41" s="216"/>
      <c r="W41" s="173"/>
      <c r="X41" s="168">
        <f>4.94+(COUNTA(L39:V39)-(Y39/J39))</f>
        <v>12.940000000000001</v>
      </c>
      <c r="Y41" s="105">
        <f>+SUM(L41:V41)-S41/2</f>
        <v>15</v>
      </c>
      <c r="Z41" s="139"/>
      <c r="AA41" s="139"/>
      <c r="AB41" s="119">
        <f>+IFERROR(AB39/(J39*9),"")</f>
        <v>1.6888888888888889</v>
      </c>
      <c r="AC41" s="120"/>
      <c r="AD41" s="161">
        <f>+Y40+Y41/2</f>
        <v>277.5</v>
      </c>
      <c r="AE41" s="167">
        <f>+AD41*60</f>
        <v>16650</v>
      </c>
      <c r="AF41" s="167"/>
      <c r="AG41" s="230">
        <f>+(AD40+AD41)/2</f>
        <v>124.875</v>
      </c>
      <c r="AH41" s="124"/>
      <c r="AI41" s="91"/>
    </row>
    <row r="42" spans="1:35" ht="62.25" customHeight="1" thickTop="1" x14ac:dyDescent="0.9">
      <c r="A42" s="124"/>
      <c r="B42" s="127">
        <f>+B43</f>
        <v>9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5">
        <v>50</v>
      </c>
      <c r="M42" s="215">
        <v>50</v>
      </c>
      <c r="N42" s="215">
        <v>50</v>
      </c>
      <c r="O42" s="215"/>
      <c r="P42" s="215">
        <v>50</v>
      </c>
      <c r="Q42" s="215">
        <v>50</v>
      </c>
      <c r="R42" s="215">
        <v>50</v>
      </c>
      <c r="S42" s="215"/>
      <c r="T42" s="215"/>
      <c r="U42" s="213"/>
      <c r="V42" s="213"/>
      <c r="W42" s="135"/>
      <c r="X42" s="513">
        <f>+W44</f>
        <v>-1.3333333333333357</v>
      </c>
      <c r="Y42" s="135">
        <f>+SUM(L42:V42)</f>
        <v>300</v>
      </c>
      <c r="Z42" s="136">
        <f>+AA42+Y42</f>
        <v>2600</v>
      </c>
      <c r="AA42" s="136">
        <v>2300</v>
      </c>
      <c r="AB42" s="109"/>
      <c r="AC42" s="110"/>
      <c r="AD42" s="157"/>
      <c r="AE42" s="167">
        <f t="shared" si="0"/>
        <v>0</v>
      </c>
      <c r="AF42" s="167"/>
      <c r="AG42" s="167"/>
      <c r="AH42" s="246" t="s">
        <v>276</v>
      </c>
      <c r="AI42" s="246" t="s">
        <v>287</v>
      </c>
    </row>
    <row r="43" spans="1:35" ht="62.25" customHeight="1" x14ac:dyDescent="0.9">
      <c r="A43" s="124"/>
      <c r="B43" s="133">
        <v>9</v>
      </c>
      <c r="C43" s="111" t="s">
        <v>302</v>
      </c>
      <c r="D43" s="111"/>
      <c r="E43" s="111" t="s">
        <v>35</v>
      </c>
      <c r="F43" s="111" t="s">
        <v>277</v>
      </c>
      <c r="G43" s="111">
        <v>4000</v>
      </c>
      <c r="H43" s="111" t="s">
        <v>33</v>
      </c>
      <c r="I43" s="113">
        <v>70.680000000000007</v>
      </c>
      <c r="J43" s="130">
        <v>44</v>
      </c>
      <c r="K43" s="101" t="s">
        <v>17</v>
      </c>
      <c r="L43" s="214">
        <v>25</v>
      </c>
      <c r="M43" s="214">
        <v>30</v>
      </c>
      <c r="N43" s="214">
        <v>45</v>
      </c>
      <c r="O43" s="214">
        <v>50</v>
      </c>
      <c r="P43" s="214">
        <v>50</v>
      </c>
      <c r="Q43" s="214">
        <v>45</v>
      </c>
      <c r="R43" s="214">
        <v>50</v>
      </c>
      <c r="S43" s="214">
        <v>25</v>
      </c>
      <c r="T43" s="214"/>
      <c r="U43" s="214"/>
      <c r="V43" s="214"/>
      <c r="W43" s="123">
        <f>+IF(COUNTA(L43:V43)=8,Y43/(COUNTA(L43:V43)-0.5),IF(COUNTA(L43:V43)=0,0,Y43/COUNTA(L43:V43)))</f>
        <v>42.666666666666664</v>
      </c>
      <c r="X43" s="514"/>
      <c r="Y43" s="134">
        <f>+SUM(L43:V43)</f>
        <v>320</v>
      </c>
      <c r="Z43" s="137">
        <f>+Y43+AA43</f>
        <v>1725</v>
      </c>
      <c r="AA43" s="137">
        <v>1405</v>
      </c>
      <c r="AB43" s="140">
        <f>+Z42-Z43</f>
        <v>875</v>
      </c>
      <c r="AC43" s="131">
        <f>+IF(((Y44+(Y45/2))*60)=0,"",(I43*Y43)/((Y44+(Y45/2))*60))</f>
        <v>0.92222629969418968</v>
      </c>
      <c r="AD43" s="157"/>
      <c r="AE43" s="167">
        <f t="shared" si="0"/>
        <v>0</v>
      </c>
      <c r="AF43" s="167">
        <f>+Y43*I43</f>
        <v>22617.600000000002</v>
      </c>
      <c r="AG43" s="167"/>
      <c r="AH43" s="246">
        <v>1197</v>
      </c>
      <c r="AI43" s="246">
        <v>8950</v>
      </c>
    </row>
    <row r="44" spans="1:35" ht="62.25" customHeight="1" x14ac:dyDescent="0.9">
      <c r="A44" s="124"/>
      <c r="B44" s="125">
        <f>+B43</f>
        <v>9</v>
      </c>
      <c r="C44" s="184"/>
      <c r="D44" s="111">
        <f>+B43</f>
        <v>9</v>
      </c>
      <c r="E44" s="111"/>
      <c r="F44" s="112" t="e">
        <f>+VLOOKUP(F43,'Obj Prix'!$H:$H,2,FALSE)</f>
        <v>#N/A</v>
      </c>
      <c r="G44" s="238" t="s">
        <v>263</v>
      </c>
      <c r="H44" s="210"/>
      <c r="I44" s="210">
        <v>2</v>
      </c>
      <c r="J44" s="114" t="s">
        <v>22</v>
      </c>
      <c r="K44" s="102" t="s">
        <v>18</v>
      </c>
      <c r="L44" s="215">
        <v>54</v>
      </c>
      <c r="M44" s="215">
        <v>54</v>
      </c>
      <c r="N44" s="215">
        <v>54</v>
      </c>
      <c r="O44" s="215">
        <v>54</v>
      </c>
      <c r="P44" s="215">
        <v>54</v>
      </c>
      <c r="Q44" s="215">
        <v>54</v>
      </c>
      <c r="R44" s="215">
        <v>54</v>
      </c>
      <c r="S44" s="215">
        <v>54</v>
      </c>
      <c r="T44" s="215"/>
      <c r="U44" s="244"/>
      <c r="V44" s="215"/>
      <c r="W44" s="160">
        <f>+W43-J43</f>
        <v>-1.3333333333333357</v>
      </c>
      <c r="X44" s="514"/>
      <c r="Y44" s="103">
        <f>+SUM(L44:V44)-S44/2</f>
        <v>405</v>
      </c>
      <c r="Z44" s="138"/>
      <c r="AA44" s="138"/>
      <c r="AB44" s="115"/>
      <c r="AC44" s="116"/>
      <c r="AD44" s="157">
        <f>-(R44+(R45/2))*$AD$2/60</f>
        <v>-40.875</v>
      </c>
      <c r="AE44" s="167">
        <f t="shared" si="0"/>
        <v>-2452.5</v>
      </c>
      <c r="AF44" s="167"/>
      <c r="AG44" s="167"/>
      <c r="AH44" s="124"/>
    </row>
    <row r="45" spans="1:35" s="98" customFormat="1" ht="62.25" customHeight="1" thickBot="1" x14ac:dyDescent="0.95">
      <c r="A45" s="124"/>
      <c r="B45" s="126">
        <f>+B43</f>
        <v>9</v>
      </c>
      <c r="C45" s="174" t="s">
        <v>75</v>
      </c>
      <c r="D45" s="175">
        <f>+D44+100</f>
        <v>109</v>
      </c>
      <c r="E45" s="175"/>
      <c r="F45" s="117" t="s">
        <v>94</v>
      </c>
      <c r="G45" s="117"/>
      <c r="H45" s="159" t="s">
        <v>285</v>
      </c>
      <c r="I45" s="165">
        <f>+IF(J45="","",IF(J43=0,"",(J43*I43)/(J45*60)))</f>
        <v>0.87850847457627124</v>
      </c>
      <c r="J45" s="118">
        <v>59</v>
      </c>
      <c r="K45" s="104" t="s">
        <v>19</v>
      </c>
      <c r="L45" s="216">
        <v>1</v>
      </c>
      <c r="M45" s="216">
        <v>1</v>
      </c>
      <c r="N45" s="216">
        <v>1</v>
      </c>
      <c r="O45" s="216">
        <v>1</v>
      </c>
      <c r="P45" s="216">
        <v>1</v>
      </c>
      <c r="Q45" s="216">
        <v>1</v>
      </c>
      <c r="R45" s="216">
        <v>1</v>
      </c>
      <c r="S45" s="216">
        <v>1</v>
      </c>
      <c r="T45" s="216"/>
      <c r="U45" s="216"/>
      <c r="V45" s="216"/>
      <c r="W45" s="173"/>
      <c r="X45" s="169">
        <v>22.04</v>
      </c>
      <c r="Y45" s="105">
        <f>+SUM(L45:V45)-S45/2</f>
        <v>7.5</v>
      </c>
      <c r="Z45" s="139"/>
      <c r="AA45" s="139"/>
      <c r="AB45" s="119">
        <f>+IFERROR(AB43/(J43*9),"")</f>
        <v>2.2095959595959598</v>
      </c>
      <c r="AC45" s="120"/>
      <c r="AD45" s="161">
        <f>+Y44+Y45/2</f>
        <v>408.75</v>
      </c>
      <c r="AE45" s="167">
        <f t="shared" si="0"/>
        <v>24525</v>
      </c>
      <c r="AF45" s="167"/>
      <c r="AG45" s="230">
        <f>+AD44+AD45</f>
        <v>367.875</v>
      </c>
      <c r="AH45" s="124"/>
      <c r="AI45" s="91"/>
    </row>
    <row r="46" spans="1:35" ht="62.25" customHeight="1" thickTop="1" x14ac:dyDescent="0.9">
      <c r="A46" s="124"/>
      <c r="B46" s="127">
        <f>+B47</f>
        <v>11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3">
        <v>100</v>
      </c>
      <c r="M46" s="213">
        <v>100</v>
      </c>
      <c r="N46" s="213">
        <v>50</v>
      </c>
      <c r="O46" s="213"/>
      <c r="P46" s="213"/>
      <c r="Q46" s="213"/>
      <c r="R46" s="213"/>
      <c r="S46" s="213"/>
      <c r="T46" s="213"/>
      <c r="U46" s="213"/>
      <c r="V46" s="213"/>
      <c r="W46" s="135"/>
      <c r="X46" s="513">
        <f>+W48</f>
        <v>-3.93333333333333</v>
      </c>
      <c r="Y46" s="135">
        <f>+SUM(L46:V46)</f>
        <v>250</v>
      </c>
      <c r="Z46" s="136">
        <f>+AA46+Y46</f>
        <v>4965</v>
      </c>
      <c r="AA46" s="136">
        <v>4715</v>
      </c>
      <c r="AB46" s="109"/>
      <c r="AC46" s="110"/>
      <c r="AD46" s="157"/>
      <c r="AE46" s="167">
        <f t="shared" si="0"/>
        <v>0</v>
      </c>
      <c r="AF46" s="167"/>
      <c r="AG46" s="167"/>
      <c r="AH46" s="124"/>
    </row>
    <row r="47" spans="1:35" ht="62.25" customHeight="1" x14ac:dyDescent="0.9">
      <c r="A47" s="124"/>
      <c r="B47" s="132">
        <v>11</v>
      </c>
      <c r="C47" s="111" t="s">
        <v>292</v>
      </c>
      <c r="D47" s="111"/>
      <c r="E47" s="111" t="s">
        <v>35</v>
      </c>
      <c r="F47" s="111" t="s">
        <v>293</v>
      </c>
      <c r="G47" s="111">
        <v>11466</v>
      </c>
      <c r="H47" s="111" t="s">
        <v>33</v>
      </c>
      <c r="I47" s="113">
        <v>61.52</v>
      </c>
      <c r="J47" s="130">
        <v>45</v>
      </c>
      <c r="K47" s="101" t="s">
        <v>17</v>
      </c>
      <c r="L47" s="214">
        <v>48</v>
      </c>
      <c r="M47" s="214">
        <v>30</v>
      </c>
      <c r="N47" s="214">
        <v>48</v>
      </c>
      <c r="O47" s="214">
        <v>40</v>
      </c>
      <c r="P47" s="214">
        <v>48</v>
      </c>
      <c r="Q47" s="214">
        <v>26</v>
      </c>
      <c r="R47" s="214">
        <v>43</v>
      </c>
      <c r="S47" s="214">
        <v>25</v>
      </c>
      <c r="T47" s="214"/>
      <c r="U47" s="214"/>
      <c r="V47" s="214"/>
      <c r="W47" s="123">
        <f>+IF(COUNTA(L47:V47)=8,Y47/(COUNTA(L47:V47)-0.5),IF(COUNTA(L47:V47)=0,0,Y47/COUNTA(L47:V47)))</f>
        <v>41.06666666666667</v>
      </c>
      <c r="X47" s="514"/>
      <c r="Y47" s="134">
        <f>+SUM(L47:V47)</f>
        <v>308</v>
      </c>
      <c r="Z47" s="137">
        <f>+Y47+AA47</f>
        <v>4308</v>
      </c>
      <c r="AA47" s="137">
        <v>4000</v>
      </c>
      <c r="AB47" s="140">
        <f>+Z46-Z47</f>
        <v>657</v>
      </c>
      <c r="AC47" s="131">
        <f>+IF(((Y48+(Y49/2))*60)=0,"",(I47*Y47)/((Y48+(Y49/2))*60))</f>
        <v>0.80819620388142466</v>
      </c>
      <c r="AD47" s="157"/>
      <c r="AE47" s="167">
        <f t="shared" si="0"/>
        <v>0</v>
      </c>
      <c r="AF47" s="167">
        <f>+Y47*I47</f>
        <v>18948.16</v>
      </c>
      <c r="AG47" s="167"/>
      <c r="AH47" s="124"/>
    </row>
    <row r="48" spans="1:35" ht="62.25" customHeight="1" x14ac:dyDescent="0.9">
      <c r="A48" s="124"/>
      <c r="B48" s="125">
        <f>+B47</f>
        <v>11</v>
      </c>
      <c r="C48" s="184"/>
      <c r="D48" s="111"/>
      <c r="E48" s="111"/>
      <c r="F48" s="112" t="e">
        <f>+VLOOKUP(F47,'Obj Prix'!$H:$H,2,FALSE)</f>
        <v>#N/A</v>
      </c>
      <c r="G48" s="238" t="s">
        <v>263</v>
      </c>
      <c r="H48" s="210"/>
      <c r="I48" s="210">
        <v>2</v>
      </c>
      <c r="J48" s="114" t="s">
        <v>22</v>
      </c>
      <c r="K48" s="102" t="s">
        <v>18</v>
      </c>
      <c r="L48" s="215">
        <v>49</v>
      </c>
      <c r="M48" s="215">
        <v>50</v>
      </c>
      <c r="N48" s="215">
        <v>51</v>
      </c>
      <c r="O48" s="215">
        <v>51</v>
      </c>
      <c r="P48" s="215">
        <v>51</v>
      </c>
      <c r="Q48" s="215">
        <v>51</v>
      </c>
      <c r="R48" s="215">
        <v>51</v>
      </c>
      <c r="S48" s="215">
        <v>51</v>
      </c>
      <c r="T48" s="215"/>
      <c r="U48" s="244"/>
      <c r="V48" s="215"/>
      <c r="W48" s="160">
        <f>+W47-J47</f>
        <v>-3.93333333333333</v>
      </c>
      <c r="X48" s="514"/>
      <c r="Y48" s="103">
        <f>+SUM(L48:V48)-S48/2</f>
        <v>379.5</v>
      </c>
      <c r="Z48" s="138"/>
      <c r="AA48" s="138"/>
      <c r="AB48" s="115"/>
      <c r="AC48" s="116"/>
      <c r="AD48" s="157">
        <f>-(R48+(R49/2))*$AD$2/60</f>
        <v>-39.375</v>
      </c>
      <c r="AE48" s="167">
        <f t="shared" si="0"/>
        <v>-2362.5</v>
      </c>
      <c r="AF48" s="167"/>
      <c r="AG48" s="167"/>
      <c r="AH48" s="124"/>
    </row>
    <row r="49" spans="1:35" s="98" customFormat="1" ht="62.25" customHeight="1" thickBot="1" x14ac:dyDescent="0.95">
      <c r="A49" s="124"/>
      <c r="B49" s="126">
        <f>+B47</f>
        <v>11</v>
      </c>
      <c r="C49" s="174" t="s">
        <v>175</v>
      </c>
      <c r="D49" s="175">
        <f>+D48+100</f>
        <v>100</v>
      </c>
      <c r="E49" s="175"/>
      <c r="F49" s="117" t="s">
        <v>94</v>
      </c>
      <c r="G49" s="117"/>
      <c r="H49" s="159" t="s">
        <v>301</v>
      </c>
      <c r="I49" s="165">
        <f>+IF(J49="","",IF(J47=0,"",(J47*I47)/(J49*60)))</f>
        <v>0.85444444444444445</v>
      </c>
      <c r="J49" s="118">
        <v>54</v>
      </c>
      <c r="K49" s="104" t="s">
        <v>19</v>
      </c>
      <c r="L49" s="216">
        <v>3</v>
      </c>
      <c r="M49" s="216">
        <v>3</v>
      </c>
      <c r="N49" s="216">
        <v>3</v>
      </c>
      <c r="O49" s="216">
        <v>3</v>
      </c>
      <c r="P49" s="216">
        <v>3</v>
      </c>
      <c r="Q49" s="216">
        <v>3</v>
      </c>
      <c r="R49" s="216">
        <v>3</v>
      </c>
      <c r="S49" s="216">
        <v>3</v>
      </c>
      <c r="T49" s="216"/>
      <c r="U49" s="245"/>
      <c r="V49" s="216"/>
      <c r="W49" s="173"/>
      <c r="X49" s="169">
        <v>24.27</v>
      </c>
      <c r="Y49" s="105">
        <f>+SUM(L49:V49)-S49/2</f>
        <v>22.5</v>
      </c>
      <c r="Z49" s="139"/>
      <c r="AA49" s="139"/>
      <c r="AB49" s="119">
        <f>+IFERROR(AB47/(J47*9),"")</f>
        <v>1.6222222222222222</v>
      </c>
      <c r="AC49" s="120"/>
      <c r="AD49" s="161">
        <f>+Y48+Y49/2</f>
        <v>390.75</v>
      </c>
      <c r="AE49" s="167">
        <f t="shared" si="0"/>
        <v>23445</v>
      </c>
      <c r="AF49" s="167"/>
      <c r="AG49" s="230">
        <f>+AD48+AD49</f>
        <v>351.375</v>
      </c>
      <c r="AH49" s="124"/>
      <c r="AI49" s="91"/>
    </row>
    <row r="50" spans="1:35" ht="62.25" customHeight="1" thickTop="1" x14ac:dyDescent="0.9">
      <c r="A50" s="124"/>
      <c r="B50" s="127">
        <f>+B51</f>
        <v>12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3">
        <v>60</v>
      </c>
      <c r="M50" s="213">
        <v>60</v>
      </c>
      <c r="N50" s="213">
        <v>60</v>
      </c>
      <c r="O50" s="213">
        <v>60</v>
      </c>
      <c r="P50" s="213"/>
      <c r="Q50" s="213">
        <v>60</v>
      </c>
      <c r="R50" s="213"/>
      <c r="S50" s="213"/>
      <c r="T50" s="213"/>
      <c r="U50" s="213"/>
      <c r="V50" s="213"/>
      <c r="W50" s="135"/>
      <c r="X50" s="513">
        <f>+W52</f>
        <v>-7.4666666666666686</v>
      </c>
      <c r="Y50" s="135">
        <f>+SUM(L50:V50)</f>
        <v>300</v>
      </c>
      <c r="Z50" s="136">
        <f>+AA50+Y50</f>
        <v>2999</v>
      </c>
      <c r="AA50" s="136">
        <v>2699</v>
      </c>
      <c r="AB50" s="121"/>
      <c r="AC50" s="110"/>
      <c r="AD50" s="157"/>
      <c r="AE50" s="167">
        <f t="shared" si="0"/>
        <v>0</v>
      </c>
      <c r="AF50" s="167"/>
      <c r="AG50" s="167"/>
      <c r="AH50" s="246" t="s">
        <v>291</v>
      </c>
    </row>
    <row r="51" spans="1:35" ht="62.25" customHeight="1" x14ac:dyDescent="0.9">
      <c r="A51" s="124"/>
      <c r="B51" s="132">
        <v>12</v>
      </c>
      <c r="C51" s="111" t="s">
        <v>294</v>
      </c>
      <c r="D51" s="111"/>
      <c r="E51" s="111" t="s">
        <v>35</v>
      </c>
      <c r="F51" s="111" t="s">
        <v>297</v>
      </c>
      <c r="G51" s="111">
        <v>4800</v>
      </c>
      <c r="H51" s="111" t="s">
        <v>33</v>
      </c>
      <c r="I51" s="113">
        <v>69.260000000000005</v>
      </c>
      <c r="J51" s="130">
        <v>50</v>
      </c>
      <c r="K51" s="101" t="s">
        <v>17</v>
      </c>
      <c r="L51" s="214">
        <v>42</v>
      </c>
      <c r="M51" s="214">
        <v>44</v>
      </c>
      <c r="N51" s="214">
        <v>50</v>
      </c>
      <c r="O51" s="214">
        <v>46</v>
      </c>
      <c r="P51" s="214">
        <v>37</v>
      </c>
      <c r="Q51" s="214">
        <v>32</v>
      </c>
      <c r="R51" s="214">
        <v>57</v>
      </c>
      <c r="S51" s="214">
        <v>11</v>
      </c>
      <c r="T51" s="214"/>
      <c r="U51" s="214"/>
      <c r="V51" s="214"/>
      <c r="W51" s="123">
        <f>+IF(COUNTA(L51:V51)=8,Y51/(COUNTA(L51:V51)-0.5),IF(COUNTA(L51:V51)=0,0,Y51/COUNTA(L51:V51)))</f>
        <v>42.533333333333331</v>
      </c>
      <c r="X51" s="514"/>
      <c r="Y51" s="134">
        <f>+SUM(L51:V51)</f>
        <v>319</v>
      </c>
      <c r="Z51" s="137">
        <f>+Y51+AA51</f>
        <v>2363</v>
      </c>
      <c r="AA51" s="137">
        <v>2044</v>
      </c>
      <c r="AB51" s="140">
        <f>+Z50-Z51</f>
        <v>636</v>
      </c>
      <c r="AC51" s="131">
        <f>+IF(((Y52+(Y53/2))*60)=0,"",(I51*Y51)/((Y52+(Y53/2))*60))</f>
        <v>0.81512414683637713</v>
      </c>
      <c r="AD51" s="157"/>
      <c r="AE51" s="167">
        <f t="shared" si="0"/>
        <v>0</v>
      </c>
      <c r="AF51" s="167">
        <f>+Y51*I51</f>
        <v>22093.940000000002</v>
      </c>
      <c r="AG51" s="167"/>
      <c r="AH51" s="246">
        <v>2964</v>
      </c>
    </row>
    <row r="52" spans="1:35" ht="62.25" customHeight="1" x14ac:dyDescent="0.9">
      <c r="A52" s="124"/>
      <c r="B52" s="125">
        <f>+B51</f>
        <v>12</v>
      </c>
      <c r="C52" s="184"/>
      <c r="D52" s="111"/>
      <c r="E52" s="111"/>
      <c r="F52" s="112" t="e">
        <f>+VLOOKUP(F51,'Obj Prix'!$H:$H,2,FALSE)</f>
        <v>#N/A</v>
      </c>
      <c r="G52" s="238" t="s">
        <v>263</v>
      </c>
      <c r="H52" s="210"/>
      <c r="I52" s="113"/>
      <c r="J52" s="114" t="s">
        <v>22</v>
      </c>
      <c r="K52" s="102" t="s">
        <v>18</v>
      </c>
      <c r="L52" s="215">
        <v>59</v>
      </c>
      <c r="M52" s="215">
        <v>59</v>
      </c>
      <c r="N52" s="215">
        <v>60</v>
      </c>
      <c r="O52" s="215">
        <v>60</v>
      </c>
      <c r="P52" s="215">
        <v>60</v>
      </c>
      <c r="Q52" s="215">
        <v>60</v>
      </c>
      <c r="R52" s="215">
        <v>60</v>
      </c>
      <c r="S52" s="215">
        <v>60</v>
      </c>
      <c r="T52" s="215"/>
      <c r="U52" s="244"/>
      <c r="V52" s="215"/>
      <c r="W52" s="160">
        <f>+W51-J51</f>
        <v>-7.4666666666666686</v>
      </c>
      <c r="X52" s="514"/>
      <c r="Y52" s="103">
        <f>+SUM(L52:V52)-S52/2</f>
        <v>448</v>
      </c>
      <c r="Z52" s="138"/>
      <c r="AA52" s="138"/>
      <c r="AB52" s="122"/>
      <c r="AC52" s="116"/>
      <c r="AD52" s="157">
        <f>-(R52+(R53/2))*$AD$2/60</f>
        <v>-45.375</v>
      </c>
      <c r="AE52" s="167">
        <f t="shared" si="0"/>
        <v>-2722.5</v>
      </c>
      <c r="AF52" s="167"/>
      <c r="AG52" s="167"/>
      <c r="AH52" s="124"/>
    </row>
    <row r="53" spans="1:35" ht="69" customHeight="1" thickBot="1" x14ac:dyDescent="0.95">
      <c r="A53" s="124"/>
      <c r="B53" s="126">
        <f>+B51</f>
        <v>12</v>
      </c>
      <c r="C53" s="174" t="s">
        <v>286</v>
      </c>
      <c r="D53" s="175">
        <f>+D52+100</f>
        <v>100</v>
      </c>
      <c r="E53" s="175"/>
      <c r="F53" s="117" t="s">
        <v>203</v>
      </c>
      <c r="G53" s="117"/>
      <c r="H53" s="159" t="s">
        <v>285</v>
      </c>
      <c r="I53" s="165">
        <f>+IF(J53="","",IF(J51=0,"",(J51*I51)/(J53*60)))</f>
        <v>0.9619444444444446</v>
      </c>
      <c r="J53" s="118">
        <v>60</v>
      </c>
      <c r="K53" s="104" t="s">
        <v>19</v>
      </c>
      <c r="L53" s="216">
        <v>1</v>
      </c>
      <c r="M53" s="216">
        <v>1</v>
      </c>
      <c r="N53" s="216">
        <v>1</v>
      </c>
      <c r="O53" s="216">
        <v>1</v>
      </c>
      <c r="P53" s="216">
        <v>1</v>
      </c>
      <c r="Q53" s="216">
        <v>1</v>
      </c>
      <c r="R53" s="216">
        <v>1</v>
      </c>
      <c r="S53" s="216">
        <v>1</v>
      </c>
      <c r="T53" s="216"/>
      <c r="U53" s="245"/>
      <c r="V53" s="216"/>
      <c r="W53" s="173"/>
      <c r="X53" s="169">
        <v>13.54</v>
      </c>
      <c r="Y53" s="105">
        <f>+SUM(L53:V53)-S53/2</f>
        <v>7.5</v>
      </c>
      <c r="Z53" s="139"/>
      <c r="AA53" s="139"/>
      <c r="AB53" s="119">
        <f>+IFERROR(AB51/(J51*9),"")</f>
        <v>1.4133333333333333</v>
      </c>
      <c r="AC53" s="162"/>
      <c r="AD53" s="161">
        <f>+Y52+Y53/2</f>
        <v>451.75</v>
      </c>
      <c r="AE53" s="167">
        <f t="shared" si="0"/>
        <v>27105</v>
      </c>
      <c r="AF53" s="167"/>
      <c r="AG53" s="230">
        <f>+AD52+AD53</f>
        <v>406.375</v>
      </c>
      <c r="AH53" s="124"/>
    </row>
    <row r="54" spans="1:35" s="98" customFormat="1" ht="62.25" customHeight="1" thickTop="1" x14ac:dyDescent="0.9">
      <c r="A54" s="124"/>
      <c r="B54" s="127">
        <f>+B55</f>
        <v>13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3">
        <v>50</v>
      </c>
      <c r="M54" s="213">
        <v>50</v>
      </c>
      <c r="N54" s="213">
        <v>50</v>
      </c>
      <c r="O54" s="213"/>
      <c r="P54" s="213"/>
      <c r="Q54" s="213"/>
      <c r="R54" s="213"/>
      <c r="S54" s="213"/>
      <c r="T54" s="213"/>
      <c r="U54" s="213"/>
      <c r="V54" s="213"/>
      <c r="W54" s="135"/>
      <c r="X54" s="513">
        <f>+W56</f>
        <v>-1.06666666666667</v>
      </c>
      <c r="Y54" s="135">
        <f>+SUM(L54:V54)</f>
        <v>150</v>
      </c>
      <c r="Z54" s="136">
        <f>+AA54+Y54</f>
        <v>3300</v>
      </c>
      <c r="AA54" s="136">
        <v>3150</v>
      </c>
      <c r="AB54" s="109"/>
      <c r="AC54" s="110"/>
      <c r="AD54" s="157"/>
      <c r="AE54" s="167">
        <f t="shared" si="0"/>
        <v>0</v>
      </c>
      <c r="AF54" s="167"/>
      <c r="AG54" s="167"/>
      <c r="AH54" s="246" t="s">
        <v>276</v>
      </c>
      <c r="AI54" s="246" t="s">
        <v>287</v>
      </c>
    </row>
    <row r="55" spans="1:35" s="98" customFormat="1" ht="62.25" customHeight="1" x14ac:dyDescent="0.9">
      <c r="A55" s="124"/>
      <c r="B55" s="132">
        <v>13</v>
      </c>
      <c r="C55" s="111" t="s">
        <v>302</v>
      </c>
      <c r="D55" s="111"/>
      <c r="E55" s="111" t="s">
        <v>35</v>
      </c>
      <c r="F55" s="111" t="s">
        <v>277</v>
      </c>
      <c r="G55" s="111">
        <v>3300</v>
      </c>
      <c r="H55" s="111" t="s">
        <v>33</v>
      </c>
      <c r="I55" s="113">
        <v>70.680000000000007</v>
      </c>
      <c r="J55" s="130">
        <v>44</v>
      </c>
      <c r="K55" s="101" t="s">
        <v>17</v>
      </c>
      <c r="L55" s="214">
        <v>31</v>
      </c>
      <c r="M55" s="214">
        <v>52</v>
      </c>
      <c r="N55" s="214">
        <v>54</v>
      </c>
      <c r="O55" s="214">
        <v>48</v>
      </c>
      <c r="P55" s="214">
        <v>46</v>
      </c>
      <c r="Q55" s="214">
        <v>30</v>
      </c>
      <c r="R55" s="214">
        <v>43</v>
      </c>
      <c r="S55" s="214">
        <v>18</v>
      </c>
      <c r="T55" s="214"/>
      <c r="U55" s="214"/>
      <c r="V55" s="214"/>
      <c r="W55" s="123">
        <f>+IF(COUNTA(L55:V55)=8,Y55/(COUNTA(L55:V55)-0.5),IF(COUNTA(L55:V55)=0,0,Y55/COUNTA(L55:V55)))</f>
        <v>42.93333333333333</v>
      </c>
      <c r="X55" s="514"/>
      <c r="Y55" s="134">
        <f>+SUM(L55:V55)</f>
        <v>322</v>
      </c>
      <c r="Z55" s="137">
        <f>+Y55+AA55</f>
        <v>2676</v>
      </c>
      <c r="AA55" s="137">
        <v>2354</v>
      </c>
      <c r="AB55" s="140">
        <f>+Z54-Z55</f>
        <v>624</v>
      </c>
      <c r="AC55" s="131">
        <f>+IF(((Y56+(Y57/2))*60)=0,"",(I55*Y55)/((Y56+(Y57/2))*60))</f>
        <v>0.83965910348644168</v>
      </c>
      <c r="AD55" s="157"/>
      <c r="AE55" s="167">
        <f t="shared" si="0"/>
        <v>0</v>
      </c>
      <c r="AF55" s="167">
        <f>+Y55*I55</f>
        <v>22758.960000000003</v>
      </c>
      <c r="AG55" s="167"/>
      <c r="AH55" s="246">
        <v>4825</v>
      </c>
      <c r="AI55" s="246">
        <v>9399</v>
      </c>
    </row>
    <row r="56" spans="1:35" s="98" customFormat="1" ht="62.25" customHeight="1" x14ac:dyDescent="0.9">
      <c r="A56" s="124"/>
      <c r="B56" s="125">
        <f>+B55</f>
        <v>13</v>
      </c>
      <c r="C56" s="184"/>
      <c r="D56" s="111"/>
      <c r="E56" s="111"/>
      <c r="F56" s="112" t="e">
        <f>+VLOOKUP(F55,'Obj Prix'!$H:$H,2,FALSE)</f>
        <v>#N/A</v>
      </c>
      <c r="G56" s="238" t="s">
        <v>263</v>
      </c>
      <c r="H56" s="210"/>
      <c r="I56" s="113">
        <v>4</v>
      </c>
      <c r="J56" s="114" t="s">
        <v>22</v>
      </c>
      <c r="K56" s="102" t="s">
        <v>18</v>
      </c>
      <c r="L56" s="215">
        <v>57</v>
      </c>
      <c r="M56" s="215">
        <v>57</v>
      </c>
      <c r="N56" s="215">
        <v>58</v>
      </c>
      <c r="O56" s="215">
        <v>58</v>
      </c>
      <c r="P56" s="215">
        <v>58</v>
      </c>
      <c r="Q56" s="215">
        <v>58</v>
      </c>
      <c r="R56" s="215">
        <v>58</v>
      </c>
      <c r="S56" s="215">
        <v>58</v>
      </c>
      <c r="T56" s="215"/>
      <c r="U56" s="244"/>
      <c r="V56" s="215"/>
      <c r="W56" s="160">
        <f>+W55-J55</f>
        <v>-1.06666666666667</v>
      </c>
      <c r="X56" s="514"/>
      <c r="Y56" s="103">
        <f>+SUM(L56:V56)-S56/2</f>
        <v>433</v>
      </c>
      <c r="Z56" s="138"/>
      <c r="AA56" s="138"/>
      <c r="AB56" s="115"/>
      <c r="AC56" s="116"/>
      <c r="AD56" s="157">
        <f>-(R56+(R57/2))*$AD$2/60</f>
        <v>-45.375</v>
      </c>
      <c r="AE56" s="167">
        <f t="shared" si="0"/>
        <v>-2722.5</v>
      </c>
      <c r="AF56" s="167"/>
      <c r="AG56" s="167"/>
      <c r="AH56" s="124"/>
      <c r="AI56" s="91"/>
    </row>
    <row r="57" spans="1:35" s="98" customFormat="1" ht="62.25" customHeight="1" thickBot="1" x14ac:dyDescent="0.95">
      <c r="A57" s="124"/>
      <c r="B57" s="126">
        <f>+B55</f>
        <v>13</v>
      </c>
      <c r="C57" s="174" t="s">
        <v>76</v>
      </c>
      <c r="D57" s="175">
        <f>+D56+100</f>
        <v>100</v>
      </c>
      <c r="E57" s="175"/>
      <c r="F57" s="117" t="s">
        <v>94</v>
      </c>
      <c r="G57" s="218"/>
      <c r="H57" s="159" t="s">
        <v>285</v>
      </c>
      <c r="I57" s="165">
        <f>+IF(J57="","",IF(J55=0,"",(J55*I55)/(J57*60)))</f>
        <v>0.87850847457627124</v>
      </c>
      <c r="J57" s="118">
        <v>59</v>
      </c>
      <c r="K57" s="104" t="s">
        <v>19</v>
      </c>
      <c r="L57" s="216">
        <v>5</v>
      </c>
      <c r="M57" s="216">
        <v>5</v>
      </c>
      <c r="N57" s="216">
        <v>5</v>
      </c>
      <c r="O57" s="216">
        <v>5</v>
      </c>
      <c r="P57" s="216">
        <v>5</v>
      </c>
      <c r="Q57" s="216">
        <v>5</v>
      </c>
      <c r="R57" s="216">
        <v>5</v>
      </c>
      <c r="S57" s="216">
        <v>5</v>
      </c>
      <c r="T57" s="216"/>
      <c r="U57" s="245"/>
      <c r="V57" s="216"/>
      <c r="W57" s="173"/>
      <c r="X57" s="169">
        <v>26.69</v>
      </c>
      <c r="Y57" s="105">
        <f>+SUM(L57:V57)-S57/2</f>
        <v>37.5</v>
      </c>
      <c r="Z57" s="139"/>
      <c r="AA57" s="139"/>
      <c r="AB57" s="119">
        <f>+IFERROR(AB55/(J55*9),"")</f>
        <v>1.5757575757575757</v>
      </c>
      <c r="AC57" s="120"/>
      <c r="AD57" s="161">
        <f>+Y56+Y57/2</f>
        <v>451.75</v>
      </c>
      <c r="AE57" s="167">
        <f t="shared" si="0"/>
        <v>27105</v>
      </c>
      <c r="AF57" s="167"/>
      <c r="AG57" s="230">
        <f>+AD56+AD57</f>
        <v>406.375</v>
      </c>
      <c r="AH57" s="124"/>
      <c r="AI57" s="91"/>
    </row>
    <row r="58" spans="1:35" s="98" customFormat="1" ht="62.25" customHeight="1" thickTop="1" x14ac:dyDescent="0.9">
      <c r="A58" s="124"/>
      <c r="B58" s="127">
        <f>+B59</f>
        <v>13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3"/>
      <c r="M58" s="213"/>
      <c r="N58" s="213">
        <v>50</v>
      </c>
      <c r="O58" s="213">
        <v>50</v>
      </c>
      <c r="P58" s="213"/>
      <c r="Q58" s="213">
        <v>50</v>
      </c>
      <c r="R58" s="213"/>
      <c r="S58" s="213"/>
      <c r="T58" s="213"/>
      <c r="U58" s="213"/>
      <c r="V58" s="213"/>
      <c r="W58" s="135"/>
      <c r="X58" s="513">
        <f>+W60</f>
        <v>0</v>
      </c>
      <c r="Y58" s="135">
        <f>+SUM(L58:V58)</f>
        <v>150</v>
      </c>
      <c r="Z58" s="136">
        <f>+AA58+Y58</f>
        <v>150</v>
      </c>
      <c r="AA58" s="136"/>
      <c r="AB58" s="109"/>
      <c r="AC58" s="110"/>
      <c r="AD58" s="157"/>
      <c r="AE58" s="167">
        <f t="shared" si="0"/>
        <v>0</v>
      </c>
      <c r="AF58" s="167"/>
      <c r="AG58" s="167"/>
      <c r="AH58" s="246" t="s">
        <v>276</v>
      </c>
      <c r="AI58" s="246" t="s">
        <v>287</v>
      </c>
    </row>
    <row r="59" spans="1:35" s="98" customFormat="1" ht="62.25" customHeight="1" x14ac:dyDescent="0.9">
      <c r="A59" s="124"/>
      <c r="B59" s="132">
        <v>13</v>
      </c>
      <c r="C59" s="111" t="s">
        <v>309</v>
      </c>
      <c r="D59" s="111"/>
      <c r="E59" s="111" t="s">
        <v>35</v>
      </c>
      <c r="F59" s="111" t="s">
        <v>310</v>
      </c>
      <c r="G59" s="111">
        <v>16000</v>
      </c>
      <c r="H59" s="111" t="s">
        <v>33</v>
      </c>
      <c r="I59" s="113">
        <v>70.680000000000007</v>
      </c>
      <c r="J59" s="130">
        <v>44</v>
      </c>
      <c r="K59" s="101" t="s">
        <v>17</v>
      </c>
      <c r="L59" s="214"/>
      <c r="M59" s="214"/>
      <c r="N59" s="214"/>
      <c r="O59" s="214"/>
      <c r="P59" s="214"/>
      <c r="Q59" s="214"/>
      <c r="R59" s="214"/>
      <c r="S59" s="214"/>
      <c r="T59" s="214"/>
      <c r="U59" s="214"/>
      <c r="V59" s="214"/>
      <c r="W59" s="123">
        <f>+IF(COUNTA(L59:V59)=8,Y59/(COUNTA(L59:V59)-0.5),IF(COUNTA(L59:V59)=0,0,Y59/COUNTA(L59:V59)))</f>
        <v>0</v>
      </c>
      <c r="X59" s="514"/>
      <c r="Y59" s="134">
        <f>+SUM(L59:V59)</f>
        <v>0</v>
      </c>
      <c r="Z59" s="137">
        <f>+Y59+AA59</f>
        <v>0</v>
      </c>
      <c r="AA59" s="137"/>
      <c r="AB59" s="140">
        <f>+Z58-Z59</f>
        <v>150</v>
      </c>
      <c r="AC59" s="131" t="str">
        <f>+IF(((Y60+(Y61/2))*60)=0,"",(I59*Y59)/((Y60+(Y61/2))*60))</f>
        <v/>
      </c>
      <c r="AD59" s="157"/>
      <c r="AE59" s="167">
        <f t="shared" si="0"/>
        <v>0</v>
      </c>
      <c r="AF59" s="167">
        <f>+Y59*I59</f>
        <v>0</v>
      </c>
      <c r="AG59" s="167"/>
      <c r="AH59" s="246">
        <v>4825</v>
      </c>
      <c r="AI59" s="246">
        <v>9399</v>
      </c>
    </row>
    <row r="60" spans="1:35" s="98" customFormat="1" ht="62.25" customHeight="1" x14ac:dyDescent="0.9">
      <c r="A60" s="124"/>
      <c r="B60" s="125">
        <f>+B59</f>
        <v>13</v>
      </c>
      <c r="C60" s="184"/>
      <c r="D60" s="111"/>
      <c r="E60" s="111"/>
      <c r="F60" s="112" t="e">
        <f>+VLOOKUP(F59,'Obj Prix'!$H:$H,2,FALSE)</f>
        <v>#N/A</v>
      </c>
      <c r="G60" s="238"/>
      <c r="H60" s="210"/>
      <c r="I60" s="113"/>
      <c r="J60" s="114" t="s">
        <v>22</v>
      </c>
      <c r="K60" s="102" t="s">
        <v>18</v>
      </c>
      <c r="L60" s="215"/>
      <c r="M60" s="215"/>
      <c r="N60" s="215"/>
      <c r="O60" s="215"/>
      <c r="P60" s="215"/>
      <c r="Q60" s="215"/>
      <c r="R60" s="215"/>
      <c r="S60" s="215"/>
      <c r="T60" s="215"/>
      <c r="U60" s="244"/>
      <c r="V60" s="215"/>
      <c r="W60" s="160"/>
      <c r="X60" s="514"/>
      <c r="Y60" s="103">
        <f>+SUM(L60:V60)-S60/2</f>
        <v>0</v>
      </c>
      <c r="Z60" s="138"/>
      <c r="AA60" s="138"/>
      <c r="AB60" s="115"/>
      <c r="AC60" s="116"/>
      <c r="AD60" s="157">
        <f>-(R60+(R61/2))*$AD$2/60</f>
        <v>0</v>
      </c>
      <c r="AE60" s="167">
        <f t="shared" si="0"/>
        <v>0</v>
      </c>
      <c r="AF60" s="167"/>
      <c r="AG60" s="167"/>
      <c r="AH60" s="124"/>
      <c r="AI60" s="91"/>
    </row>
    <row r="61" spans="1:35" s="98" customFormat="1" ht="62.25" customHeight="1" thickBot="1" x14ac:dyDescent="0.95">
      <c r="A61" s="124"/>
      <c r="B61" s="126">
        <f>+B59</f>
        <v>13</v>
      </c>
      <c r="C61" s="174" t="s">
        <v>76</v>
      </c>
      <c r="D61" s="175">
        <f>+D60+100</f>
        <v>100</v>
      </c>
      <c r="E61" s="175"/>
      <c r="F61" s="117" t="s">
        <v>94</v>
      </c>
      <c r="G61" s="218"/>
      <c r="H61" s="159"/>
      <c r="I61" s="165">
        <f>+IF(J61="","",IF(J59=0,"",(J59*I59)/(J61*60)))</f>
        <v>0.87850847457627124</v>
      </c>
      <c r="J61" s="118">
        <v>59</v>
      </c>
      <c r="K61" s="104" t="s">
        <v>19</v>
      </c>
      <c r="L61" s="216"/>
      <c r="M61" s="216"/>
      <c r="N61" s="216"/>
      <c r="O61" s="216"/>
      <c r="P61" s="216"/>
      <c r="Q61" s="216"/>
      <c r="R61" s="216"/>
      <c r="S61" s="216"/>
      <c r="T61" s="216"/>
      <c r="U61" s="245"/>
      <c r="V61" s="216"/>
      <c r="W61" s="173"/>
      <c r="X61" s="169"/>
      <c r="Y61" s="105">
        <f>+SUM(L61:V61)-S61/2</f>
        <v>0</v>
      </c>
      <c r="Z61" s="139"/>
      <c r="AA61" s="139"/>
      <c r="AB61" s="119">
        <f>+IFERROR(AB59/(J59*9),"")</f>
        <v>0.37878787878787878</v>
      </c>
      <c r="AC61" s="120"/>
      <c r="AD61" s="161">
        <f>+Y60+Y61/2</f>
        <v>0</v>
      </c>
      <c r="AE61" s="167">
        <f t="shared" si="0"/>
        <v>0</v>
      </c>
      <c r="AF61" s="167"/>
      <c r="AG61" s="230"/>
      <c r="AH61" s="124"/>
      <c r="AI61" s="91"/>
    </row>
    <row r="62" spans="1:35" s="98" customFormat="1" ht="62.25" customHeight="1" thickTop="1" x14ac:dyDescent="0.9">
      <c r="A62" s="124"/>
      <c r="B62" s="127">
        <f>+B63</f>
        <v>14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3">
        <v>50</v>
      </c>
      <c r="M62" s="213">
        <v>50</v>
      </c>
      <c r="N62" s="213">
        <v>50</v>
      </c>
      <c r="O62" s="213">
        <v>50</v>
      </c>
      <c r="P62" s="213"/>
      <c r="Q62" s="213"/>
      <c r="R62" s="213"/>
      <c r="S62" s="213"/>
      <c r="T62" s="213"/>
      <c r="U62" s="213"/>
      <c r="V62" s="213"/>
      <c r="W62" s="135"/>
      <c r="X62" s="513">
        <f>+W64</f>
        <v>-2.3333333333333357</v>
      </c>
      <c r="Y62" s="135">
        <f>+SUM(L62:V62)</f>
        <v>200</v>
      </c>
      <c r="Z62" s="136">
        <f>+AA62+Y62</f>
        <v>7893</v>
      </c>
      <c r="AA62" s="136">
        <v>7693</v>
      </c>
      <c r="AB62" s="109"/>
      <c r="AC62" s="110"/>
      <c r="AD62" s="157"/>
      <c r="AE62" s="167">
        <f t="shared" si="0"/>
        <v>0</v>
      </c>
      <c r="AF62" s="167"/>
      <c r="AG62" s="167"/>
      <c r="AH62" s="124"/>
      <c r="AI62" s="91"/>
    </row>
    <row r="63" spans="1:35" s="98" customFormat="1" ht="62.25" customHeight="1" x14ac:dyDescent="0.9">
      <c r="A63" s="124"/>
      <c r="B63" s="133">
        <v>14</v>
      </c>
      <c r="C63" s="111" t="s">
        <v>290</v>
      </c>
      <c r="D63" s="111"/>
      <c r="E63" s="111" t="s">
        <v>274</v>
      </c>
      <c r="F63" s="111" t="s">
        <v>288</v>
      </c>
      <c r="G63" s="111">
        <v>9000</v>
      </c>
      <c r="H63" s="111"/>
      <c r="I63" s="113">
        <v>75.47</v>
      </c>
      <c r="J63" s="130">
        <v>37</v>
      </c>
      <c r="K63" s="101" t="s">
        <v>17</v>
      </c>
      <c r="L63" s="214">
        <v>37</v>
      </c>
      <c r="M63" s="214">
        <v>37</v>
      </c>
      <c r="N63" s="214">
        <v>37</v>
      </c>
      <c r="O63" s="214">
        <v>37</v>
      </c>
      <c r="P63" s="214">
        <v>37</v>
      </c>
      <c r="Q63" s="214">
        <v>37</v>
      </c>
      <c r="R63" s="214">
        <v>19</v>
      </c>
      <c r="S63" s="214">
        <v>19</v>
      </c>
      <c r="T63" s="214"/>
      <c r="U63" s="214"/>
      <c r="V63" s="214"/>
      <c r="W63" s="123">
        <f>+IF(COUNTA(L63:V63)=8,Y63/(COUNTA(L63:V63)-0.5),IF(COUNTA(L63:V63)=0,0,Y63/COUNTA(L63:V63)))</f>
        <v>34.666666666666664</v>
      </c>
      <c r="X63" s="514"/>
      <c r="Y63" s="134">
        <f>+SUM(L63:V63)</f>
        <v>260</v>
      </c>
      <c r="Z63" s="137">
        <f>+Y63+AA63</f>
        <v>7318</v>
      </c>
      <c r="AA63" s="137">
        <v>7058</v>
      </c>
      <c r="AB63" s="140">
        <f>+Z62-Z63</f>
        <v>575</v>
      </c>
      <c r="AC63" s="131">
        <f>+IF(((Y64+(Y65/2))*60)=0,"",(I63*Y63)/((Y64+(Y65/2))*60))</f>
        <v>0.78567367367367369</v>
      </c>
      <c r="AD63" s="157"/>
      <c r="AE63" s="167">
        <f t="shared" si="0"/>
        <v>0</v>
      </c>
      <c r="AF63" s="167">
        <f>+Y63*I63</f>
        <v>19622.2</v>
      </c>
      <c r="AG63" s="167"/>
      <c r="AH63" s="124"/>
      <c r="AI63" s="91"/>
    </row>
    <row r="64" spans="1:35" s="98" customFormat="1" ht="62.25" customHeight="1" x14ac:dyDescent="0.9">
      <c r="A64" s="124"/>
      <c r="B64" s="125">
        <f>+B63</f>
        <v>14</v>
      </c>
      <c r="C64" s="184"/>
      <c r="D64" s="111">
        <f>+B63</f>
        <v>14</v>
      </c>
      <c r="E64" s="111"/>
      <c r="F64" s="112" t="e">
        <f>+VLOOKUP(F63,'Obj Prix'!$H:$H,2,FALSE)</f>
        <v>#N/A</v>
      </c>
      <c r="G64" s="238"/>
      <c r="H64" s="210"/>
      <c r="I64" s="210">
        <v>2</v>
      </c>
      <c r="J64" s="114" t="s">
        <v>22</v>
      </c>
      <c r="K64" s="102" t="s">
        <v>18</v>
      </c>
      <c r="L64" s="215">
        <v>55</v>
      </c>
      <c r="M64" s="215">
        <v>55</v>
      </c>
      <c r="N64" s="215">
        <v>55</v>
      </c>
      <c r="O64" s="215">
        <v>55</v>
      </c>
      <c r="P64" s="215">
        <v>55</v>
      </c>
      <c r="Q64" s="215">
        <v>55</v>
      </c>
      <c r="R64" s="215">
        <v>55</v>
      </c>
      <c r="S64" s="215">
        <v>55</v>
      </c>
      <c r="T64" s="215"/>
      <c r="U64" s="244"/>
      <c r="V64" s="215"/>
      <c r="W64" s="160">
        <f>+W63-J63</f>
        <v>-2.3333333333333357</v>
      </c>
      <c r="X64" s="514"/>
      <c r="Y64" s="103">
        <f>+SUM(L64:V64)-S64/2</f>
        <v>412.5</v>
      </c>
      <c r="Z64" s="138"/>
      <c r="AA64" s="138"/>
      <c r="AB64" s="115"/>
      <c r="AC64" s="116"/>
      <c r="AD64" s="157">
        <f>-(R64+(R65/2))*$AD$2/60</f>
        <v>-41.625</v>
      </c>
      <c r="AE64" s="167">
        <f t="shared" si="0"/>
        <v>-2497.5</v>
      </c>
      <c r="AF64" s="167"/>
      <c r="AG64" s="167"/>
      <c r="AH64" s="124"/>
      <c r="AI64" s="91"/>
    </row>
    <row r="65" spans="1:35" s="98" customFormat="1" ht="62.25" customHeight="1" thickBot="1" x14ac:dyDescent="0.95">
      <c r="A65" s="124"/>
      <c r="B65" s="126">
        <f>+B63</f>
        <v>14</v>
      </c>
      <c r="C65" s="174" t="s">
        <v>112</v>
      </c>
      <c r="D65" s="175">
        <f>+D64+100</f>
        <v>114</v>
      </c>
      <c r="E65" s="175"/>
      <c r="F65" s="117" t="s">
        <v>94</v>
      </c>
      <c r="G65" s="117"/>
      <c r="H65" s="159" t="s">
        <v>289</v>
      </c>
      <c r="I65" s="165">
        <f>+IF(J65="","",IF(J63=0,"",(J63*I63)/(J65*60)))</f>
        <v>0.83106845238095239</v>
      </c>
      <c r="J65" s="118">
        <v>56</v>
      </c>
      <c r="K65" s="104" t="s">
        <v>19</v>
      </c>
      <c r="L65" s="216">
        <v>1</v>
      </c>
      <c r="M65" s="216">
        <v>1</v>
      </c>
      <c r="N65" s="216">
        <v>1</v>
      </c>
      <c r="O65" s="216">
        <v>1</v>
      </c>
      <c r="P65" s="216">
        <v>1</v>
      </c>
      <c r="Q65" s="216">
        <v>1</v>
      </c>
      <c r="R65" s="216">
        <v>1</v>
      </c>
      <c r="S65" s="216">
        <v>1</v>
      </c>
      <c r="T65" s="216"/>
      <c r="U65" s="245"/>
      <c r="V65" s="216"/>
      <c r="W65" s="173"/>
      <c r="X65" s="169">
        <v>31.52</v>
      </c>
      <c r="Y65" s="105">
        <f>+SUM(L65:V65)-S65/2</f>
        <v>7.5</v>
      </c>
      <c r="Z65" s="139"/>
      <c r="AA65" s="139"/>
      <c r="AB65" s="119">
        <f>+IFERROR(AB63/(J63*9),"")</f>
        <v>1.7267267267267268</v>
      </c>
      <c r="AC65" s="120"/>
      <c r="AD65" s="161">
        <f>+Y64+Y65/2</f>
        <v>416.25</v>
      </c>
      <c r="AE65" s="167">
        <f t="shared" si="0"/>
        <v>24975</v>
      </c>
      <c r="AF65" s="167"/>
      <c r="AG65" s="230">
        <f>+AD64+AD65</f>
        <v>374.625</v>
      </c>
      <c r="AH65" s="124"/>
      <c r="AI65" s="91"/>
    </row>
    <row r="66" spans="1:35" ht="62.25" customHeight="1" thickTop="1" x14ac:dyDescent="0.9">
      <c r="A66" s="124"/>
      <c r="B66" s="127">
        <f>+B67</f>
        <v>15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5">
        <v>100</v>
      </c>
      <c r="M66" s="215">
        <v>50</v>
      </c>
      <c r="N66" s="215">
        <v>50</v>
      </c>
      <c r="O66" s="215">
        <v>50</v>
      </c>
      <c r="P66" s="215"/>
      <c r="Q66" s="215">
        <v>50</v>
      </c>
      <c r="R66" s="215"/>
      <c r="S66" s="215"/>
      <c r="T66" s="215"/>
      <c r="U66" s="213"/>
      <c r="V66" s="213"/>
      <c r="W66" s="135"/>
      <c r="X66" s="513">
        <f>+W68</f>
        <v>-7.7333333333333343</v>
      </c>
      <c r="Y66" s="135">
        <f>+SUM(L66:V66)</f>
        <v>300</v>
      </c>
      <c r="Z66" s="136">
        <f>+AA66+Y66</f>
        <v>3773</v>
      </c>
      <c r="AA66" s="136">
        <v>3473</v>
      </c>
      <c r="AB66" s="121"/>
      <c r="AC66" s="110"/>
      <c r="AD66" s="157"/>
      <c r="AE66" s="167">
        <f t="shared" si="0"/>
        <v>0</v>
      </c>
      <c r="AF66" s="167"/>
      <c r="AG66" s="167"/>
      <c r="AH66" s="124"/>
    </row>
    <row r="67" spans="1:35" ht="62.25" customHeight="1" x14ac:dyDescent="0.9">
      <c r="A67" s="124"/>
      <c r="B67" s="133">
        <v>15</v>
      </c>
      <c r="C67" s="111" t="s">
        <v>295</v>
      </c>
      <c r="D67" s="111"/>
      <c r="E67" s="111" t="s">
        <v>35</v>
      </c>
      <c r="F67" s="111" t="s">
        <v>296</v>
      </c>
      <c r="G67" s="111">
        <v>7500</v>
      </c>
      <c r="H67" s="111" t="s">
        <v>33</v>
      </c>
      <c r="I67" s="113">
        <v>61.46</v>
      </c>
      <c r="J67" s="130">
        <v>48</v>
      </c>
      <c r="K67" s="101" t="s">
        <v>17</v>
      </c>
      <c r="L67" s="214">
        <v>46</v>
      </c>
      <c r="M67" s="214">
        <v>47</v>
      </c>
      <c r="N67" s="214">
        <v>43</v>
      </c>
      <c r="O67" s="214">
        <v>49</v>
      </c>
      <c r="P67" s="214">
        <v>43</v>
      </c>
      <c r="Q67" s="214">
        <v>31</v>
      </c>
      <c r="R67" s="214">
        <v>28</v>
      </c>
      <c r="S67" s="214">
        <v>15</v>
      </c>
      <c r="T67" s="214"/>
      <c r="U67" s="214"/>
      <c r="V67" s="214"/>
      <c r="W67" s="123">
        <f>+IF(COUNTA(L67:V67)=8,Y67/(COUNTA(L67:V67)-0.5),IF(COUNTA(L67:V67)=0,0,Y67/COUNTA(L67:V67)))</f>
        <v>40.266666666666666</v>
      </c>
      <c r="X67" s="514"/>
      <c r="Y67" s="134">
        <f>+SUM(L67:V67)</f>
        <v>302</v>
      </c>
      <c r="Z67" s="137">
        <f>+Y67+AA67</f>
        <v>2852</v>
      </c>
      <c r="AA67" s="137">
        <v>2550</v>
      </c>
      <c r="AB67" s="140">
        <f>+Z66-Z67</f>
        <v>921</v>
      </c>
      <c r="AC67" s="131">
        <f>+IF(((Y68+(Y69/2))*60)=0,"",(I67*Y67)/((Y68+(Y69/2))*60))</f>
        <v>0.73654444444444456</v>
      </c>
      <c r="AD67" s="157"/>
      <c r="AE67" s="167">
        <f t="shared" si="0"/>
        <v>0</v>
      </c>
      <c r="AF67" s="167">
        <f>+Y67*I67</f>
        <v>18560.920000000002</v>
      </c>
      <c r="AG67" s="167"/>
      <c r="AH67" s="124"/>
    </row>
    <row r="68" spans="1:35" ht="62.25" customHeight="1" x14ac:dyDescent="0.9">
      <c r="A68" s="124"/>
      <c r="B68" s="125">
        <f>+B67</f>
        <v>15</v>
      </c>
      <c r="C68" s="184"/>
      <c r="D68" s="111">
        <f>+B67</f>
        <v>15</v>
      </c>
      <c r="E68" s="111"/>
      <c r="F68" s="112" t="e">
        <f>+VLOOKUP(F67,'Obj Prix'!$H:$H,2,FALSE)</f>
        <v>#N/A</v>
      </c>
      <c r="G68" s="238" t="s">
        <v>263</v>
      </c>
      <c r="H68" s="111"/>
      <c r="I68" s="210">
        <v>3</v>
      </c>
      <c r="J68" s="114" t="s">
        <v>22</v>
      </c>
      <c r="K68" s="102" t="s">
        <v>18</v>
      </c>
      <c r="L68" s="215">
        <v>55</v>
      </c>
      <c r="M68" s="215">
        <v>55</v>
      </c>
      <c r="N68" s="215">
        <v>55</v>
      </c>
      <c r="O68" s="215">
        <v>55</v>
      </c>
      <c r="P68" s="215">
        <v>55</v>
      </c>
      <c r="Q68" s="215">
        <v>55</v>
      </c>
      <c r="R68" s="215">
        <v>55</v>
      </c>
      <c r="S68" s="215">
        <v>55</v>
      </c>
      <c r="T68" s="215"/>
      <c r="U68" s="244"/>
      <c r="V68" s="215"/>
      <c r="W68" s="160">
        <f>+W67-J67</f>
        <v>-7.7333333333333343</v>
      </c>
      <c r="X68" s="514"/>
      <c r="Y68" s="103">
        <f>+SUM(L68:V68)-S68/2</f>
        <v>412.5</v>
      </c>
      <c r="Z68" s="138"/>
      <c r="AA68" s="138"/>
      <c r="AB68" s="122"/>
      <c r="AC68" s="116"/>
      <c r="AD68" s="157">
        <f>-(R68+(R69/2))*$AD$2/60</f>
        <v>-42</v>
      </c>
      <c r="AE68" s="167">
        <f t="shared" si="0"/>
        <v>-2520</v>
      </c>
      <c r="AF68" s="167"/>
      <c r="AG68" s="167"/>
      <c r="AH68" s="124"/>
    </row>
    <row r="69" spans="1:35" ht="59.25" customHeight="1" thickBot="1" x14ac:dyDescent="0.95">
      <c r="A69" s="124"/>
      <c r="B69" s="126">
        <f>+B67</f>
        <v>15</v>
      </c>
      <c r="C69" s="174" t="s">
        <v>80</v>
      </c>
      <c r="D69" s="175">
        <f>+D68+100</f>
        <v>115</v>
      </c>
      <c r="E69" s="175"/>
      <c r="F69" s="117" t="s">
        <v>94</v>
      </c>
      <c r="G69" s="117"/>
      <c r="H69" s="159" t="s">
        <v>312</v>
      </c>
      <c r="I69" s="165">
        <f>+IF(J69="","",IF(J67=0,"",(J67*I67)/(J69*60)))</f>
        <v>0.86259649122807014</v>
      </c>
      <c r="J69" s="118">
        <v>57</v>
      </c>
      <c r="K69" s="104" t="s">
        <v>19</v>
      </c>
      <c r="L69" s="216">
        <v>2</v>
      </c>
      <c r="M69" s="216">
        <v>2</v>
      </c>
      <c r="N69" s="216">
        <v>2</v>
      </c>
      <c r="O69" s="216">
        <v>2</v>
      </c>
      <c r="P69" s="216">
        <v>2</v>
      </c>
      <c r="Q69" s="216">
        <v>2</v>
      </c>
      <c r="R69" s="216">
        <v>2</v>
      </c>
      <c r="S69" s="216">
        <v>2</v>
      </c>
      <c r="T69" s="216"/>
      <c r="U69" s="245"/>
      <c r="V69" s="216"/>
      <c r="W69" s="173"/>
      <c r="X69" s="169">
        <v>23.28</v>
      </c>
      <c r="Y69" s="105">
        <f>+SUM(L69:V69)-S69/2</f>
        <v>15</v>
      </c>
      <c r="Z69" s="139"/>
      <c r="AA69" s="139"/>
      <c r="AB69" s="119">
        <f>+IFERROR(AB67/(J67*9),"")</f>
        <v>2.1319444444444446</v>
      </c>
      <c r="AC69" s="120"/>
      <c r="AD69" s="161">
        <f>+Y68+Y69/2</f>
        <v>420</v>
      </c>
      <c r="AE69" s="167">
        <f t="shared" si="0"/>
        <v>25200</v>
      </c>
      <c r="AF69" s="167"/>
      <c r="AG69" s="230">
        <f>+AD68+AD69</f>
        <v>378</v>
      </c>
      <c r="AH69" s="124"/>
    </row>
    <row r="70" spans="1:35" s="98" customFormat="1" ht="62.25" customHeight="1" thickTop="1" x14ac:dyDescent="0.9">
      <c r="A70" s="124"/>
      <c r="B70" s="127">
        <f>+B71</f>
        <v>17</v>
      </c>
      <c r="C70" s="106"/>
      <c r="D70" s="106"/>
      <c r="E70" s="106"/>
      <c r="F70" s="111"/>
      <c r="G70" s="106"/>
      <c r="H70" s="106"/>
      <c r="I70" s="107" t="s">
        <v>20</v>
      </c>
      <c r="J70" s="108" t="s">
        <v>23</v>
      </c>
      <c r="K70" s="100" t="s">
        <v>21</v>
      </c>
      <c r="L70" s="213">
        <v>80</v>
      </c>
      <c r="M70" s="213">
        <v>40</v>
      </c>
      <c r="N70" s="213">
        <v>80</v>
      </c>
      <c r="O70" s="213">
        <v>40</v>
      </c>
      <c r="P70" s="213">
        <v>40</v>
      </c>
      <c r="Q70" s="213"/>
      <c r="R70" s="213">
        <v>40</v>
      </c>
      <c r="S70" s="213">
        <v>40</v>
      </c>
      <c r="T70" s="213"/>
      <c r="U70" s="213"/>
      <c r="V70" s="213"/>
      <c r="W70" s="135"/>
      <c r="X70" s="513">
        <f>+W72</f>
        <v>-8.6666666666666643</v>
      </c>
      <c r="Y70" s="135">
        <f>+SUM(L70:V70)</f>
        <v>360</v>
      </c>
      <c r="Z70" s="136">
        <f>+AA70+Y70</f>
        <v>3280</v>
      </c>
      <c r="AA70" s="136">
        <v>2920</v>
      </c>
      <c r="AB70" s="121"/>
      <c r="AC70" s="110"/>
      <c r="AD70" s="157"/>
      <c r="AE70" s="167">
        <f t="shared" si="0"/>
        <v>0</v>
      </c>
      <c r="AF70" s="167"/>
      <c r="AG70" s="167"/>
      <c r="AH70" s="124"/>
      <c r="AI70" s="91"/>
    </row>
    <row r="71" spans="1:35" s="98" customFormat="1" ht="62.25" customHeight="1" x14ac:dyDescent="0.9">
      <c r="A71" s="124"/>
      <c r="B71" s="132">
        <v>17</v>
      </c>
      <c r="C71" s="111" t="s">
        <v>298</v>
      </c>
      <c r="D71" s="111"/>
      <c r="E71" s="111" t="s">
        <v>35</v>
      </c>
      <c r="F71" s="111" t="s">
        <v>299</v>
      </c>
      <c r="G71" s="111">
        <v>8731</v>
      </c>
      <c r="H71" s="111" t="s">
        <v>300</v>
      </c>
      <c r="I71" s="113">
        <v>60.17</v>
      </c>
      <c r="J71" s="130">
        <v>50</v>
      </c>
      <c r="K71" s="101" t="s">
        <v>17</v>
      </c>
      <c r="L71" s="214">
        <v>50</v>
      </c>
      <c r="M71" s="214">
        <v>40</v>
      </c>
      <c r="N71" s="214">
        <v>60</v>
      </c>
      <c r="O71" s="214">
        <v>50</v>
      </c>
      <c r="P71" s="214">
        <v>50</v>
      </c>
      <c r="Q71" s="214">
        <v>30</v>
      </c>
      <c r="R71" s="214">
        <v>30</v>
      </c>
      <c r="S71" s="214">
        <v>0</v>
      </c>
      <c r="T71" s="214"/>
      <c r="U71" s="214"/>
      <c r="V71" s="214"/>
      <c r="W71" s="123">
        <f>+IF(COUNTA(L71:V71)=8,Y71/(COUNTA(L71:V71)-0.5),IF(COUNTA(L71:V71)=0,0,Y71/COUNTA(L71:V71)))</f>
        <v>41.333333333333336</v>
      </c>
      <c r="X71" s="514"/>
      <c r="Y71" s="134">
        <f>+SUM(L71:V71)</f>
        <v>310</v>
      </c>
      <c r="Z71" s="137">
        <f>+Y71+AA71</f>
        <v>2749</v>
      </c>
      <c r="AA71" s="137">
        <v>2439</v>
      </c>
      <c r="AB71" s="140">
        <f>+Z70-Z71</f>
        <v>531</v>
      </c>
      <c r="AC71" s="131">
        <f>+IF(((Y72+(Y73/2))*60)=0,"",(I71*Y71)/((Y72+(Y73/2))*60))</f>
        <v>0.73886710239651421</v>
      </c>
      <c r="AD71" s="157"/>
      <c r="AE71" s="167">
        <f t="shared" si="0"/>
        <v>0</v>
      </c>
      <c r="AF71" s="167">
        <f>+Y71*I71</f>
        <v>18652.7</v>
      </c>
      <c r="AG71" s="167"/>
      <c r="AH71" s="124"/>
      <c r="AI71" s="91"/>
    </row>
    <row r="72" spans="1:35" s="98" customFormat="1" ht="62.25" customHeight="1" x14ac:dyDescent="0.9">
      <c r="A72" s="124"/>
      <c r="B72" s="125">
        <f>+B71</f>
        <v>17</v>
      </c>
      <c r="C72" s="184"/>
      <c r="D72" s="111"/>
      <c r="E72" s="111"/>
      <c r="F72" s="112" t="e">
        <f>+VLOOKUP(F71,'Obj Prix'!$H:$H,2,FALSE)</f>
        <v>#N/A</v>
      </c>
      <c r="G72" s="238" t="s">
        <v>263</v>
      </c>
      <c r="H72" s="210"/>
      <c r="I72" s="113">
        <v>2</v>
      </c>
      <c r="J72" s="114" t="s">
        <v>22</v>
      </c>
      <c r="K72" s="102" t="s">
        <v>18</v>
      </c>
      <c r="L72" s="215">
        <v>53</v>
      </c>
      <c r="M72" s="215">
        <v>56</v>
      </c>
      <c r="N72" s="215">
        <v>56</v>
      </c>
      <c r="O72" s="215">
        <v>56</v>
      </c>
      <c r="P72" s="215">
        <v>56</v>
      </c>
      <c r="Q72" s="215">
        <v>56</v>
      </c>
      <c r="R72" s="215">
        <v>56</v>
      </c>
      <c r="S72" s="215">
        <v>56</v>
      </c>
      <c r="T72" s="215"/>
      <c r="U72" s="244"/>
      <c r="V72" s="215"/>
      <c r="W72" s="160">
        <f>+W71-J71</f>
        <v>-8.6666666666666643</v>
      </c>
      <c r="X72" s="514"/>
      <c r="Y72" s="103">
        <f>+SUM(L72:V72)-S72/2</f>
        <v>417</v>
      </c>
      <c r="Z72" s="138"/>
      <c r="AA72" s="138"/>
      <c r="AB72" s="122"/>
      <c r="AC72" s="116"/>
      <c r="AD72" s="157">
        <f>-(R72+(R73/2))*$AD$2/60</f>
        <v>-42.375</v>
      </c>
      <c r="AE72" s="167">
        <f t="shared" si="0"/>
        <v>-2542.5</v>
      </c>
      <c r="AF72" s="167"/>
      <c r="AG72" s="167"/>
      <c r="AH72" s="124"/>
      <c r="AI72" s="91"/>
    </row>
    <row r="73" spans="1:35" s="98" customFormat="1" ht="62.25" customHeight="1" thickBot="1" x14ac:dyDescent="0.95">
      <c r="A73" s="124"/>
      <c r="B73" s="126">
        <f>+B71</f>
        <v>17</v>
      </c>
      <c r="C73" s="174" t="s">
        <v>284</v>
      </c>
      <c r="D73" s="175">
        <f>+D72+100</f>
        <v>100</v>
      </c>
      <c r="E73" s="175"/>
      <c r="F73" s="117" t="s">
        <v>111</v>
      </c>
      <c r="G73" s="117"/>
      <c r="H73" s="159" t="s">
        <v>303</v>
      </c>
      <c r="I73" s="165">
        <f>+IF(J73="","",IF(J71=0,"",(J71*I71)/(J73*60)))</f>
        <v>0.89538690476190474</v>
      </c>
      <c r="J73" s="118">
        <v>56</v>
      </c>
      <c r="K73" s="104" t="s">
        <v>19</v>
      </c>
      <c r="L73" s="216">
        <v>1</v>
      </c>
      <c r="M73" s="216">
        <v>1</v>
      </c>
      <c r="N73" s="216">
        <v>1</v>
      </c>
      <c r="O73" s="216">
        <v>1</v>
      </c>
      <c r="P73" s="216">
        <v>1</v>
      </c>
      <c r="Q73" s="216">
        <v>1</v>
      </c>
      <c r="R73" s="216">
        <v>1</v>
      </c>
      <c r="S73" s="216">
        <v>1</v>
      </c>
      <c r="T73" s="216"/>
      <c r="U73" s="245"/>
      <c r="V73" s="216"/>
      <c r="W73" s="173"/>
      <c r="X73" s="169">
        <v>14.54</v>
      </c>
      <c r="Y73" s="105">
        <f>+SUM(L73:V73)-S73/2</f>
        <v>7.5</v>
      </c>
      <c r="Z73" s="139"/>
      <c r="AA73" s="139"/>
      <c r="AB73" s="119">
        <f>+IFERROR(AB71/(J71*9),"")</f>
        <v>1.18</v>
      </c>
      <c r="AC73" s="120"/>
      <c r="AD73" s="161">
        <f>+Y72+Y73/2</f>
        <v>420.75</v>
      </c>
      <c r="AE73" s="167">
        <f t="shared" si="0"/>
        <v>25245</v>
      </c>
      <c r="AF73" s="167"/>
      <c r="AG73" s="230">
        <f>+AD72+AD73</f>
        <v>378.375</v>
      </c>
      <c r="AH73" s="124"/>
      <c r="AI73" s="91"/>
    </row>
    <row r="74" spans="1:35" s="98" customFormat="1" ht="62.25" customHeight="1" thickTop="1" x14ac:dyDescent="0.9">
      <c r="A74" s="124"/>
      <c r="B74" s="127">
        <f>+B75</f>
        <v>18</v>
      </c>
      <c r="C74" s="106"/>
      <c r="D74" s="106"/>
      <c r="E74" s="106"/>
      <c r="F74" s="111"/>
      <c r="G74" s="106"/>
      <c r="H74" s="106"/>
      <c r="I74" s="107" t="s">
        <v>20</v>
      </c>
      <c r="J74" s="108" t="s">
        <v>23</v>
      </c>
      <c r="K74" s="100" t="s">
        <v>21</v>
      </c>
      <c r="L74" s="213">
        <v>50</v>
      </c>
      <c r="M74" s="213">
        <v>50</v>
      </c>
      <c r="N74" s="213">
        <v>50</v>
      </c>
      <c r="O74" s="213">
        <v>50</v>
      </c>
      <c r="P74" s="213">
        <v>50</v>
      </c>
      <c r="Q74" s="213"/>
      <c r="R74" s="213">
        <v>50</v>
      </c>
      <c r="S74" s="213"/>
      <c r="T74" s="213"/>
      <c r="U74" s="213"/>
      <c r="V74" s="213"/>
      <c r="W74" s="135"/>
      <c r="X74" s="513">
        <f>+W76</f>
        <v>-8.3999999999999986</v>
      </c>
      <c r="Y74" s="135">
        <f>+SUM(L74:V74)</f>
        <v>300</v>
      </c>
      <c r="Z74" s="136">
        <f>+AA74+Y74</f>
        <v>1000</v>
      </c>
      <c r="AA74" s="136">
        <v>700</v>
      </c>
      <c r="AB74" s="121"/>
      <c r="AC74" s="110"/>
      <c r="AD74" s="157"/>
      <c r="AE74" s="167">
        <f t="shared" ref="AE74:AE81" si="1">+AD74*60</f>
        <v>0</v>
      </c>
      <c r="AF74" s="167"/>
      <c r="AG74" s="167"/>
      <c r="AH74" s="246" t="s">
        <v>291</v>
      </c>
      <c r="AI74" s="91"/>
    </row>
    <row r="75" spans="1:35" s="98" customFormat="1" ht="62.25" customHeight="1" x14ac:dyDescent="0.9">
      <c r="A75" s="124"/>
      <c r="B75" s="132">
        <v>18</v>
      </c>
      <c r="C75" s="111" t="s">
        <v>295</v>
      </c>
      <c r="D75" s="111"/>
      <c r="E75" s="111" t="s">
        <v>35</v>
      </c>
      <c r="F75" s="111" t="s">
        <v>296</v>
      </c>
      <c r="G75" s="111">
        <v>6712</v>
      </c>
      <c r="H75" s="111" t="s">
        <v>33</v>
      </c>
      <c r="I75" s="113">
        <v>61.46</v>
      </c>
      <c r="J75" s="130">
        <v>48</v>
      </c>
      <c r="K75" s="101" t="s">
        <v>17</v>
      </c>
      <c r="L75" s="214">
        <v>20</v>
      </c>
      <c r="M75" s="214">
        <v>46</v>
      </c>
      <c r="N75" s="214">
        <v>46</v>
      </c>
      <c r="O75" s="214">
        <v>46</v>
      </c>
      <c r="P75" s="214">
        <v>46</v>
      </c>
      <c r="Q75" s="214">
        <v>33</v>
      </c>
      <c r="R75" s="214">
        <v>40</v>
      </c>
      <c r="S75" s="214">
        <v>20</v>
      </c>
      <c r="T75" s="214"/>
      <c r="U75" s="214"/>
      <c r="V75" s="214"/>
      <c r="W75" s="123">
        <f>+IF(COUNTA(L75:V75)=8,Y75/(COUNTA(L75:V75)-0.5),IF(COUNTA(L75:V75)=0,0,Y75/COUNTA(L75:V75)))</f>
        <v>39.6</v>
      </c>
      <c r="X75" s="514"/>
      <c r="Y75" s="134">
        <f>+SUM(L75:V75)</f>
        <v>297</v>
      </c>
      <c r="Z75" s="137">
        <f>+Y75+AA75</f>
        <v>297</v>
      </c>
      <c r="AA75" s="137">
        <v>0</v>
      </c>
      <c r="AB75" s="140">
        <f>+Z74-Z75</f>
        <v>703</v>
      </c>
      <c r="AC75" s="131">
        <f>+IF(((Y76+(Y77/2))*60)=0,"",(I75*Y75)/((Y76+(Y77/2))*60))</f>
        <v>0.72134439834024888</v>
      </c>
      <c r="AD75" s="157"/>
      <c r="AE75" s="167">
        <f t="shared" si="1"/>
        <v>0</v>
      </c>
      <c r="AF75" s="167">
        <f>+Y75*I75</f>
        <v>18253.62</v>
      </c>
      <c r="AG75" s="167"/>
      <c r="AH75" s="246">
        <v>2280</v>
      </c>
      <c r="AI75" s="91"/>
    </row>
    <row r="76" spans="1:35" s="98" customFormat="1" ht="62.25" customHeight="1" x14ac:dyDescent="0.9">
      <c r="A76" s="124"/>
      <c r="B76" s="125">
        <f>+B75</f>
        <v>18</v>
      </c>
      <c r="C76" s="184"/>
      <c r="D76" s="111"/>
      <c r="E76" s="111"/>
      <c r="F76" s="112" t="e">
        <f>+VLOOKUP(F75,'Obj Prix'!$H:$H,2,FALSE)</f>
        <v>#N/A</v>
      </c>
      <c r="G76" s="238" t="s">
        <v>263</v>
      </c>
      <c r="H76" s="210"/>
      <c r="I76" s="210">
        <v>3</v>
      </c>
      <c r="J76" s="114" t="s">
        <v>22</v>
      </c>
      <c r="K76" s="102" t="s">
        <v>18</v>
      </c>
      <c r="L76" s="215">
        <v>54</v>
      </c>
      <c r="M76" s="215">
        <v>54</v>
      </c>
      <c r="N76" s="215">
        <v>55</v>
      </c>
      <c r="O76" s="215">
        <v>55</v>
      </c>
      <c r="P76" s="215">
        <v>55</v>
      </c>
      <c r="Q76" s="215">
        <v>55</v>
      </c>
      <c r="R76" s="215">
        <v>55</v>
      </c>
      <c r="S76" s="215">
        <v>55</v>
      </c>
      <c r="T76" s="215"/>
      <c r="U76" s="244"/>
      <c r="V76" s="215"/>
      <c r="W76" s="160">
        <f>+W75-J75</f>
        <v>-8.3999999999999986</v>
      </c>
      <c r="X76" s="514"/>
      <c r="Y76" s="103">
        <f>+SUM(L76:V76)-S76/2</f>
        <v>410.5</v>
      </c>
      <c r="Z76" s="138"/>
      <c r="AA76" s="138"/>
      <c r="AB76" s="122"/>
      <c r="AC76" s="116"/>
      <c r="AD76" s="157">
        <f>-(R76+(R77/2))*$AD$2/60</f>
        <v>-42.375</v>
      </c>
      <c r="AE76" s="167">
        <f t="shared" si="1"/>
        <v>-2542.5</v>
      </c>
      <c r="AF76" s="167"/>
      <c r="AG76" s="167"/>
      <c r="AH76" s="124"/>
      <c r="AI76" s="91"/>
    </row>
    <row r="77" spans="1:35" s="98" customFormat="1" ht="62.25" customHeight="1" thickBot="1" x14ac:dyDescent="0.95">
      <c r="A77" s="124"/>
      <c r="B77" s="126">
        <f>+B75</f>
        <v>18</v>
      </c>
      <c r="C77" s="174" t="s">
        <v>308</v>
      </c>
      <c r="D77" s="175">
        <f>+D76+100</f>
        <v>100</v>
      </c>
      <c r="E77" s="175"/>
      <c r="F77" s="117" t="s">
        <v>203</v>
      </c>
      <c r="G77" s="117"/>
      <c r="H77" s="159" t="s">
        <v>311</v>
      </c>
      <c r="I77" s="165">
        <f>+IF(J77="","",IF(J75=0,"",(J75*I75)/(J77*60)))</f>
        <v>0.86259649122807014</v>
      </c>
      <c r="J77" s="118">
        <v>57</v>
      </c>
      <c r="K77" s="104" t="s">
        <v>19</v>
      </c>
      <c r="L77" s="216">
        <v>3</v>
      </c>
      <c r="M77" s="216">
        <v>3</v>
      </c>
      <c r="N77" s="216">
        <v>3</v>
      </c>
      <c r="O77" s="216">
        <v>3</v>
      </c>
      <c r="P77" s="216">
        <v>3</v>
      </c>
      <c r="Q77" s="216">
        <v>3</v>
      </c>
      <c r="R77" s="216">
        <v>3</v>
      </c>
      <c r="S77" s="216">
        <v>3</v>
      </c>
      <c r="T77" s="216"/>
      <c r="U77" s="245"/>
      <c r="V77" s="216"/>
      <c r="W77" s="173"/>
      <c r="X77" s="168">
        <f>6.68+(COUNTA(L75:V75)-(Y75/J75))</f>
        <v>8.4924999999999997</v>
      </c>
      <c r="Y77" s="105">
        <f>+SUM(L77:V77)-S77/2</f>
        <v>22.5</v>
      </c>
      <c r="Z77" s="139"/>
      <c r="AA77" s="139"/>
      <c r="AB77" s="119">
        <f>+IFERROR(AB75/(J75*9),"")</f>
        <v>1.6273148148148149</v>
      </c>
      <c r="AC77" s="120"/>
      <c r="AD77" s="161">
        <f>+Y76+Y77/2</f>
        <v>421.75</v>
      </c>
      <c r="AE77" s="167">
        <f t="shared" si="1"/>
        <v>25305</v>
      </c>
      <c r="AF77" s="167"/>
      <c r="AG77" s="230">
        <f>+AD76+AD77</f>
        <v>379.375</v>
      </c>
      <c r="AH77" s="124"/>
      <c r="AI77" s="91"/>
    </row>
    <row r="78" spans="1:35" ht="62.25" customHeight="1" thickTop="1" x14ac:dyDescent="0.9">
      <c r="A78" s="124"/>
      <c r="B78" s="127">
        <f>+B79</f>
        <v>19</v>
      </c>
      <c r="C78" s="106"/>
      <c r="D78" s="106"/>
      <c r="E78" s="106"/>
      <c r="F78" s="106"/>
      <c r="G78" s="106"/>
      <c r="H78" s="106"/>
      <c r="I78" s="107" t="s">
        <v>20</v>
      </c>
      <c r="J78" s="108" t="s">
        <v>23</v>
      </c>
      <c r="K78" s="100" t="s">
        <v>21</v>
      </c>
      <c r="L78" s="213">
        <v>100</v>
      </c>
      <c r="M78" s="213">
        <v>50</v>
      </c>
      <c r="N78" s="213">
        <v>100</v>
      </c>
      <c r="O78" s="213"/>
      <c r="P78" s="213"/>
      <c r="Q78" s="213"/>
      <c r="R78" s="213"/>
      <c r="S78" s="213"/>
      <c r="T78" s="213"/>
      <c r="U78" s="213"/>
      <c r="V78" s="213"/>
      <c r="W78" s="135"/>
      <c r="X78" s="513">
        <f>+W80</f>
        <v>6.6666666666669983E-2</v>
      </c>
      <c r="Y78" s="135">
        <f>+SUM(L78:V78)</f>
        <v>250</v>
      </c>
      <c r="Z78" s="136">
        <f>+AA78+Y78</f>
        <v>4510</v>
      </c>
      <c r="AA78" s="136">
        <v>4260</v>
      </c>
      <c r="AB78" s="109"/>
      <c r="AC78" s="110"/>
      <c r="AD78" s="157"/>
      <c r="AE78" s="167">
        <f t="shared" si="1"/>
        <v>0</v>
      </c>
      <c r="AF78" s="167"/>
      <c r="AG78" s="167"/>
      <c r="AH78" s="124"/>
    </row>
    <row r="79" spans="1:35" ht="62.25" customHeight="1" x14ac:dyDescent="0.9">
      <c r="A79" s="124"/>
      <c r="B79" s="133">
        <v>19</v>
      </c>
      <c r="C79" s="111" t="s">
        <v>292</v>
      </c>
      <c r="D79" s="111"/>
      <c r="E79" s="111" t="s">
        <v>35</v>
      </c>
      <c r="F79" s="111" t="s">
        <v>293</v>
      </c>
      <c r="G79" s="111">
        <v>11466</v>
      </c>
      <c r="H79" s="111" t="s">
        <v>33</v>
      </c>
      <c r="I79" s="113">
        <v>61.52</v>
      </c>
      <c r="J79" s="130">
        <v>45</v>
      </c>
      <c r="K79" s="101" t="s">
        <v>17</v>
      </c>
      <c r="L79" s="214">
        <v>47</v>
      </c>
      <c r="M79" s="214">
        <v>47</v>
      </c>
      <c r="N79" s="214">
        <v>47</v>
      </c>
      <c r="O79" s="214">
        <v>47</v>
      </c>
      <c r="P79" s="214">
        <v>37</v>
      </c>
      <c r="Q79" s="214">
        <v>22</v>
      </c>
      <c r="R79" s="214">
        <v>57</v>
      </c>
      <c r="S79" s="214">
        <v>34</v>
      </c>
      <c r="T79" s="214"/>
      <c r="U79" s="214"/>
      <c r="V79" s="214"/>
      <c r="W79" s="123">
        <f>+IF(COUNTA(L79:V79)=8,Y79/(COUNTA(L79:V79)-0.5),IF(COUNTA(L79:V79)=0,0,Y79/COUNTA(L79:V79)))</f>
        <v>45.06666666666667</v>
      </c>
      <c r="X79" s="514"/>
      <c r="Y79" s="134">
        <f>+SUM(L79:V79)</f>
        <v>338</v>
      </c>
      <c r="Z79" s="137">
        <f>+Y79+AA79</f>
        <v>3543</v>
      </c>
      <c r="AA79" s="137">
        <v>3205</v>
      </c>
      <c r="AB79" s="140">
        <f>+Z78-Z79</f>
        <v>967</v>
      </c>
      <c r="AC79" s="131">
        <f>+IF(((Y80+(Y81/2))*60)=0,"",(I79*Y79)/((Y80+(Y81/2))*60))</f>
        <v>0.82172535072120145</v>
      </c>
      <c r="AD79" s="157"/>
      <c r="AE79" s="167">
        <f t="shared" si="1"/>
        <v>0</v>
      </c>
      <c r="AF79" s="167">
        <f>+Y79*I79</f>
        <v>20793.760000000002</v>
      </c>
      <c r="AG79" s="167"/>
      <c r="AH79" s="124"/>
    </row>
    <row r="80" spans="1:35" ht="62.25" customHeight="1" x14ac:dyDescent="0.9">
      <c r="A80" s="124"/>
      <c r="B80" s="125">
        <f>+B79</f>
        <v>19</v>
      </c>
      <c r="C80" s="184"/>
      <c r="D80" s="111">
        <f>+B79</f>
        <v>19</v>
      </c>
      <c r="E80" s="111"/>
      <c r="F80" s="112" t="e">
        <f>+VLOOKUP(F79,'Obj Prix'!$H:$H,2,FALSE)</f>
        <v>#N/A</v>
      </c>
      <c r="G80" s="238" t="s">
        <v>263</v>
      </c>
      <c r="H80" s="210"/>
      <c r="I80" s="113">
        <v>3</v>
      </c>
      <c r="J80" s="114" t="s">
        <v>22</v>
      </c>
      <c r="K80" s="102" t="s">
        <v>18</v>
      </c>
      <c r="L80" s="215">
        <v>53</v>
      </c>
      <c r="M80" s="215">
        <v>55</v>
      </c>
      <c r="N80" s="215">
        <v>55</v>
      </c>
      <c r="O80" s="215">
        <v>55</v>
      </c>
      <c r="P80" s="215">
        <v>55</v>
      </c>
      <c r="Q80" s="215">
        <v>55</v>
      </c>
      <c r="R80" s="215">
        <v>55</v>
      </c>
      <c r="S80" s="215">
        <v>55</v>
      </c>
      <c r="T80" s="215"/>
      <c r="U80" s="244"/>
      <c r="V80" s="215"/>
      <c r="W80" s="160">
        <f>+W79-J79</f>
        <v>6.6666666666669983E-2</v>
      </c>
      <c r="X80" s="514"/>
      <c r="Y80" s="103">
        <f>+SUM(L80:V80)-S80/2</f>
        <v>410.5</v>
      </c>
      <c r="Z80" s="138"/>
      <c r="AA80" s="138"/>
      <c r="AB80" s="115"/>
      <c r="AC80" s="116"/>
      <c r="AD80" s="157">
        <f>-(R80+(R81/2))*$AD$2/60</f>
        <v>-42.375</v>
      </c>
      <c r="AE80" s="167">
        <f t="shared" si="1"/>
        <v>-2542.5</v>
      </c>
      <c r="AF80" s="167"/>
      <c r="AG80" s="167"/>
      <c r="AH80" s="124"/>
    </row>
    <row r="81" spans="1:36" s="98" customFormat="1" ht="62.25" customHeight="1" thickBot="1" x14ac:dyDescent="0.95">
      <c r="A81" s="124"/>
      <c r="B81" s="126">
        <f>+B79</f>
        <v>19</v>
      </c>
      <c r="C81" s="174" t="s">
        <v>284</v>
      </c>
      <c r="D81" s="175">
        <f>+D80+100</f>
        <v>119</v>
      </c>
      <c r="E81" s="175"/>
      <c r="F81" s="117" t="s">
        <v>94</v>
      </c>
      <c r="G81" s="117"/>
      <c r="H81" s="159" t="s">
        <v>301</v>
      </c>
      <c r="I81" s="165">
        <f>+IF(J81="","",IF(J79=0,"",(J79*I79)/(J81*60)))</f>
        <v>0.85444444444444445</v>
      </c>
      <c r="J81" s="118">
        <v>54</v>
      </c>
      <c r="K81" s="104" t="s">
        <v>19</v>
      </c>
      <c r="L81" s="216">
        <v>3</v>
      </c>
      <c r="M81" s="216">
        <v>3</v>
      </c>
      <c r="N81" s="216">
        <v>3</v>
      </c>
      <c r="O81" s="216">
        <v>3</v>
      </c>
      <c r="P81" s="216">
        <v>3</v>
      </c>
      <c r="Q81" s="216">
        <v>3</v>
      </c>
      <c r="R81" s="216">
        <v>3</v>
      </c>
      <c r="S81" s="216">
        <v>3</v>
      </c>
      <c r="T81" s="216"/>
      <c r="U81" s="245"/>
      <c r="V81" s="216"/>
      <c r="W81" s="173"/>
      <c r="X81" s="169">
        <v>33.630000000000003</v>
      </c>
      <c r="Y81" s="105">
        <f>+SUM(L81:V81)-S81/2</f>
        <v>22.5</v>
      </c>
      <c r="Z81" s="139"/>
      <c r="AA81" s="139"/>
      <c r="AB81" s="119">
        <f>+IFERROR(AB79/(J79*9),"")</f>
        <v>2.3876543209876542</v>
      </c>
      <c r="AC81" s="120"/>
      <c r="AD81" s="161">
        <f>+Y80+Y81/2</f>
        <v>421.75</v>
      </c>
      <c r="AE81" s="167">
        <f t="shared" si="1"/>
        <v>25305</v>
      </c>
      <c r="AF81" s="167"/>
      <c r="AG81" s="230">
        <f>+AD80+AD81</f>
        <v>379.375</v>
      </c>
      <c r="AH81" s="124"/>
      <c r="AI81" s="91"/>
    </row>
    <row r="82" spans="1:36" s="98" customFormat="1" ht="39.75" customHeight="1" thickTop="1" thickBot="1" x14ac:dyDescent="0.95">
      <c r="A82" s="124"/>
      <c r="B82" s="94"/>
      <c r="C82" s="176"/>
      <c r="D82" s="91"/>
      <c r="E82" s="91"/>
      <c r="F82" s="91"/>
      <c r="G82" s="91"/>
      <c r="I82" s="91"/>
      <c r="J82" s="91"/>
      <c r="K82" s="99"/>
      <c r="L82" s="124"/>
      <c r="M82" s="124"/>
      <c r="N82" s="124"/>
      <c r="O82" s="124"/>
      <c r="P82" s="124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  <c r="AC82" s="95"/>
      <c r="AD82" s="158"/>
      <c r="AE82" s="167"/>
      <c r="AG82" s="167"/>
      <c r="AH82" s="124"/>
      <c r="AI82" s="220"/>
      <c r="AJ82" s="220"/>
    </row>
    <row r="83" spans="1:36" s="148" customFormat="1" ht="91.5" customHeight="1" thickTop="1" thickBot="1" x14ac:dyDescent="0.55000000000000004">
      <c r="A83" s="164"/>
      <c r="B83" s="181"/>
      <c r="C83" s="525" t="s">
        <v>266</v>
      </c>
      <c r="D83" s="525"/>
      <c r="E83" s="525"/>
      <c r="F83" s="239" t="s">
        <v>264</v>
      </c>
      <c r="G83" s="240">
        <f>+COUNTIF(G6:G81,"A.FINAL")</f>
        <v>13</v>
      </c>
      <c r="H83" s="98"/>
      <c r="I83" s="92"/>
      <c r="J83" s="92"/>
      <c r="K83" s="179" t="s">
        <v>17</v>
      </c>
      <c r="L83" s="166">
        <f t="shared" ref="L83:V83" si="2">+SUMIF($K$6:$K$82,$K$83,L6:L82)</f>
        <v>623</v>
      </c>
      <c r="M83" s="166">
        <f t="shared" si="2"/>
        <v>674</v>
      </c>
      <c r="N83" s="166">
        <f t="shared" si="2"/>
        <v>737</v>
      </c>
      <c r="O83" s="166">
        <f t="shared" si="2"/>
        <v>740</v>
      </c>
      <c r="P83" s="166">
        <f t="shared" si="2"/>
        <v>711</v>
      </c>
      <c r="Q83" s="166">
        <f t="shared" si="2"/>
        <v>545</v>
      </c>
      <c r="R83" s="166">
        <f t="shared" si="2"/>
        <v>577</v>
      </c>
      <c r="S83" s="166">
        <f t="shared" si="2"/>
        <v>320</v>
      </c>
      <c r="T83" s="166">
        <f t="shared" si="2"/>
        <v>0</v>
      </c>
      <c r="U83" s="166">
        <f t="shared" si="2"/>
        <v>0</v>
      </c>
      <c r="V83" s="166">
        <f t="shared" si="2"/>
        <v>0</v>
      </c>
      <c r="W83" s="2"/>
      <c r="X83" s="166">
        <f>+SUM(L83:V83)</f>
        <v>4927</v>
      </c>
      <c r="Y83" s="92"/>
      <c r="Z83" s="164"/>
      <c r="AA83" s="92"/>
      <c r="AB83" s="92"/>
      <c r="AC83" s="177"/>
      <c r="AD83" s="178"/>
      <c r="AE83" s="167">
        <f>+AD83*60</f>
        <v>0</v>
      </c>
      <c r="AG83" s="167"/>
      <c r="AH83" s="164"/>
      <c r="AI83" s="91"/>
    </row>
    <row r="84" spans="1:36" s="148" customFormat="1" ht="91.5" customHeight="1" thickTop="1" thickBot="1" x14ac:dyDescent="0.55000000000000004">
      <c r="A84" s="164"/>
      <c r="B84" s="223"/>
      <c r="C84" s="525"/>
      <c r="D84" s="525"/>
      <c r="E84" s="525"/>
      <c r="F84" s="239" t="s">
        <v>265</v>
      </c>
      <c r="G84" s="241">
        <f>+SUMPRODUCT(1/COUNTIF(B6:B81,B6:B81))-G83</f>
        <v>4</v>
      </c>
      <c r="H84" s="98"/>
      <c r="I84" s="223"/>
      <c r="J84" s="223"/>
      <c r="K84" s="223"/>
      <c r="L84" s="223"/>
      <c r="M84" s="223"/>
      <c r="N84" s="223"/>
      <c r="O84" s="223"/>
      <c r="P84" s="223"/>
      <c r="Q84" s="223"/>
      <c r="R84" s="223"/>
      <c r="S84" s="223"/>
      <c r="T84" s="223"/>
      <c r="U84" s="223"/>
      <c r="V84" s="223"/>
      <c r="W84" s="223"/>
      <c r="X84" s="223"/>
      <c r="Y84" s="92"/>
      <c r="Z84" s="92"/>
      <c r="AA84" s="92"/>
      <c r="AB84" s="92"/>
      <c r="AC84" s="177"/>
      <c r="AD84" s="178"/>
      <c r="AE84" s="167"/>
      <c r="AG84" s="167"/>
      <c r="AH84" s="164"/>
      <c r="AI84" s="91"/>
    </row>
    <row r="85" spans="1:36" s="98" customFormat="1" ht="91.5" customHeight="1" thickTop="1" thickBot="1" x14ac:dyDescent="0.95">
      <c r="A85" s="124"/>
      <c r="B85" s="94"/>
      <c r="C85" s="91"/>
      <c r="D85" s="91"/>
      <c r="E85" s="91"/>
      <c r="F85" s="91"/>
      <c r="G85" s="91"/>
      <c r="H85" s="91"/>
      <c r="I85" s="91"/>
      <c r="J85" s="91"/>
      <c r="K85" s="208" t="s">
        <v>18</v>
      </c>
      <c r="L85" s="166">
        <f t="shared" ref="L85:V85" si="3">+SUMIF($K$6:$K$82,$K$85,L6:L82)</f>
        <v>905</v>
      </c>
      <c r="M85" s="166">
        <f t="shared" si="3"/>
        <v>917</v>
      </c>
      <c r="N85" s="166">
        <f t="shared" si="3"/>
        <v>921</v>
      </c>
      <c r="O85" s="166">
        <f t="shared" si="3"/>
        <v>921</v>
      </c>
      <c r="P85" s="166">
        <f t="shared" si="3"/>
        <v>921</v>
      </c>
      <c r="Q85" s="166">
        <f t="shared" si="3"/>
        <v>921</v>
      </c>
      <c r="R85" s="166">
        <f t="shared" si="3"/>
        <v>921</v>
      </c>
      <c r="S85" s="166">
        <f t="shared" si="3"/>
        <v>921</v>
      </c>
      <c r="T85" s="166">
        <f t="shared" si="3"/>
        <v>0</v>
      </c>
      <c r="U85" s="166">
        <f t="shared" si="3"/>
        <v>0</v>
      </c>
      <c r="V85" s="166">
        <f t="shared" si="3"/>
        <v>0</v>
      </c>
      <c r="W85" s="2"/>
      <c r="X85" s="91"/>
      <c r="Y85" s="91"/>
      <c r="Z85" s="91"/>
      <c r="AA85" s="91"/>
      <c r="AB85" s="91"/>
      <c r="AC85" s="95"/>
      <c r="AD85" s="158"/>
      <c r="AG85" s="167"/>
      <c r="AH85" s="124"/>
      <c r="AI85" s="91"/>
    </row>
    <row r="86" spans="1:36" s="98" customFormat="1" ht="91.5" customHeight="1" thickTop="1" thickBot="1" x14ac:dyDescent="0.95">
      <c r="A86" s="124"/>
      <c r="B86" s="94"/>
      <c r="C86" s="91"/>
      <c r="D86" s="91"/>
      <c r="E86" s="91"/>
      <c r="F86" s="91"/>
      <c r="G86" s="91"/>
      <c r="H86" s="92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 t="s">
        <v>185</v>
      </c>
      <c r="Y86" s="91"/>
      <c r="Z86" s="91"/>
      <c r="AA86" s="91"/>
      <c r="AB86" s="91"/>
      <c r="AC86" s="95"/>
      <c r="AD86" s="158"/>
      <c r="AG86" s="167"/>
      <c r="AH86" s="124"/>
      <c r="AI86" s="91"/>
    </row>
    <row r="87" spans="1:36" s="98" customFormat="1" ht="91.5" customHeight="1" thickTop="1" thickBot="1" x14ac:dyDescent="0.95">
      <c r="A87" s="124"/>
      <c r="B87" s="94"/>
      <c r="C87" s="92"/>
      <c r="D87" s="92"/>
      <c r="E87" s="92"/>
      <c r="F87" s="92"/>
      <c r="G87" s="92"/>
      <c r="H87" s="223"/>
      <c r="I87" s="93"/>
      <c r="J87" s="92"/>
      <c r="K87" s="208" t="s">
        <v>19</v>
      </c>
      <c r="L87" s="166">
        <f t="shared" ref="L87:V87" si="4">+SUMIF($K$6:$K$82,$K$87,L6:L82)</f>
        <v>42</v>
      </c>
      <c r="M87" s="166">
        <f t="shared" si="4"/>
        <v>42</v>
      </c>
      <c r="N87" s="166">
        <f t="shared" si="4"/>
        <v>42</v>
      </c>
      <c r="O87" s="166">
        <f t="shared" si="4"/>
        <v>42</v>
      </c>
      <c r="P87" s="166">
        <f t="shared" si="4"/>
        <v>42</v>
      </c>
      <c r="Q87" s="166">
        <f t="shared" si="4"/>
        <v>42</v>
      </c>
      <c r="R87" s="166">
        <f t="shared" si="4"/>
        <v>42</v>
      </c>
      <c r="S87" s="166">
        <f t="shared" si="4"/>
        <v>42</v>
      </c>
      <c r="T87" s="166">
        <f t="shared" si="4"/>
        <v>0</v>
      </c>
      <c r="U87" s="166">
        <f t="shared" si="4"/>
        <v>0</v>
      </c>
      <c r="V87" s="166">
        <f t="shared" si="4"/>
        <v>0</v>
      </c>
      <c r="W87" s="2"/>
      <c r="X87" s="91"/>
      <c r="Y87" s="91"/>
      <c r="Z87" s="91"/>
      <c r="AA87" s="91"/>
      <c r="AB87" s="91"/>
      <c r="AC87" s="95"/>
      <c r="AD87" s="158"/>
      <c r="AH87" s="124"/>
      <c r="AI87" s="91"/>
    </row>
    <row r="88" spans="1:36" s="98" customFormat="1" ht="62.25" customHeight="1" thickTop="1" x14ac:dyDescent="0.9">
      <c r="A88" s="124"/>
      <c r="B88" s="94"/>
      <c r="C88" s="92"/>
      <c r="D88" s="92"/>
      <c r="E88" s="92"/>
      <c r="F88" s="92"/>
      <c r="G88" s="92"/>
      <c r="H88" s="91"/>
      <c r="I88" s="93"/>
      <c r="J88" s="92"/>
      <c r="K88" s="99"/>
      <c r="L88" s="209">
        <f>+IF(L85=0,"",L87/L85)</f>
        <v>4.6408839779005527E-2</v>
      </c>
      <c r="M88" s="209">
        <f t="shared" ref="M88:V88" si="5">+IF(M85=0,"",M87/M85)</f>
        <v>4.5801526717557252E-2</v>
      </c>
      <c r="N88" s="209">
        <f t="shared" si="5"/>
        <v>4.5602605863192182E-2</v>
      </c>
      <c r="O88" s="209">
        <f t="shared" si="5"/>
        <v>4.5602605863192182E-2</v>
      </c>
      <c r="P88" s="209">
        <f t="shared" si="5"/>
        <v>4.5602605863192182E-2</v>
      </c>
      <c r="Q88" s="209">
        <f t="shared" si="5"/>
        <v>4.5602605863192182E-2</v>
      </c>
      <c r="R88" s="209">
        <f t="shared" si="5"/>
        <v>4.5602605863192182E-2</v>
      </c>
      <c r="S88" s="209">
        <f t="shared" si="5"/>
        <v>4.5602605863192182E-2</v>
      </c>
      <c r="T88" s="209" t="str">
        <f t="shared" si="5"/>
        <v/>
      </c>
      <c r="U88" s="209" t="str">
        <f t="shared" si="5"/>
        <v/>
      </c>
      <c r="V88" s="209" t="str">
        <f t="shared" si="5"/>
        <v/>
      </c>
      <c r="W88" s="91"/>
      <c r="X88" s="91"/>
      <c r="Y88" s="91"/>
      <c r="Z88" s="91"/>
      <c r="AA88" s="91"/>
      <c r="AB88" s="211"/>
      <c r="AC88" s="95"/>
      <c r="AD88" s="158"/>
      <c r="AH88" s="124"/>
      <c r="AI88" s="91"/>
    </row>
    <row r="89" spans="1:36" s="98" customFormat="1" ht="62.25" customHeight="1" thickBot="1" x14ac:dyDescent="0.95">
      <c r="A89" s="124"/>
      <c r="B89" s="94"/>
      <c r="C89" s="92"/>
      <c r="D89" s="92"/>
      <c r="E89" s="92"/>
      <c r="F89" s="92"/>
      <c r="G89" s="92"/>
      <c r="H89" s="91"/>
      <c r="I89" s="93"/>
      <c r="J89" s="92"/>
      <c r="K89" s="99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  <c r="AC89" s="95"/>
      <c r="AD89" s="158"/>
      <c r="AH89" s="124"/>
      <c r="AI89" s="91"/>
    </row>
    <row r="90" spans="1:36" s="98" customFormat="1" ht="88.5" customHeight="1" thickTop="1" thickBot="1" x14ac:dyDescent="0.95">
      <c r="A90" s="124"/>
      <c r="B90" s="94"/>
      <c r="C90" s="92"/>
      <c r="D90" s="92"/>
      <c r="E90" s="92"/>
      <c r="F90" s="92"/>
      <c r="G90" s="92"/>
      <c r="H90" s="92"/>
      <c r="I90" s="93"/>
      <c r="J90" s="212" t="s">
        <v>18</v>
      </c>
      <c r="K90" s="222" t="s">
        <v>180</v>
      </c>
      <c r="L90" s="166">
        <f t="shared" ref="L90:V90" si="6">+IF(L85=0,"",SUMIF($K$6:$K$82,$J$90,$I$6:$I$82))</f>
        <v>35</v>
      </c>
      <c r="M90" s="166">
        <f t="shared" si="6"/>
        <v>35</v>
      </c>
      <c r="N90" s="166">
        <f t="shared" si="6"/>
        <v>35</v>
      </c>
      <c r="O90" s="166">
        <f t="shared" si="6"/>
        <v>35</v>
      </c>
      <c r="P90" s="166">
        <f t="shared" si="6"/>
        <v>35</v>
      </c>
      <c r="Q90" s="166">
        <f t="shared" si="6"/>
        <v>35</v>
      </c>
      <c r="R90" s="166">
        <f t="shared" si="6"/>
        <v>35</v>
      </c>
      <c r="S90" s="166">
        <f t="shared" si="6"/>
        <v>35</v>
      </c>
      <c r="T90" s="166" t="str">
        <f t="shared" si="6"/>
        <v/>
      </c>
      <c r="U90" s="166" t="str">
        <f t="shared" si="6"/>
        <v/>
      </c>
      <c r="V90" s="166" t="str">
        <f t="shared" si="6"/>
        <v/>
      </c>
      <c r="W90" s="2"/>
      <c r="X90" s="91"/>
      <c r="Y90" s="91"/>
      <c r="Z90" s="91"/>
      <c r="AA90" s="91"/>
      <c r="AB90" s="91"/>
      <c r="AC90" s="95"/>
      <c r="AD90" s="158"/>
      <c r="AH90" s="124"/>
      <c r="AI90" s="91"/>
    </row>
    <row r="91" spans="1:36" s="98" customFormat="1" ht="62.25" customHeight="1" thickTop="1" x14ac:dyDescent="0.9">
      <c r="A91" s="124"/>
      <c r="B91" s="94"/>
      <c r="C91" s="92"/>
      <c r="D91" s="92"/>
      <c r="E91" s="92"/>
      <c r="F91" s="92"/>
      <c r="G91" s="92"/>
      <c r="H91" s="92"/>
      <c r="I91" s="93"/>
      <c r="J91" s="212"/>
      <c r="K91" s="99"/>
      <c r="L91" s="209">
        <f>+IF(L85=0,"",L90/L85)</f>
        <v>3.8674033149171269E-2</v>
      </c>
      <c r="M91" s="209">
        <f t="shared" ref="M91:V91" si="7">+IF(M85=0,"",M90/M85)</f>
        <v>3.8167938931297711E-2</v>
      </c>
      <c r="N91" s="209">
        <f t="shared" si="7"/>
        <v>3.8002171552660155E-2</v>
      </c>
      <c r="O91" s="209">
        <f t="shared" si="7"/>
        <v>3.8002171552660155E-2</v>
      </c>
      <c r="P91" s="209">
        <f t="shared" si="7"/>
        <v>3.8002171552660155E-2</v>
      </c>
      <c r="Q91" s="209">
        <f t="shared" si="7"/>
        <v>3.8002171552660155E-2</v>
      </c>
      <c r="R91" s="209">
        <f t="shared" si="7"/>
        <v>3.8002171552660155E-2</v>
      </c>
      <c r="S91" s="209">
        <f t="shared" si="7"/>
        <v>3.8002171552660155E-2</v>
      </c>
      <c r="T91" s="209" t="str">
        <f t="shared" si="7"/>
        <v/>
      </c>
      <c r="U91" s="209" t="str">
        <f t="shared" si="7"/>
        <v/>
      </c>
      <c r="V91" s="209" t="str">
        <f t="shared" si="7"/>
        <v/>
      </c>
      <c r="W91" s="91"/>
      <c r="X91" s="91"/>
      <c r="Y91" s="91"/>
      <c r="Z91" s="91"/>
      <c r="AA91" s="91"/>
      <c r="AB91" s="91"/>
      <c r="AC91" s="95"/>
      <c r="AD91" s="158"/>
      <c r="AH91" s="124"/>
      <c r="AI91" s="91"/>
    </row>
    <row r="92" spans="1:36" s="98" customFormat="1" ht="62.25" customHeight="1" thickBot="1" x14ac:dyDescent="0.95">
      <c r="A92" s="124"/>
      <c r="B92" s="94"/>
      <c r="C92" s="92"/>
      <c r="D92" s="92"/>
      <c r="E92" s="92"/>
      <c r="F92" s="92"/>
      <c r="G92" s="92"/>
      <c r="H92" s="92"/>
      <c r="I92" s="93"/>
      <c r="J92" s="212"/>
      <c r="K92" s="99"/>
      <c r="L92" s="91"/>
      <c r="M92" s="91"/>
      <c r="N92" s="91"/>
      <c r="O92" s="91"/>
      <c r="P92" s="124"/>
      <c r="Q92" s="124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  <c r="AC92" s="95"/>
      <c r="AD92" s="158"/>
      <c r="AH92" s="124"/>
      <c r="AI92" s="91"/>
    </row>
    <row r="93" spans="1:36" s="98" customFormat="1" ht="98.25" customHeight="1" thickTop="1" thickBot="1" x14ac:dyDescent="0.95">
      <c r="A93" s="124"/>
      <c r="B93" s="94"/>
      <c r="C93" s="92"/>
      <c r="D93" s="92"/>
      <c r="E93" s="92"/>
      <c r="F93" s="92"/>
      <c r="G93" s="92"/>
      <c r="H93" s="92"/>
      <c r="I93" s="93"/>
      <c r="J93" s="212"/>
      <c r="K93" s="222" t="s">
        <v>181</v>
      </c>
      <c r="L93" s="166">
        <f t="shared" ref="L93:V93" si="8">+IF(L85=0,"",SUMIF($K$6:$K$82,$J$90,$H$6:$H$85))</f>
        <v>0</v>
      </c>
      <c r="M93" s="166">
        <f t="shared" si="8"/>
        <v>0</v>
      </c>
      <c r="N93" s="166">
        <f t="shared" si="8"/>
        <v>0</v>
      </c>
      <c r="O93" s="166">
        <f t="shared" si="8"/>
        <v>0</v>
      </c>
      <c r="P93" s="166">
        <f t="shared" si="8"/>
        <v>0</v>
      </c>
      <c r="Q93" s="166">
        <f t="shared" si="8"/>
        <v>0</v>
      </c>
      <c r="R93" s="166">
        <f t="shared" si="8"/>
        <v>0</v>
      </c>
      <c r="S93" s="166">
        <f t="shared" si="8"/>
        <v>0</v>
      </c>
      <c r="T93" s="166" t="str">
        <f t="shared" si="8"/>
        <v/>
      </c>
      <c r="U93" s="166" t="str">
        <f t="shared" si="8"/>
        <v/>
      </c>
      <c r="V93" s="166" t="str">
        <f t="shared" si="8"/>
        <v/>
      </c>
      <c r="W93" s="91"/>
      <c r="X93" s="91"/>
      <c r="Y93" s="91"/>
      <c r="Z93" s="91"/>
      <c r="AA93" s="91"/>
      <c r="AB93" s="91"/>
      <c r="AC93" s="95"/>
      <c r="AD93" s="158"/>
      <c r="AH93" s="124"/>
      <c r="AI93" s="91"/>
    </row>
    <row r="94" spans="1:36" s="98" customFormat="1" ht="62.25" customHeight="1" thickTop="1" x14ac:dyDescent="0.9">
      <c r="A94" s="124"/>
      <c r="B94" s="94"/>
      <c r="C94" s="92"/>
      <c r="D94" s="92"/>
      <c r="E94" s="92"/>
      <c r="F94" s="92"/>
      <c r="G94" s="92"/>
      <c r="H94" s="92"/>
      <c r="I94" s="93"/>
      <c r="J94" s="212"/>
      <c r="K94" s="99"/>
      <c r="L94" s="209">
        <f>+IF(L85=0,"",L93/L85)</f>
        <v>0</v>
      </c>
      <c r="M94" s="209">
        <f t="shared" ref="M94:V94" si="9">+IF(M85=0,"",M93/M85)</f>
        <v>0</v>
      </c>
      <c r="N94" s="209">
        <f t="shared" si="9"/>
        <v>0</v>
      </c>
      <c r="O94" s="209">
        <f t="shared" si="9"/>
        <v>0</v>
      </c>
      <c r="P94" s="209">
        <f t="shared" si="9"/>
        <v>0</v>
      </c>
      <c r="Q94" s="209">
        <f t="shared" si="9"/>
        <v>0</v>
      </c>
      <c r="R94" s="209">
        <f t="shared" si="9"/>
        <v>0</v>
      </c>
      <c r="S94" s="209">
        <f t="shared" si="9"/>
        <v>0</v>
      </c>
      <c r="T94" s="209" t="str">
        <f t="shared" si="9"/>
        <v/>
      </c>
      <c r="U94" s="209" t="str">
        <f t="shared" si="9"/>
        <v/>
      </c>
      <c r="V94" s="209" t="str">
        <f t="shared" si="9"/>
        <v/>
      </c>
      <c r="W94" s="91"/>
      <c r="X94" s="91"/>
      <c r="Y94" s="91"/>
      <c r="Z94" s="91"/>
      <c r="AA94" s="91"/>
      <c r="AB94" s="91"/>
      <c r="AC94" s="95"/>
      <c r="AD94" s="158"/>
      <c r="AH94" s="124"/>
      <c r="AI94" s="91"/>
    </row>
    <row r="95" spans="1:36" s="98" customFormat="1" ht="62.25" customHeight="1" x14ac:dyDescent="0.9">
      <c r="A95" s="124"/>
      <c r="B95" s="94"/>
      <c r="C95" s="92"/>
      <c r="D95" s="92"/>
      <c r="E95" s="92"/>
      <c r="F95" s="92"/>
      <c r="G95" s="92"/>
      <c r="H95" s="92"/>
      <c r="I95" s="93"/>
      <c r="J95" s="212"/>
      <c r="K95" s="99"/>
      <c r="L95" s="91"/>
      <c r="M95" s="91"/>
      <c r="N95" s="91"/>
      <c r="O95" s="91"/>
      <c r="P95" s="124"/>
      <c r="Q95" s="124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  <c r="AC95" s="95"/>
      <c r="AD95" s="158"/>
      <c r="AH95" s="124"/>
      <c r="AI95" s="91"/>
    </row>
    <row r="96" spans="1:36" s="98" customFormat="1" x14ac:dyDescent="0.55000000000000004">
      <c r="A96" s="91"/>
      <c r="B96" s="94"/>
      <c r="C96" s="92"/>
      <c r="D96" s="92"/>
      <c r="E96" s="92"/>
      <c r="F96" s="92"/>
      <c r="G96" s="92"/>
      <c r="H96" s="92"/>
      <c r="I96" s="93"/>
      <c r="J96" s="92"/>
      <c r="K96" s="99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5"/>
      <c r="AD96" s="155"/>
      <c r="AH96" s="91"/>
      <c r="AI96" s="91"/>
    </row>
    <row r="97" spans="1:35" s="98" customFormat="1" ht="46.5" x14ac:dyDescent="0.7">
      <c r="A97" s="91"/>
      <c r="B97" s="94"/>
      <c r="C97" s="92"/>
      <c r="D97" s="92"/>
      <c r="E97" s="92"/>
      <c r="F97" s="92"/>
      <c r="G97" s="92"/>
      <c r="H97" s="92"/>
      <c r="I97" s="93"/>
      <c r="J97" s="92"/>
      <c r="K97" s="99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5"/>
      <c r="AD97" s="158"/>
      <c r="AH97" s="91"/>
      <c r="AI97" s="91"/>
    </row>
    <row r="98" spans="1:35" ht="46.5" x14ac:dyDescent="0.7">
      <c r="I98" s="91"/>
      <c r="J98" s="91"/>
      <c r="S98" s="515"/>
      <c r="T98" s="515"/>
      <c r="U98" s="515"/>
      <c r="AD98" s="158"/>
    </row>
    <row r="99" spans="1:35" ht="105" customHeight="1" x14ac:dyDescent="0.7">
      <c r="AD99" s="158"/>
    </row>
    <row r="100" spans="1:35" ht="46.5" x14ac:dyDescent="0.7">
      <c r="A100" s="91" t="s">
        <v>197</v>
      </c>
      <c r="AD100" s="158"/>
    </row>
    <row r="101" spans="1:35" s="98" customFormat="1" ht="46.5" x14ac:dyDescent="0.7">
      <c r="A101" s="91"/>
      <c r="B101" s="94"/>
      <c r="C101" s="92"/>
      <c r="D101" s="92"/>
      <c r="E101" s="92"/>
      <c r="F101" s="92"/>
      <c r="G101" s="92"/>
      <c r="H101" s="91"/>
      <c r="I101" s="93"/>
      <c r="J101" s="92"/>
      <c r="K101" s="99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5"/>
      <c r="AD101" s="158"/>
      <c r="AH101" s="91"/>
      <c r="AI101" s="91"/>
    </row>
    <row r="102" spans="1:35" s="98" customFormat="1" ht="46.5" x14ac:dyDescent="0.7">
      <c r="A102" s="91"/>
      <c r="B102" s="94"/>
      <c r="C102" s="92"/>
      <c r="D102" s="92"/>
      <c r="E102" s="92"/>
      <c r="F102" s="92"/>
      <c r="G102" s="92"/>
      <c r="H102" s="92"/>
      <c r="I102" s="93"/>
      <c r="J102" s="92"/>
      <c r="K102" s="99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5"/>
      <c r="AD102" s="158"/>
      <c r="AH102" s="91"/>
      <c r="AI102" s="91"/>
    </row>
    <row r="103" spans="1:35" s="98" customFormat="1" ht="46.5" x14ac:dyDescent="0.7">
      <c r="A103" s="91"/>
      <c r="B103" s="94"/>
      <c r="C103" s="92"/>
      <c r="D103" s="92"/>
      <c r="E103" s="92"/>
      <c r="F103" s="92"/>
      <c r="G103" s="92"/>
      <c r="H103" s="92"/>
      <c r="I103" s="93"/>
      <c r="J103" s="92"/>
      <c r="K103" s="99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5"/>
      <c r="AD103" s="158"/>
      <c r="AH103" s="91"/>
      <c r="AI103" s="91"/>
    </row>
    <row r="104" spans="1:35" s="98" customFormat="1" ht="66" customHeight="1" x14ac:dyDescent="0.7">
      <c r="A104" s="91"/>
      <c r="B104" s="94"/>
      <c r="C104" s="92"/>
      <c r="D104" s="92"/>
      <c r="E104" s="92"/>
      <c r="F104" s="92"/>
      <c r="G104" s="92"/>
      <c r="H104" s="92"/>
      <c r="I104" s="93"/>
      <c r="J104" s="92"/>
      <c r="K104" s="99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5"/>
      <c r="AD104" s="158"/>
      <c r="AH104" s="91"/>
      <c r="AI104" s="91"/>
    </row>
  </sheetData>
  <sheetProtection selectLockedCells="1" autoFilter="0"/>
  <autoFilter ref="A5:CV81">
    <filterColumn colId="8" showButton="0"/>
  </autoFilter>
  <mergeCells count="30">
    <mergeCell ref="B1:Z2"/>
    <mergeCell ref="AB1:AC1"/>
    <mergeCell ref="AB2:AC3"/>
    <mergeCell ref="J3:K3"/>
    <mergeCell ref="B4:F4"/>
    <mergeCell ref="J4:K4"/>
    <mergeCell ref="U4:X4"/>
    <mergeCell ref="AB4:AC4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X74:X76"/>
    <mergeCell ref="X78:X80"/>
    <mergeCell ref="C83:E84"/>
    <mergeCell ref="S98:U98"/>
    <mergeCell ref="X50:X52"/>
    <mergeCell ref="X54:X56"/>
    <mergeCell ref="X58:X60"/>
    <mergeCell ref="X62:X64"/>
    <mergeCell ref="X66:X68"/>
    <mergeCell ref="X70:X72"/>
  </mergeCells>
  <conditionalFormatting sqref="U6:U26">
    <cfRule type="cellIs" dxfId="14018" priority="10" operator="equal">
      <formula>0</formula>
    </cfRule>
  </conditionalFormatting>
  <conditionalFormatting sqref="U28:U29">
    <cfRule type="cellIs" dxfId="14017" priority="25" operator="equal">
      <formula>0</formula>
    </cfRule>
  </conditionalFormatting>
  <conditionalFormatting sqref="U31:U33">
    <cfRule type="cellIs" dxfId="14016" priority="16" operator="equal">
      <formula>0</formula>
    </cfRule>
  </conditionalFormatting>
  <conditionalFormatting sqref="U35:U38">
    <cfRule type="cellIs" dxfId="14015" priority="5" operator="equal">
      <formula>0</formula>
    </cfRule>
  </conditionalFormatting>
  <conditionalFormatting sqref="U42:U44">
    <cfRule type="cellIs" dxfId="14014" priority="14" operator="equal">
      <formula>0</formula>
    </cfRule>
  </conditionalFormatting>
  <conditionalFormatting sqref="U46:U81">
    <cfRule type="cellIs" dxfId="14013" priority="2" operator="equal">
      <formula>0</formula>
    </cfRule>
  </conditionalFormatting>
  <conditionalFormatting sqref="W8">
    <cfRule type="cellIs" dxfId="14012" priority="7" operator="lessThan">
      <formula>0</formula>
    </cfRule>
  </conditionalFormatting>
  <conditionalFormatting sqref="W12 W16 W20 W24 W28 W32 W36 W40 W44 W48 W52 W56 W64 W68 W72 W76 W80">
    <cfRule type="cellIs" dxfId="14011" priority="4" operator="lessThan">
      <formula>0</formula>
    </cfRule>
  </conditionalFormatting>
  <conditionalFormatting sqref="W60">
    <cfRule type="cellIs" dxfId="14010" priority="1" operator="lessThan">
      <formula>0</formula>
    </cfRule>
  </conditionalFormatting>
  <conditionalFormatting sqref="AB2:AC3">
    <cfRule type="cellIs" dxfId="14009" priority="42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 r:id="rId1"/>
  <headerFooter>
    <oddHeader>&amp;L&amp;"-,Bold"&amp;48&amp;T</oddHeader>
  </headerFooter>
  <rowBreaks count="2" manualBreakCount="2">
    <brk id="41" max="32" man="1"/>
    <brk id="81" max="31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7" id="{D1DB93AB-0033-482B-A4C7-6F05D1D4F5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3" id="{33EB4637-1F15-47AE-AA33-85DF3333EB9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11" id="{7574738C-7DAF-45E9-84BC-CF1FD873D7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39" id="{52A18706-E14C-4AC9-BEF8-E1D8D8E684A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13" id="{028BA265-B4AE-4F89-9143-BFAD0A0C63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24" id="{D196822A-0985-461B-B578-5212CC141AD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17" id="{6010DDB1-38D4-449C-AB01-E81FD78472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6" id="{85AD4B23-478D-4A80-B069-D4CAED30DC6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30" id="{C92A387A-E31F-4483-B7E1-6C5539C5FA5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15" id="{2A00AE7D-2464-4C98-AC43-4ED93940FE1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37" id="{81CE17DB-10D1-4BA1-84F5-2E9A3E7295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29" id="{DAF3B67B-B0F6-4AEB-8FD6-80C68DB46EB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19" id="{10D2A137-698F-4A5B-A08A-2DD154CA76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3" id="{7AACB758-AD20-4CB1-B301-2125A52490E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41" id="{DF70526A-8B4B-458E-A6F9-5135B97E41A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33" id="{A9DC49FD-3885-4B75-AB2F-A806F4B4F1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21" id="{88EFAADD-FA5D-453F-B38D-622439DE836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9" id="{EE1A0677-8097-4FC1-AF4E-F8DD3277EC6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35" id="{55192C12-73C2-450E-B51D-D4F7566068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tabColor rgb="FF00B0F0"/>
  </sheetPr>
  <dimension ref="A1:BD112"/>
  <sheetViews>
    <sheetView zoomScale="25" zoomScaleNormal="25" zoomScaleSheetLayoutView="23" zoomScalePageLayoutView="23" workbookViewId="0">
      <pane xSplit="2" ySplit="5" topLeftCell="K6" activePane="bottomRight" state="frozen"/>
      <selection activeCell="M52" sqref="M52"/>
      <selection pane="topRight" activeCell="M52" sqref="M52"/>
      <selection pane="bottomLeft" activeCell="M52" sqref="M52"/>
      <selection pane="bottomRight" activeCell="AG89" sqref="AG89"/>
    </sheetView>
  </sheetViews>
  <sheetFormatPr defaultColWidth="9.140625" defaultRowHeight="36" x14ac:dyDescent="0.55000000000000004"/>
  <cols>
    <col min="1" max="1" width="1" style="91" customWidth="1"/>
    <col min="2" max="2" width="18.85546875" style="94" customWidth="1"/>
    <col min="3" max="3" width="46.28515625" style="92" customWidth="1"/>
    <col min="4" max="4" width="3.85546875" style="92" hidden="1" customWidth="1"/>
    <col min="5" max="5" width="29.140625" style="92" customWidth="1"/>
    <col min="6" max="6" width="45.7109375" style="92" customWidth="1"/>
    <col min="7" max="7" width="31.140625" style="92" customWidth="1"/>
    <col min="8" max="8" width="45.140625" style="92" customWidth="1"/>
    <col min="9" max="9" width="26.7109375" style="93" customWidth="1"/>
    <col min="10" max="10" width="28.7109375" style="92" customWidth="1"/>
    <col min="11" max="11" width="42.42578125" style="99" customWidth="1"/>
    <col min="12" max="22" width="25.85546875" style="91" customWidth="1"/>
    <col min="23" max="23" width="27" style="91" customWidth="1"/>
    <col min="24" max="24" width="33.5703125" style="91" customWidth="1"/>
    <col min="25" max="25" width="33.140625" style="91" customWidth="1"/>
    <col min="26" max="26" width="37.42578125" style="91" customWidth="1"/>
    <col min="27" max="27" width="33.140625" style="91" hidden="1" customWidth="1"/>
    <col min="28" max="28" width="32.42578125" style="91" customWidth="1"/>
    <col min="29" max="29" width="30.42578125" style="95" customWidth="1"/>
    <col min="30" max="30" width="26.85546875" style="155" customWidth="1"/>
    <col min="31" max="31" width="32.42578125" style="98" customWidth="1"/>
    <col min="32" max="32" width="34" style="98" customWidth="1"/>
    <col min="33" max="33" width="35.42578125" style="98" customWidth="1"/>
    <col min="34" max="34" width="34.5703125" style="91" customWidth="1"/>
    <col min="35" max="35" width="40.7109375" style="91" customWidth="1"/>
    <col min="36" max="36" width="38.28515625" style="91" customWidth="1"/>
    <col min="37" max="43" width="9.140625" style="91" customWidth="1"/>
    <col min="44" max="44" width="30.28515625" style="91" customWidth="1"/>
    <col min="45" max="100" width="9.140625" style="91" customWidth="1"/>
    <col min="101" max="16384" width="9.140625" style="91"/>
  </cols>
  <sheetData>
    <row r="1" spans="1:35" ht="23.25" customHeight="1" x14ac:dyDescent="0.5">
      <c r="B1" s="526" t="s">
        <v>29</v>
      </c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  <c r="U1" s="526"/>
      <c r="V1" s="526"/>
      <c r="W1" s="526"/>
      <c r="X1" s="526"/>
      <c r="Y1" s="526"/>
      <c r="Z1" s="526"/>
      <c r="AB1" s="519" t="s">
        <v>81</v>
      </c>
      <c r="AC1" s="519"/>
    </row>
    <row r="2" spans="1:35" ht="67.5" customHeight="1" x14ac:dyDescent="0.7">
      <c r="A2" s="91">
        <v>77</v>
      </c>
      <c r="B2" s="526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96"/>
      <c r="AB2" s="520">
        <f>+AF2/AE2</f>
        <v>0.80229623243553927</v>
      </c>
      <c r="AC2" s="520"/>
      <c r="AD2" s="155">
        <v>15</v>
      </c>
      <c r="AE2" s="183">
        <f>+SUBTOTAL(9,AE6:AE107)</f>
        <v>504570</v>
      </c>
      <c r="AF2" s="183">
        <f>+SUBTOTAL(9,AF6:AF107)</f>
        <v>404814.61000000004</v>
      </c>
    </row>
    <row r="3" spans="1:35" ht="64.5" customHeight="1" x14ac:dyDescent="0.7">
      <c r="B3" s="233"/>
      <c r="C3" s="233"/>
      <c r="D3" s="233"/>
      <c r="E3" s="231"/>
      <c r="F3" s="231"/>
      <c r="G3" s="231"/>
      <c r="H3" s="231"/>
      <c r="I3" s="231"/>
      <c r="J3" s="521" t="s">
        <v>97</v>
      </c>
      <c r="K3" s="521"/>
      <c r="L3" s="147" t="s">
        <v>82</v>
      </c>
      <c r="M3" s="147" t="s">
        <v>267</v>
      </c>
      <c r="N3" s="147" t="s">
        <v>268</v>
      </c>
      <c r="O3" s="147" t="s">
        <v>269</v>
      </c>
      <c r="P3" s="147" t="s">
        <v>270</v>
      </c>
      <c r="Q3" s="147" t="s">
        <v>271</v>
      </c>
      <c r="R3" s="147" t="s">
        <v>272</v>
      </c>
      <c r="S3" s="147" t="s">
        <v>273</v>
      </c>
      <c r="T3" s="147" t="s">
        <v>262</v>
      </c>
      <c r="V3" s="243"/>
      <c r="X3" s="147"/>
      <c r="Y3" s="233"/>
      <c r="Z3" s="233"/>
      <c r="AA3" s="96"/>
      <c r="AB3" s="520"/>
      <c r="AC3" s="520"/>
      <c r="AE3" s="183"/>
      <c r="AF3" s="183"/>
    </row>
    <row r="4" spans="1:35" s="141" customFormat="1" ht="79.5" customHeight="1" thickBot="1" x14ac:dyDescent="0.75">
      <c r="B4" s="522" t="s">
        <v>108</v>
      </c>
      <c r="C4" s="522"/>
      <c r="D4" s="522"/>
      <c r="E4" s="522"/>
      <c r="F4" s="522"/>
      <c r="G4" s="217"/>
      <c r="I4" s="142"/>
      <c r="J4" s="523" t="s">
        <v>113</v>
      </c>
      <c r="K4" s="523"/>
      <c r="L4" s="225" t="s">
        <v>82</v>
      </c>
      <c r="M4" s="225" t="s">
        <v>83</v>
      </c>
      <c r="N4" s="225" t="s">
        <v>84</v>
      </c>
      <c r="O4" s="225" t="s">
        <v>85</v>
      </c>
      <c r="P4" s="225" t="s">
        <v>86</v>
      </c>
      <c r="Q4" s="225" t="s">
        <v>87</v>
      </c>
      <c r="R4" s="225" t="s">
        <v>88</v>
      </c>
      <c r="S4" s="225" t="s">
        <v>105</v>
      </c>
      <c r="T4" s="225" t="s">
        <v>106</v>
      </c>
      <c r="U4" s="528"/>
      <c r="V4" s="528"/>
      <c r="W4" s="528"/>
      <c r="X4" s="528"/>
      <c r="Y4" s="170">
        <f>+X91</f>
        <v>6441</v>
      </c>
      <c r="Z4" s="144" t="s">
        <v>28</v>
      </c>
      <c r="AA4" s="145"/>
      <c r="AB4" s="524">
        <v>44796</v>
      </c>
      <c r="AC4" s="524"/>
      <c r="AD4" s="171">
        <f>+SUM(AD6:AD95)</f>
        <v>8409.5</v>
      </c>
      <c r="AE4" s="98"/>
      <c r="AF4" s="98"/>
      <c r="AG4" s="148"/>
    </row>
    <row r="5" spans="1:35" s="232" customFormat="1" ht="97.5" customHeight="1" thickTop="1" thickBot="1" x14ac:dyDescent="0.3">
      <c r="B5" s="149" t="s">
        <v>16</v>
      </c>
      <c r="C5" s="150" t="s">
        <v>0</v>
      </c>
      <c r="D5" s="150"/>
      <c r="E5" s="150" t="s">
        <v>30</v>
      </c>
      <c r="F5" s="150" t="s">
        <v>1</v>
      </c>
      <c r="G5" s="163" t="s">
        <v>177</v>
      </c>
      <c r="H5" s="150" t="s">
        <v>24</v>
      </c>
      <c r="I5" s="516" t="s">
        <v>95</v>
      </c>
      <c r="J5" s="517"/>
      <c r="K5" s="151"/>
      <c r="L5" s="249" t="s">
        <v>89</v>
      </c>
      <c r="M5" s="150">
        <v>2</v>
      </c>
      <c r="N5" s="150">
        <v>3</v>
      </c>
      <c r="O5" s="150">
        <v>4</v>
      </c>
      <c r="P5" s="150">
        <v>5</v>
      </c>
      <c r="Q5" s="150">
        <v>6</v>
      </c>
      <c r="R5" s="150" t="s">
        <v>90</v>
      </c>
      <c r="S5" s="152" t="s">
        <v>91</v>
      </c>
      <c r="T5" s="152" t="s">
        <v>92</v>
      </c>
      <c r="U5" s="152" t="s">
        <v>11</v>
      </c>
      <c r="V5" s="152" t="s">
        <v>12</v>
      </c>
      <c r="W5" s="150" t="s">
        <v>72</v>
      </c>
      <c r="X5" s="163" t="s">
        <v>109</v>
      </c>
      <c r="Y5" s="150" t="s">
        <v>13</v>
      </c>
      <c r="Z5" s="150" t="s">
        <v>14</v>
      </c>
      <c r="AA5" s="153"/>
      <c r="AB5" s="153" t="s">
        <v>15</v>
      </c>
      <c r="AC5" s="154"/>
      <c r="AD5" s="156"/>
    </row>
    <row r="6" spans="1:35" s="98" customFormat="1" ht="62.25" customHeight="1" thickTop="1" x14ac:dyDescent="0.9">
      <c r="A6" s="124"/>
      <c r="B6" s="97">
        <f>+B7</f>
        <v>1</v>
      </c>
      <c r="C6" s="106"/>
      <c r="D6" s="106"/>
      <c r="E6" s="106"/>
      <c r="F6" s="106"/>
      <c r="G6" s="106"/>
      <c r="H6" s="106"/>
      <c r="I6" s="107" t="s">
        <v>20</v>
      </c>
      <c r="J6" s="108" t="s">
        <v>23</v>
      </c>
      <c r="K6" s="100" t="s">
        <v>21</v>
      </c>
      <c r="L6" s="215">
        <v>50</v>
      </c>
      <c r="M6" s="215">
        <v>50</v>
      </c>
      <c r="N6" s="215">
        <v>50</v>
      </c>
      <c r="O6" s="215">
        <v>50</v>
      </c>
      <c r="P6" s="215">
        <v>50</v>
      </c>
      <c r="Q6" s="215">
        <v>50</v>
      </c>
      <c r="R6" s="215"/>
      <c r="S6" s="215"/>
      <c r="T6" s="215"/>
      <c r="U6" s="215"/>
      <c r="W6" s="135"/>
      <c r="X6" s="513">
        <f>+W8</f>
        <v>-26.888888888888889</v>
      </c>
      <c r="Y6" s="135">
        <f t="shared" ref="Y6:Y37" si="0">+SUM(L6:V6)</f>
        <v>300</v>
      </c>
      <c r="Z6" s="136">
        <f>+AA6+Y6</f>
        <v>878</v>
      </c>
      <c r="AA6" s="136">
        <v>578</v>
      </c>
      <c r="AB6" s="109"/>
      <c r="AC6" s="110"/>
      <c r="AD6" s="157"/>
      <c r="AE6" s="167"/>
      <c r="AF6" s="167"/>
      <c r="AG6" s="167"/>
      <c r="AH6" s="124"/>
      <c r="AI6" s="91"/>
    </row>
    <row r="7" spans="1:35" s="98" customFormat="1" ht="62.25" customHeight="1" x14ac:dyDescent="0.9">
      <c r="A7" s="124"/>
      <c r="B7" s="132">
        <v>1</v>
      </c>
      <c r="C7" s="111" t="s">
        <v>314</v>
      </c>
      <c r="D7" s="111"/>
      <c r="E7" s="111" t="s">
        <v>35</v>
      </c>
      <c r="F7" s="111" t="s">
        <v>315</v>
      </c>
      <c r="G7" s="111">
        <v>10000</v>
      </c>
      <c r="H7" s="111" t="s">
        <v>33</v>
      </c>
      <c r="I7" s="113">
        <v>68.45</v>
      </c>
      <c r="J7" s="130">
        <v>50</v>
      </c>
      <c r="K7" s="101" t="s">
        <v>17</v>
      </c>
      <c r="L7" s="214">
        <v>0</v>
      </c>
      <c r="M7" s="214">
        <v>18</v>
      </c>
      <c r="N7" s="214">
        <v>23</v>
      </c>
      <c r="O7" s="214">
        <v>22</v>
      </c>
      <c r="P7" s="214">
        <v>25</v>
      </c>
      <c r="Q7" s="214">
        <v>30</v>
      </c>
      <c r="R7" s="214">
        <v>30</v>
      </c>
      <c r="S7" s="214">
        <v>30</v>
      </c>
      <c r="T7" s="214">
        <v>30</v>
      </c>
      <c r="U7" s="214"/>
      <c r="V7" s="214"/>
      <c r="W7" s="123">
        <f>+IF(COUNTA(L7:V7)=0,0,Y7/(COUNTA(L7:V7)))</f>
        <v>23.111111111111111</v>
      </c>
      <c r="X7" s="514"/>
      <c r="Y7" s="134">
        <f t="shared" si="0"/>
        <v>208</v>
      </c>
      <c r="Z7" s="137">
        <f>+Y7+AA7</f>
        <v>208</v>
      </c>
      <c r="AA7" s="137">
        <v>0</v>
      </c>
      <c r="AB7" s="140">
        <f>+Z6-Z7</f>
        <v>670</v>
      </c>
      <c r="AC7" s="131">
        <f>+IF(((Y8+(Y9/2))*60)=0,"",(I7*Y7)/((Y8+(Y9/2))*60))</f>
        <v>0.43861983980283425</v>
      </c>
      <c r="AD7" s="157"/>
      <c r="AE7" s="167"/>
      <c r="AF7" s="167">
        <f>+Y7*I7</f>
        <v>14237.6</v>
      </c>
      <c r="AG7" s="167"/>
      <c r="AH7" s="124"/>
      <c r="AI7" s="91"/>
    </row>
    <row r="8" spans="1:35" s="98" customFormat="1" ht="62.25" customHeight="1" x14ac:dyDescent="0.9">
      <c r="A8" s="124"/>
      <c r="B8" s="125">
        <f>B7</f>
        <v>1</v>
      </c>
      <c r="C8" s="184"/>
      <c r="D8" s="111">
        <f>+B7</f>
        <v>1</v>
      </c>
      <c r="E8" s="111"/>
      <c r="F8" s="112" t="e">
        <f>+VLOOKUP(F7,'Obj Prix'!$H:$H,2,FALSE)</f>
        <v>#N/A</v>
      </c>
      <c r="G8" s="238"/>
      <c r="H8" s="210"/>
      <c r="I8" s="210"/>
      <c r="J8" s="114" t="s">
        <v>22</v>
      </c>
      <c r="K8" s="102" t="s">
        <v>18</v>
      </c>
      <c r="L8" s="215">
        <v>54</v>
      </c>
      <c r="M8" s="215">
        <v>58</v>
      </c>
      <c r="N8" s="215">
        <v>60</v>
      </c>
      <c r="O8" s="215">
        <v>60</v>
      </c>
      <c r="P8" s="215">
        <v>60</v>
      </c>
      <c r="Q8" s="215">
        <v>60</v>
      </c>
      <c r="R8" s="215">
        <v>60</v>
      </c>
      <c r="S8" s="215">
        <v>60</v>
      </c>
      <c r="T8" s="215">
        <v>60</v>
      </c>
      <c r="U8" s="244"/>
      <c r="V8" s="215"/>
      <c r="W8" s="160">
        <f>+W7-J7</f>
        <v>-26.888888888888889</v>
      </c>
      <c r="X8" s="514"/>
      <c r="Y8" s="103">
        <f t="shared" si="0"/>
        <v>532</v>
      </c>
      <c r="Z8" s="103"/>
      <c r="AA8" s="103"/>
      <c r="AB8" s="115"/>
      <c r="AC8" s="116"/>
      <c r="AD8" s="157">
        <f>-(L8+(L9/2))*$AD$2/60</f>
        <v>-13.75</v>
      </c>
      <c r="AE8" s="167">
        <f>+AD8*60</f>
        <v>-825</v>
      </c>
      <c r="AF8" s="167"/>
      <c r="AG8" s="167"/>
      <c r="AH8" s="124"/>
      <c r="AI8" s="91"/>
    </row>
    <row r="9" spans="1:35" s="98" customFormat="1" ht="62.25" customHeight="1" thickBot="1" x14ac:dyDescent="0.95">
      <c r="A9" s="124"/>
      <c r="B9" s="126">
        <f>B7</f>
        <v>1</v>
      </c>
      <c r="C9" s="174" t="s">
        <v>77</v>
      </c>
      <c r="D9" s="175">
        <f>+D8+100</f>
        <v>101</v>
      </c>
      <c r="E9" s="175"/>
      <c r="F9" s="117" t="s">
        <v>94</v>
      </c>
      <c r="G9" s="218"/>
      <c r="H9" s="159"/>
      <c r="I9" s="165">
        <f>+IF(J9="","",IF(J7=0,"",(J7*I7)/(J9*60)))</f>
        <v>0.92002688172043012</v>
      </c>
      <c r="J9" s="118">
        <v>62</v>
      </c>
      <c r="K9" s="104" t="s">
        <v>19</v>
      </c>
      <c r="L9" s="216">
        <v>2</v>
      </c>
      <c r="M9" s="216">
        <v>2</v>
      </c>
      <c r="N9" s="216">
        <v>2</v>
      </c>
      <c r="O9" s="216">
        <v>2</v>
      </c>
      <c r="P9" s="216">
        <v>2</v>
      </c>
      <c r="Q9" s="216">
        <v>2</v>
      </c>
      <c r="R9" s="216">
        <v>2</v>
      </c>
      <c r="S9" s="216">
        <v>2</v>
      </c>
      <c r="T9" s="216">
        <v>2</v>
      </c>
      <c r="U9" s="245"/>
      <c r="V9" s="216"/>
      <c r="W9" s="173"/>
      <c r="X9" s="168">
        <f>15.55+(COUNTA(L7:V7)-(Y7/J7))</f>
        <v>20.39</v>
      </c>
      <c r="Y9" s="105">
        <f t="shared" si="0"/>
        <v>18</v>
      </c>
      <c r="Z9" s="105"/>
      <c r="AA9" s="105"/>
      <c r="AB9" s="119">
        <f>+IFERROR(AB7/(J7*9),"")</f>
        <v>1.4888888888888889</v>
      </c>
      <c r="AC9" s="120"/>
      <c r="AD9" s="161">
        <f>+Y8+Y9/2</f>
        <v>541</v>
      </c>
      <c r="AE9" s="167">
        <f>+AD9*60</f>
        <v>32460</v>
      </c>
      <c r="AF9" s="167"/>
      <c r="AG9" s="230">
        <f>+AD8+AD9</f>
        <v>527.25</v>
      </c>
      <c r="AH9" s="124"/>
      <c r="AI9" s="91"/>
    </row>
    <row r="10" spans="1:35" s="98" customFormat="1" ht="62.25" customHeight="1" thickTop="1" x14ac:dyDescent="0.9">
      <c r="A10" s="124"/>
      <c r="B10" s="127">
        <f>+B11</f>
        <v>2</v>
      </c>
      <c r="C10" s="106"/>
      <c r="D10" s="106"/>
      <c r="E10" s="106"/>
      <c r="F10" s="106"/>
      <c r="G10" s="106"/>
      <c r="H10" s="106"/>
      <c r="I10" s="107" t="s">
        <v>20</v>
      </c>
      <c r="J10" s="108" t="s">
        <v>23</v>
      </c>
      <c r="K10" s="100" t="s">
        <v>21</v>
      </c>
      <c r="L10" s="215">
        <v>80</v>
      </c>
      <c r="M10" s="215">
        <v>40</v>
      </c>
      <c r="N10" s="215">
        <v>80</v>
      </c>
      <c r="O10" s="215">
        <v>40</v>
      </c>
      <c r="P10" s="215">
        <v>40</v>
      </c>
      <c r="Q10" s="215">
        <v>40</v>
      </c>
      <c r="R10" s="215">
        <v>80</v>
      </c>
      <c r="S10" s="215">
        <v>40</v>
      </c>
      <c r="T10" s="215">
        <v>40</v>
      </c>
      <c r="U10" s="215"/>
      <c r="W10" s="135"/>
      <c r="X10" s="513">
        <f>+W12</f>
        <v>0.6666666666666643</v>
      </c>
      <c r="Y10" s="135">
        <f t="shared" si="0"/>
        <v>480</v>
      </c>
      <c r="Z10" s="136">
        <f>+AA10+Y10</f>
        <v>6040</v>
      </c>
      <c r="AA10" s="136">
        <v>5560</v>
      </c>
      <c r="AB10" s="109"/>
      <c r="AC10" s="110"/>
      <c r="AD10" s="157"/>
      <c r="AE10" s="167">
        <f t="shared" ref="AE10:AE85" si="1">+AD10*60</f>
        <v>0</v>
      </c>
      <c r="AF10" s="167"/>
      <c r="AG10" s="167"/>
      <c r="AH10" s="124"/>
      <c r="AI10" s="91"/>
    </row>
    <row r="11" spans="1:35" s="98" customFormat="1" ht="62.25" customHeight="1" x14ac:dyDescent="0.9">
      <c r="A11" s="124"/>
      <c r="B11" s="132">
        <v>2</v>
      </c>
      <c r="C11" s="111" t="s">
        <v>298</v>
      </c>
      <c r="D11" s="111"/>
      <c r="E11" s="111" t="s">
        <v>35</v>
      </c>
      <c r="F11" s="111" t="s">
        <v>299</v>
      </c>
      <c r="G11" s="111">
        <v>8731</v>
      </c>
      <c r="H11" s="111" t="s">
        <v>300</v>
      </c>
      <c r="I11" s="113">
        <v>54.97</v>
      </c>
      <c r="J11" s="130">
        <v>50</v>
      </c>
      <c r="K11" s="101" t="s">
        <v>17</v>
      </c>
      <c r="L11" s="214">
        <v>35</v>
      </c>
      <c r="M11" s="214">
        <v>52</v>
      </c>
      <c r="N11" s="214">
        <v>41</v>
      </c>
      <c r="O11" s="214">
        <v>52</v>
      </c>
      <c r="P11" s="214">
        <v>41</v>
      </c>
      <c r="Q11" s="214">
        <v>55</v>
      </c>
      <c r="R11" s="214">
        <v>55</v>
      </c>
      <c r="S11" s="214">
        <v>70</v>
      </c>
      <c r="T11" s="214">
        <v>55</v>
      </c>
      <c r="U11" s="214"/>
      <c r="V11" s="214"/>
      <c r="W11" s="123">
        <f>+IF(COUNTA(L11:V11)=0,0,Y11/(COUNTA(L11:V11)))</f>
        <v>50.666666666666664</v>
      </c>
      <c r="X11" s="514"/>
      <c r="Y11" s="134">
        <f t="shared" si="0"/>
        <v>456</v>
      </c>
      <c r="Z11" s="137">
        <f>+Y11+AA11</f>
        <v>5541</v>
      </c>
      <c r="AA11" s="137">
        <v>5085</v>
      </c>
      <c r="AB11" s="140">
        <f>+Z10-Z11</f>
        <v>499</v>
      </c>
      <c r="AC11" s="131">
        <f>+IF(((Y12+(Y13/2))*60)=0,"",(I11*Y11)/((Y12+(Y13/2))*60))</f>
        <v>0.96371856978085346</v>
      </c>
      <c r="AD11" s="157"/>
      <c r="AE11" s="167">
        <f t="shared" si="1"/>
        <v>0</v>
      </c>
      <c r="AF11" s="167">
        <f>+Y11*I11</f>
        <v>25066.32</v>
      </c>
      <c r="AG11" s="167"/>
      <c r="AH11" s="124"/>
      <c r="AI11" s="91"/>
    </row>
    <row r="12" spans="1:35" s="98" customFormat="1" ht="62.25" customHeight="1" x14ac:dyDescent="0.9">
      <c r="A12" s="124"/>
      <c r="B12" s="128">
        <f>+B11</f>
        <v>2</v>
      </c>
      <c r="C12" s="184"/>
      <c r="D12" s="111">
        <f>+B11</f>
        <v>2</v>
      </c>
      <c r="E12" s="111"/>
      <c r="F12" s="112" t="e">
        <f>+VLOOKUP(F11,'Obj Prix'!$H:$H,2,FALSE)</f>
        <v>#N/A</v>
      </c>
      <c r="G12" s="238"/>
      <c r="H12" s="210"/>
      <c r="I12" s="113">
        <v>3</v>
      </c>
      <c r="J12" s="114" t="s">
        <v>22</v>
      </c>
      <c r="K12" s="102" t="s">
        <v>18</v>
      </c>
      <c r="L12" s="215">
        <v>45</v>
      </c>
      <c r="M12" s="215">
        <v>48</v>
      </c>
      <c r="N12" s="215">
        <v>48</v>
      </c>
      <c r="O12" s="215">
        <v>48</v>
      </c>
      <c r="P12" s="215">
        <v>48</v>
      </c>
      <c r="Q12" s="215">
        <v>48</v>
      </c>
      <c r="R12" s="215">
        <v>48</v>
      </c>
      <c r="S12" s="215">
        <v>48</v>
      </c>
      <c r="T12" s="215">
        <v>48</v>
      </c>
      <c r="U12" s="244"/>
      <c r="V12" s="215"/>
      <c r="W12" s="160">
        <f>+W11-J11</f>
        <v>0.6666666666666643</v>
      </c>
      <c r="X12" s="514"/>
      <c r="Y12" s="103">
        <f t="shared" si="0"/>
        <v>429</v>
      </c>
      <c r="Z12" s="138"/>
      <c r="AA12" s="138"/>
      <c r="AB12" s="115"/>
      <c r="AC12" s="116"/>
      <c r="AD12" s="157">
        <f>-(L12+(L13/2))*$AD$2/60</f>
        <v>-11.375</v>
      </c>
      <c r="AE12" s="167">
        <f t="shared" si="1"/>
        <v>-682.5</v>
      </c>
      <c r="AF12" s="167"/>
      <c r="AG12" s="167"/>
      <c r="AH12" s="124"/>
      <c r="AI12" s="91"/>
    </row>
    <row r="13" spans="1:35" s="98" customFormat="1" ht="62.25" customHeight="1" thickBot="1" x14ac:dyDescent="0.95">
      <c r="A13" s="124"/>
      <c r="B13" s="129">
        <f>+B11</f>
        <v>2</v>
      </c>
      <c r="C13" s="174" t="s">
        <v>275</v>
      </c>
      <c r="D13" s="175">
        <f>+D12+100</f>
        <v>102</v>
      </c>
      <c r="E13" s="175"/>
      <c r="F13" s="117" t="s">
        <v>111</v>
      </c>
      <c r="G13" s="218"/>
      <c r="H13" s="146"/>
      <c r="I13" s="165">
        <f>+IF(J13="","",IF(J11=0,"",(J11*I11)/(J13*60)))</f>
        <v>0.88092948717948716</v>
      </c>
      <c r="J13" s="118">
        <v>52</v>
      </c>
      <c r="K13" s="104" t="s">
        <v>19</v>
      </c>
      <c r="L13" s="216">
        <v>1</v>
      </c>
      <c r="M13" s="216">
        <v>1</v>
      </c>
      <c r="N13" s="216">
        <v>1</v>
      </c>
      <c r="O13" s="216">
        <v>1</v>
      </c>
      <c r="P13" s="216">
        <v>1</v>
      </c>
      <c r="Q13" s="216">
        <v>1</v>
      </c>
      <c r="R13" s="216">
        <v>1</v>
      </c>
      <c r="S13" s="216">
        <v>1</v>
      </c>
      <c r="T13" s="216">
        <v>1</v>
      </c>
      <c r="U13" s="245"/>
      <c r="V13" s="216"/>
      <c r="W13" s="173"/>
      <c r="X13" s="169">
        <v>18.18</v>
      </c>
      <c r="Y13" s="105">
        <f t="shared" si="0"/>
        <v>9</v>
      </c>
      <c r="Z13" s="139"/>
      <c r="AA13" s="139"/>
      <c r="AB13" s="119">
        <f>+IFERROR(AB11/(J11*9),"")</f>
        <v>1.1088888888888888</v>
      </c>
      <c r="AC13" s="162"/>
      <c r="AD13" s="161">
        <f>+Y12+Y13/2</f>
        <v>433.5</v>
      </c>
      <c r="AE13" s="167">
        <f t="shared" si="1"/>
        <v>26010</v>
      </c>
      <c r="AF13" s="167"/>
      <c r="AG13" s="230">
        <f>+AD12+AD13</f>
        <v>422.125</v>
      </c>
      <c r="AH13" s="124"/>
      <c r="AI13" s="91"/>
    </row>
    <row r="14" spans="1:35" s="98" customFormat="1" ht="62.25" customHeight="1" thickTop="1" x14ac:dyDescent="0.9">
      <c r="A14" s="124"/>
      <c r="B14" s="127">
        <f>+B15</f>
        <v>3</v>
      </c>
      <c r="C14" s="106"/>
      <c r="D14" s="106"/>
      <c r="E14" s="106"/>
      <c r="F14" s="106"/>
      <c r="G14" s="106"/>
      <c r="H14" s="106"/>
      <c r="I14" s="107" t="s">
        <v>20</v>
      </c>
      <c r="J14" s="108" t="s">
        <v>23</v>
      </c>
      <c r="K14" s="100" t="s">
        <v>21</v>
      </c>
      <c r="L14" s="215">
        <v>50</v>
      </c>
      <c r="M14" s="215">
        <v>50</v>
      </c>
      <c r="N14" s="215">
        <v>50</v>
      </c>
      <c r="O14" s="215">
        <v>50</v>
      </c>
      <c r="P14" s="215">
        <v>50</v>
      </c>
      <c r="Q14" s="215">
        <v>50</v>
      </c>
      <c r="R14" s="215">
        <v>50</v>
      </c>
      <c r="S14" s="215">
        <v>50</v>
      </c>
      <c r="T14" s="215">
        <v>50</v>
      </c>
      <c r="U14" s="215"/>
      <c r="W14" s="135"/>
      <c r="X14" s="513">
        <f>+W16</f>
        <v>0</v>
      </c>
      <c r="Y14" s="135">
        <f t="shared" si="0"/>
        <v>450</v>
      </c>
      <c r="Z14" s="136">
        <f>+AA14+Y14</f>
        <v>1550</v>
      </c>
      <c r="AA14" s="136">
        <v>1100</v>
      </c>
      <c r="AB14" s="109"/>
      <c r="AC14" s="110"/>
      <c r="AD14" s="157"/>
      <c r="AE14" s="167">
        <f t="shared" si="1"/>
        <v>0</v>
      </c>
      <c r="AF14" s="167"/>
      <c r="AG14" s="167"/>
      <c r="AH14" s="124"/>
      <c r="AI14" s="91"/>
    </row>
    <row r="15" spans="1:35" s="98" customFormat="1" ht="62.25" customHeight="1" x14ac:dyDescent="0.9">
      <c r="A15" s="124"/>
      <c r="B15" s="132">
        <v>3</v>
      </c>
      <c r="C15" s="111" t="s">
        <v>309</v>
      </c>
      <c r="D15" s="111"/>
      <c r="E15" s="111" t="s">
        <v>35</v>
      </c>
      <c r="F15" s="111" t="s">
        <v>310</v>
      </c>
      <c r="G15" s="111">
        <v>14500</v>
      </c>
      <c r="H15" s="111" t="s">
        <v>33</v>
      </c>
      <c r="I15" s="113">
        <v>70.680000000000007</v>
      </c>
      <c r="J15" s="130">
        <v>44</v>
      </c>
      <c r="K15" s="101" t="s">
        <v>17</v>
      </c>
      <c r="L15" s="214">
        <v>20</v>
      </c>
      <c r="M15" s="214">
        <v>50</v>
      </c>
      <c r="N15" s="214">
        <v>50</v>
      </c>
      <c r="O15" s="214">
        <v>50</v>
      </c>
      <c r="P15" s="247">
        <v>50</v>
      </c>
      <c r="Q15" s="247">
        <v>50</v>
      </c>
      <c r="R15" s="247">
        <v>45</v>
      </c>
      <c r="S15" s="247">
        <v>45</v>
      </c>
      <c r="T15" s="247">
        <v>36</v>
      </c>
      <c r="U15" s="214"/>
      <c r="V15" s="214"/>
      <c r="W15" s="123">
        <f>+IF(COUNTA(L15:V15)=0,0,Y15/(COUNTA(L15:V15)))</f>
        <v>44</v>
      </c>
      <c r="X15" s="514"/>
      <c r="Y15" s="134">
        <f t="shared" si="0"/>
        <v>396</v>
      </c>
      <c r="Z15" s="137">
        <f>+Y15+AA15</f>
        <v>800</v>
      </c>
      <c r="AA15" s="137">
        <v>404</v>
      </c>
      <c r="AB15" s="140">
        <f>+Z14-Z15</f>
        <v>750</v>
      </c>
      <c r="AC15" s="131">
        <f>+IF(((Y16+(Y17/2))*60)=0,"",(I15*Y15)/((Y16+(Y17/2))*60))</f>
        <v>0.84051891891891894</v>
      </c>
      <c r="AD15" s="157"/>
      <c r="AE15" s="167">
        <f t="shared" si="1"/>
        <v>0</v>
      </c>
      <c r="AF15" s="167">
        <f>+Y15*I15</f>
        <v>27989.280000000002</v>
      </c>
      <c r="AG15" s="167"/>
      <c r="AH15" s="124"/>
      <c r="AI15" s="91"/>
    </row>
    <row r="16" spans="1:35" s="98" customFormat="1" ht="62.25" customHeight="1" x14ac:dyDescent="0.9">
      <c r="A16" s="124"/>
      <c r="B16" s="125">
        <f>+B15</f>
        <v>3</v>
      </c>
      <c r="C16" s="185"/>
      <c r="D16" s="111">
        <f>+B15</f>
        <v>3</v>
      </c>
      <c r="E16" s="185"/>
      <c r="F16" s="112" t="e">
        <f>+VLOOKUP(F15,'Obj Prix'!$H:$H,2,FALSE)</f>
        <v>#N/A</v>
      </c>
      <c r="G16" s="238"/>
      <c r="H16" s="210"/>
      <c r="I16" s="113">
        <v>3</v>
      </c>
      <c r="J16" s="114" t="s">
        <v>22</v>
      </c>
      <c r="K16" s="102" t="s">
        <v>18</v>
      </c>
      <c r="L16" s="215">
        <v>56</v>
      </c>
      <c r="M16" s="215">
        <v>59</v>
      </c>
      <c r="N16" s="215">
        <v>59</v>
      </c>
      <c r="O16" s="215">
        <v>59</v>
      </c>
      <c r="P16" s="215">
        <v>59</v>
      </c>
      <c r="Q16" s="215">
        <v>59</v>
      </c>
      <c r="R16" s="215">
        <v>59</v>
      </c>
      <c r="S16" s="215">
        <v>59</v>
      </c>
      <c r="T16" s="215">
        <v>59</v>
      </c>
      <c r="U16" s="244"/>
      <c r="V16" s="215"/>
      <c r="W16" s="160">
        <f>+W15-J15</f>
        <v>0</v>
      </c>
      <c r="X16" s="514"/>
      <c r="Y16" s="103">
        <f t="shared" si="0"/>
        <v>528</v>
      </c>
      <c r="Z16" s="138"/>
      <c r="AA16" s="138"/>
      <c r="AB16" s="115"/>
      <c r="AC16" s="116"/>
      <c r="AD16" s="157">
        <f>-(L16+(L17/2))*$AD$2/60</f>
        <v>-14.75</v>
      </c>
      <c r="AE16" s="167">
        <f t="shared" si="1"/>
        <v>-885</v>
      </c>
      <c r="AF16" s="167"/>
      <c r="AG16" s="167"/>
      <c r="AH16" s="124"/>
      <c r="AI16" s="91"/>
    </row>
    <row r="17" spans="1:56" s="98" customFormat="1" ht="62.25" customHeight="1" thickBot="1" x14ac:dyDescent="0.95">
      <c r="A17" s="124"/>
      <c r="B17" s="126">
        <f>+B15</f>
        <v>3</v>
      </c>
      <c r="C17" s="174" t="s">
        <v>236</v>
      </c>
      <c r="D17" s="175">
        <f>+D16+100</f>
        <v>103</v>
      </c>
      <c r="E17" s="175"/>
      <c r="F17" s="117" t="s">
        <v>94</v>
      </c>
      <c r="G17" s="117"/>
      <c r="H17" s="159"/>
      <c r="I17" s="165">
        <f>+IF(J17="","",IF(J15=0,"",(J15*I15)/(J17*60)))</f>
        <v>0.87850847457627124</v>
      </c>
      <c r="J17" s="118">
        <v>59</v>
      </c>
      <c r="K17" s="104" t="s">
        <v>19</v>
      </c>
      <c r="L17" s="216">
        <v>6</v>
      </c>
      <c r="M17" s="216">
        <v>6</v>
      </c>
      <c r="N17" s="216">
        <v>6</v>
      </c>
      <c r="O17" s="216">
        <v>6</v>
      </c>
      <c r="P17" s="216">
        <v>6</v>
      </c>
      <c r="Q17" s="216">
        <v>6</v>
      </c>
      <c r="R17" s="216">
        <v>6</v>
      </c>
      <c r="S17" s="216">
        <v>6</v>
      </c>
      <c r="T17" s="216">
        <v>6</v>
      </c>
      <c r="U17" s="245"/>
      <c r="V17" s="216"/>
      <c r="W17" s="173"/>
      <c r="X17" s="169">
        <v>17</v>
      </c>
      <c r="Y17" s="105">
        <f t="shared" si="0"/>
        <v>54</v>
      </c>
      <c r="Z17" s="139"/>
      <c r="AA17" s="139"/>
      <c r="AB17" s="119">
        <f>+IFERROR(AB15/(J15*9),"")</f>
        <v>1.893939393939394</v>
      </c>
      <c r="AC17" s="120"/>
      <c r="AD17" s="161">
        <f>+Y16+Y17/2</f>
        <v>555</v>
      </c>
      <c r="AE17" s="167">
        <f t="shared" si="1"/>
        <v>33300</v>
      </c>
      <c r="AF17" s="167"/>
      <c r="AG17" s="230">
        <f>+AD16+AD17</f>
        <v>540.25</v>
      </c>
      <c r="AH17" s="124"/>
      <c r="AI17" s="91"/>
    </row>
    <row r="18" spans="1:56" s="98" customFormat="1" ht="62.25" customHeight="1" thickTop="1" x14ac:dyDescent="0.9">
      <c r="A18" s="124"/>
      <c r="B18" s="127">
        <f>+B19</f>
        <v>4</v>
      </c>
      <c r="C18" s="106"/>
      <c r="D18" s="106"/>
      <c r="E18" s="106"/>
      <c r="F18" s="106"/>
      <c r="G18" s="106"/>
      <c r="H18" s="106"/>
      <c r="I18" s="107" t="s">
        <v>20</v>
      </c>
      <c r="J18" s="108" t="s">
        <v>23</v>
      </c>
      <c r="K18" s="100" t="s">
        <v>21</v>
      </c>
      <c r="L18" s="215">
        <v>100</v>
      </c>
      <c r="M18" s="215">
        <v>50</v>
      </c>
      <c r="N18" s="215">
        <v>50</v>
      </c>
      <c r="O18" s="215">
        <v>50</v>
      </c>
      <c r="P18" s="215">
        <v>50</v>
      </c>
      <c r="Q18" s="215">
        <v>50</v>
      </c>
      <c r="R18" s="215"/>
      <c r="S18" s="215"/>
      <c r="T18" s="215"/>
      <c r="U18" s="215"/>
      <c r="W18" s="135"/>
      <c r="X18" s="513">
        <f>+W20</f>
        <v>0</v>
      </c>
      <c r="Y18" s="135">
        <f t="shared" si="0"/>
        <v>350</v>
      </c>
      <c r="Z18" s="136">
        <f>+AA18+Y18</f>
        <v>7001</v>
      </c>
      <c r="AA18" s="136">
        <v>6651</v>
      </c>
      <c r="AB18" s="109"/>
      <c r="AC18" s="110"/>
      <c r="AD18" s="157"/>
      <c r="AE18" s="167">
        <f t="shared" si="1"/>
        <v>0</v>
      </c>
      <c r="AF18" s="167"/>
      <c r="AG18" s="167"/>
      <c r="AH18" s="124"/>
      <c r="AI18" s="91"/>
    </row>
    <row r="19" spans="1:56" s="98" customFormat="1" ht="62.25" customHeight="1" x14ac:dyDescent="0.9">
      <c r="A19" s="124"/>
      <c r="B19" s="132">
        <v>4</v>
      </c>
      <c r="C19" s="111" t="s">
        <v>292</v>
      </c>
      <c r="D19" s="111"/>
      <c r="E19" s="111" t="s">
        <v>35</v>
      </c>
      <c r="F19" s="111" t="s">
        <v>293</v>
      </c>
      <c r="G19" s="111">
        <v>11466</v>
      </c>
      <c r="H19" s="111" t="s">
        <v>33</v>
      </c>
      <c r="I19" s="113">
        <v>61.52</v>
      </c>
      <c r="J19" s="130">
        <v>45</v>
      </c>
      <c r="K19" s="101" t="s">
        <v>17</v>
      </c>
      <c r="L19" s="214">
        <v>25</v>
      </c>
      <c r="M19" s="214">
        <v>45</v>
      </c>
      <c r="N19" s="214">
        <v>45</v>
      </c>
      <c r="O19" s="214">
        <v>45</v>
      </c>
      <c r="P19" s="214">
        <v>45</v>
      </c>
      <c r="Q19" s="214">
        <v>45</v>
      </c>
      <c r="R19" s="214">
        <v>65</v>
      </c>
      <c r="S19" s="214">
        <v>45</v>
      </c>
      <c r="T19" s="214">
        <v>45</v>
      </c>
      <c r="U19" s="214"/>
      <c r="V19" s="214"/>
      <c r="W19" s="123">
        <f>+IF(COUNTA(L19:V19)=0,0,Y19/(COUNTA(L19:V19)))</f>
        <v>45</v>
      </c>
      <c r="X19" s="514"/>
      <c r="Y19" s="134">
        <f t="shared" si="0"/>
        <v>405</v>
      </c>
      <c r="Z19" s="137">
        <f>+Y19+AA19</f>
        <v>6244</v>
      </c>
      <c r="AA19" s="137">
        <v>5839</v>
      </c>
      <c r="AB19" s="140">
        <f>+Z18-Z19</f>
        <v>757</v>
      </c>
      <c r="AC19" s="131">
        <f>+IF(((Y20+(Y21/2))*60)=0,"",(I19*Y19)/((Y20+(Y21/2))*60))</f>
        <v>0.78129821260583265</v>
      </c>
      <c r="AD19" s="157"/>
      <c r="AE19" s="167">
        <f t="shared" si="1"/>
        <v>0</v>
      </c>
      <c r="AF19" s="167">
        <f>+Y19*I19</f>
        <v>24915.600000000002</v>
      </c>
      <c r="AG19" s="167"/>
      <c r="AH19" s="124"/>
      <c r="AI19" s="91"/>
    </row>
    <row r="20" spans="1:56" s="98" customFormat="1" ht="62.25" customHeight="1" x14ac:dyDescent="0.9">
      <c r="A20" s="124"/>
      <c r="B20" s="125">
        <f>+B19</f>
        <v>4</v>
      </c>
      <c r="C20" s="184"/>
      <c r="D20" s="111">
        <f>+B19</f>
        <v>4</v>
      </c>
      <c r="E20" s="111"/>
      <c r="F20" s="112" t="e">
        <f>+VLOOKUP(F19,'Obj Prix'!$H:$H,2,FALSE)</f>
        <v>#N/A</v>
      </c>
      <c r="G20" s="238" t="s">
        <v>263</v>
      </c>
      <c r="H20" s="210"/>
      <c r="I20" s="113">
        <v>4</v>
      </c>
      <c r="J20" s="114" t="s">
        <v>22</v>
      </c>
      <c r="K20" s="102" t="s">
        <v>18</v>
      </c>
      <c r="L20" s="215">
        <v>54</v>
      </c>
      <c r="M20" s="215">
        <v>58</v>
      </c>
      <c r="N20" s="215">
        <v>58</v>
      </c>
      <c r="O20" s="215">
        <v>58</v>
      </c>
      <c r="P20" s="215">
        <v>58</v>
      </c>
      <c r="Q20" s="215">
        <v>58</v>
      </c>
      <c r="R20" s="215">
        <v>58</v>
      </c>
      <c r="S20" s="215">
        <v>58</v>
      </c>
      <c r="T20" s="215">
        <v>58</v>
      </c>
      <c r="U20" s="244"/>
      <c r="V20" s="215"/>
      <c r="W20" s="160">
        <f>+W19-J19</f>
        <v>0</v>
      </c>
      <c r="X20" s="514"/>
      <c r="Y20" s="103">
        <f t="shared" si="0"/>
        <v>518</v>
      </c>
      <c r="Z20" s="138"/>
      <c r="AA20" s="138"/>
      <c r="AB20" s="115"/>
      <c r="AC20" s="116"/>
      <c r="AD20" s="157">
        <f>-(L20+(L21/2))*$AD$2/60</f>
        <v>-13.875</v>
      </c>
      <c r="AE20" s="167">
        <f t="shared" si="1"/>
        <v>-832.5</v>
      </c>
      <c r="AF20" s="167"/>
      <c r="AG20" s="167"/>
      <c r="AH20" s="124"/>
      <c r="AI20" s="91"/>
    </row>
    <row r="21" spans="1:56" s="98" customFormat="1" ht="62.25" customHeight="1" thickBot="1" x14ac:dyDescent="0.95">
      <c r="A21" s="124"/>
      <c r="B21" s="126">
        <f>+B19</f>
        <v>4</v>
      </c>
      <c r="C21" s="174" t="s">
        <v>96</v>
      </c>
      <c r="D21" s="175">
        <f>+D20+100</f>
        <v>104</v>
      </c>
      <c r="E21" s="175"/>
      <c r="F21" s="117" t="s">
        <v>94</v>
      </c>
      <c r="G21" s="117"/>
      <c r="H21" s="159" t="s">
        <v>301</v>
      </c>
      <c r="I21" s="165">
        <f>+IF(J21="","",IF(J19=0,"",(J19*I19)/(J21*60)))</f>
        <v>0.85444444444444445</v>
      </c>
      <c r="J21" s="118">
        <v>54</v>
      </c>
      <c r="K21" s="104" t="s">
        <v>19</v>
      </c>
      <c r="L21" s="216">
        <v>3</v>
      </c>
      <c r="M21" s="216">
        <v>3</v>
      </c>
      <c r="N21" s="216">
        <v>3</v>
      </c>
      <c r="O21" s="216">
        <v>3</v>
      </c>
      <c r="P21" s="216">
        <v>3</v>
      </c>
      <c r="Q21" s="216">
        <v>3</v>
      </c>
      <c r="R21" s="216">
        <v>3</v>
      </c>
      <c r="S21" s="216">
        <v>3</v>
      </c>
      <c r="T21" s="216">
        <v>3</v>
      </c>
      <c r="U21" s="245"/>
      <c r="V21" s="216"/>
      <c r="W21" s="173"/>
      <c r="X21" s="169">
        <v>27.11</v>
      </c>
      <c r="Y21" s="105">
        <f t="shared" si="0"/>
        <v>27</v>
      </c>
      <c r="Z21" s="139"/>
      <c r="AA21" s="139"/>
      <c r="AB21" s="119">
        <f>+IFERROR(AB19/(J19*9),"")</f>
        <v>1.8691358024691358</v>
      </c>
      <c r="AC21" s="120"/>
      <c r="AD21" s="161">
        <f>+Y20+Y21/2</f>
        <v>531.5</v>
      </c>
      <c r="AE21" s="167">
        <f t="shared" si="1"/>
        <v>31890</v>
      </c>
      <c r="AF21" s="167"/>
      <c r="AG21" s="230">
        <f>+AD20+AD21</f>
        <v>517.625</v>
      </c>
      <c r="AH21" s="124"/>
      <c r="AI21" s="91"/>
    </row>
    <row r="22" spans="1:56" ht="62.25" customHeight="1" thickTop="1" x14ac:dyDescent="0.9">
      <c r="A22" s="124"/>
      <c r="B22" s="127">
        <f>+B23</f>
        <v>5</v>
      </c>
      <c r="C22" s="106"/>
      <c r="D22" s="106"/>
      <c r="E22" s="106"/>
      <c r="F22" s="106"/>
      <c r="G22" s="106"/>
      <c r="H22" s="106"/>
      <c r="I22" s="107" t="s">
        <v>20</v>
      </c>
      <c r="J22" s="108" t="s">
        <v>23</v>
      </c>
      <c r="K22" s="100" t="s">
        <v>21</v>
      </c>
      <c r="L22" s="215">
        <v>34</v>
      </c>
      <c r="M22" s="215">
        <v>19</v>
      </c>
      <c r="N22" s="215">
        <v>18</v>
      </c>
      <c r="O22" s="215"/>
      <c r="P22" s="215"/>
      <c r="Q22" s="215"/>
      <c r="R22" s="215"/>
      <c r="S22" s="215"/>
      <c r="T22" s="215"/>
      <c r="U22" s="215"/>
      <c r="V22" s="98"/>
      <c r="W22" s="135"/>
      <c r="X22" s="513">
        <f>+W24</f>
        <v>-5.5555555555555571</v>
      </c>
      <c r="Y22" s="135">
        <f t="shared" si="0"/>
        <v>71</v>
      </c>
      <c r="Z22" s="136">
        <f>+AA22+Y22</f>
        <v>4806</v>
      </c>
      <c r="AA22" s="136">
        <v>4735</v>
      </c>
      <c r="AB22" s="121"/>
      <c r="AC22" s="110"/>
      <c r="AD22" s="157"/>
      <c r="AE22" s="167">
        <f t="shared" si="1"/>
        <v>0</v>
      </c>
      <c r="AF22" s="167"/>
      <c r="AG22" s="167"/>
      <c r="AH22" s="124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</row>
    <row r="23" spans="1:56" ht="62.25" customHeight="1" x14ac:dyDescent="0.9">
      <c r="A23" s="124"/>
      <c r="B23" s="132">
        <v>5</v>
      </c>
      <c r="C23" s="111" t="s">
        <v>304</v>
      </c>
      <c r="D23" s="111"/>
      <c r="E23" s="111" t="s">
        <v>35</v>
      </c>
      <c r="F23" s="111" t="s">
        <v>305</v>
      </c>
      <c r="G23" s="111">
        <v>5000</v>
      </c>
      <c r="H23" s="111" t="s">
        <v>33</v>
      </c>
      <c r="I23" s="113">
        <v>66.739999999999995</v>
      </c>
      <c r="J23" s="130">
        <v>50</v>
      </c>
      <c r="K23" s="101" t="s">
        <v>17</v>
      </c>
      <c r="L23" s="214">
        <v>30</v>
      </c>
      <c r="M23" s="214">
        <v>50</v>
      </c>
      <c r="N23" s="214">
        <v>40</v>
      </c>
      <c r="O23" s="214">
        <v>50</v>
      </c>
      <c r="P23" s="214">
        <v>50</v>
      </c>
      <c r="Q23" s="214">
        <v>50</v>
      </c>
      <c r="R23" s="214">
        <v>50</v>
      </c>
      <c r="S23" s="214">
        <v>50</v>
      </c>
      <c r="T23" s="214">
        <v>30</v>
      </c>
      <c r="U23" s="214"/>
      <c r="V23" s="214"/>
      <c r="W23" s="123">
        <f>+IF(COUNTA(L23:V23)=0,0,Y23/(COUNTA(L23:V23)))</f>
        <v>44.444444444444443</v>
      </c>
      <c r="X23" s="514"/>
      <c r="Y23" s="134">
        <f t="shared" si="0"/>
        <v>400</v>
      </c>
      <c r="Z23" s="137">
        <f>+Y23+AA23</f>
        <v>4218</v>
      </c>
      <c r="AA23" s="137">
        <v>3818</v>
      </c>
      <c r="AB23" s="140">
        <f>+Z22-Z23</f>
        <v>588</v>
      </c>
      <c r="AC23" s="131">
        <f>+IF(((Y24+(Y25/2))*60)=0,"",(I23*Y23)/((Y24+(Y25/2))*60))</f>
        <v>0.82701363073110279</v>
      </c>
      <c r="AD23" s="157"/>
      <c r="AE23" s="167">
        <f t="shared" si="1"/>
        <v>0</v>
      </c>
      <c r="AF23" s="167">
        <f>+Y23*I23</f>
        <v>26695.999999999996</v>
      </c>
      <c r="AG23" s="167"/>
      <c r="AH23" s="124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</row>
    <row r="24" spans="1:56" ht="62.25" customHeight="1" x14ac:dyDescent="0.9">
      <c r="A24" s="124"/>
      <c r="B24" s="125">
        <f>+B23</f>
        <v>5</v>
      </c>
      <c r="C24" s="184"/>
      <c r="D24" s="111">
        <f>+B23</f>
        <v>5</v>
      </c>
      <c r="E24" s="111"/>
      <c r="F24" s="112" t="e">
        <f>+VLOOKUP(F23,'Obj Prix'!$H:$H,2,FALSE)</f>
        <v>#N/A</v>
      </c>
      <c r="G24" s="238" t="s">
        <v>263</v>
      </c>
      <c r="H24" s="210"/>
      <c r="I24" s="210">
        <v>3</v>
      </c>
      <c r="J24" s="114" t="s">
        <v>22</v>
      </c>
      <c r="K24" s="102" t="s">
        <v>18</v>
      </c>
      <c r="L24" s="215">
        <v>56</v>
      </c>
      <c r="M24" s="215">
        <v>58</v>
      </c>
      <c r="N24" s="215">
        <v>58</v>
      </c>
      <c r="O24" s="215">
        <v>58</v>
      </c>
      <c r="P24" s="215">
        <v>58</v>
      </c>
      <c r="Q24" s="215">
        <v>58</v>
      </c>
      <c r="R24" s="215">
        <v>58</v>
      </c>
      <c r="S24" s="215">
        <v>58</v>
      </c>
      <c r="T24" s="215">
        <v>58</v>
      </c>
      <c r="U24" s="244"/>
      <c r="V24" s="215"/>
      <c r="W24" s="160">
        <f>+W23-J23</f>
        <v>-5.5555555555555571</v>
      </c>
      <c r="X24" s="514"/>
      <c r="Y24" s="103">
        <f t="shared" si="0"/>
        <v>520</v>
      </c>
      <c r="Z24" s="138"/>
      <c r="AA24" s="138"/>
      <c r="AB24" s="122"/>
      <c r="AC24" s="116"/>
      <c r="AD24" s="157">
        <f>-(L24+(L25/2))*$AD$2/60</f>
        <v>-14.5</v>
      </c>
      <c r="AE24" s="167">
        <f t="shared" si="1"/>
        <v>-870</v>
      </c>
      <c r="AF24" s="167"/>
      <c r="AG24" s="167"/>
      <c r="AH24" s="124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</row>
    <row r="25" spans="1:56" s="98" customFormat="1" ht="62.25" customHeight="1" thickBot="1" x14ac:dyDescent="0.95">
      <c r="A25" s="124"/>
      <c r="B25" s="129">
        <f>+B23</f>
        <v>5</v>
      </c>
      <c r="C25" s="174" t="s">
        <v>128</v>
      </c>
      <c r="D25" s="175">
        <f>+D24+100</f>
        <v>105</v>
      </c>
      <c r="E25" s="175"/>
      <c r="F25" s="117" t="s">
        <v>111</v>
      </c>
      <c r="G25" s="117"/>
      <c r="H25" s="159" t="s">
        <v>301</v>
      </c>
      <c r="I25" s="165">
        <f>+IF(J25="","",IF(J23=0,"",(J23*I23)/(J25*60)))</f>
        <v>0.94265536723163834</v>
      </c>
      <c r="J25" s="118">
        <v>59</v>
      </c>
      <c r="K25" s="104" t="s">
        <v>19</v>
      </c>
      <c r="L25" s="216">
        <v>4</v>
      </c>
      <c r="M25" s="216">
        <v>4</v>
      </c>
      <c r="N25" s="216">
        <v>4</v>
      </c>
      <c r="O25" s="216">
        <v>4</v>
      </c>
      <c r="P25" s="216">
        <v>4</v>
      </c>
      <c r="Q25" s="216">
        <v>4</v>
      </c>
      <c r="R25" s="216">
        <v>4</v>
      </c>
      <c r="S25" s="216">
        <v>4</v>
      </c>
      <c r="T25" s="216">
        <v>4</v>
      </c>
      <c r="U25" s="245"/>
      <c r="V25" s="216"/>
      <c r="W25" s="173"/>
      <c r="X25" s="169">
        <v>16.850000000000001</v>
      </c>
      <c r="Y25" s="105">
        <f t="shared" si="0"/>
        <v>36</v>
      </c>
      <c r="Z25" s="139"/>
      <c r="AA25" s="139"/>
      <c r="AB25" s="119">
        <f>+IFERROR(AB23/(J23*9),"")</f>
        <v>1.3066666666666666</v>
      </c>
      <c r="AC25" s="120"/>
      <c r="AD25" s="161">
        <f>+Y24+Y25/2</f>
        <v>538</v>
      </c>
      <c r="AE25" s="167">
        <f t="shared" si="1"/>
        <v>32280</v>
      </c>
      <c r="AF25" s="167"/>
      <c r="AG25" s="230">
        <f>+AD24+AD25</f>
        <v>523.5</v>
      </c>
      <c r="AH25" s="124"/>
      <c r="AI25" s="91"/>
    </row>
    <row r="26" spans="1:56" ht="62.25" customHeight="1" thickTop="1" x14ac:dyDescent="0.9">
      <c r="A26" s="124"/>
      <c r="B26" s="127">
        <f>+B27</f>
        <v>5</v>
      </c>
      <c r="C26" s="106"/>
      <c r="D26" s="106"/>
      <c r="E26" s="106"/>
      <c r="F26" s="106"/>
      <c r="G26" s="106"/>
      <c r="H26" s="106"/>
      <c r="I26" s="107" t="s">
        <v>20</v>
      </c>
      <c r="J26" s="108" t="s">
        <v>23</v>
      </c>
      <c r="K26" s="100" t="s">
        <v>21</v>
      </c>
      <c r="L26" s="215"/>
      <c r="M26" s="215"/>
      <c r="N26" s="215"/>
      <c r="O26" s="215">
        <v>40</v>
      </c>
      <c r="P26" s="215">
        <v>40</v>
      </c>
      <c r="Q26" s="215">
        <v>40</v>
      </c>
      <c r="R26" s="215">
        <v>40</v>
      </c>
      <c r="S26" s="215"/>
      <c r="T26" s="215"/>
      <c r="U26" s="215"/>
      <c r="V26" s="98"/>
      <c r="W26" s="135"/>
      <c r="X26" s="513">
        <f>+W28</f>
        <v>0</v>
      </c>
      <c r="Y26" s="135">
        <f t="shared" si="0"/>
        <v>160</v>
      </c>
      <c r="Z26" s="136">
        <f>+AA26+Y26</f>
        <v>160</v>
      </c>
      <c r="AA26" s="136"/>
      <c r="AB26" s="121"/>
      <c r="AC26" s="110"/>
      <c r="AD26" s="157"/>
      <c r="AE26" s="167">
        <f t="shared" si="1"/>
        <v>0</v>
      </c>
      <c r="AF26" s="167"/>
      <c r="AG26" s="167"/>
      <c r="AH26" s="124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</row>
    <row r="27" spans="1:56" ht="62.25" customHeight="1" x14ac:dyDescent="0.9">
      <c r="A27" s="124"/>
      <c r="B27" s="132">
        <v>5</v>
      </c>
      <c r="C27" s="111" t="s">
        <v>325</v>
      </c>
      <c r="D27" s="111"/>
      <c r="E27" s="111" t="s">
        <v>35</v>
      </c>
      <c r="F27" s="111" t="s">
        <v>326</v>
      </c>
      <c r="G27" s="111"/>
      <c r="H27" s="111" t="s">
        <v>33</v>
      </c>
      <c r="I27" s="113"/>
      <c r="J27" s="130"/>
      <c r="K27" s="101" t="s">
        <v>17</v>
      </c>
      <c r="L27" s="214"/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123">
        <f>+IF(COUNTA(L27:V27)=0,0,Y27/(COUNTA(L27:V27)))</f>
        <v>0</v>
      </c>
      <c r="X27" s="514"/>
      <c r="Y27" s="134">
        <f t="shared" si="0"/>
        <v>0</v>
      </c>
      <c r="Z27" s="137">
        <f>+Y27+AA27</f>
        <v>0</v>
      </c>
      <c r="AA27" s="137"/>
      <c r="AB27" s="140">
        <f>+Z26-Z27</f>
        <v>160</v>
      </c>
      <c r="AC27" s="131" t="str">
        <f>+IF(((Y28+(Y29/2))*60)=0,"",(I27*Y27)/((Y28+(Y29/2))*60))</f>
        <v/>
      </c>
      <c r="AD27" s="157"/>
      <c r="AE27" s="167">
        <f t="shared" si="1"/>
        <v>0</v>
      </c>
      <c r="AF27" s="167">
        <f>+Y27*I27</f>
        <v>0</v>
      </c>
      <c r="AG27" s="167"/>
      <c r="AH27" s="124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</row>
    <row r="28" spans="1:56" ht="62.25" customHeight="1" x14ac:dyDescent="0.9">
      <c r="A28" s="124"/>
      <c r="B28" s="125">
        <f>+B27</f>
        <v>5</v>
      </c>
      <c r="C28" s="184"/>
      <c r="D28" s="111">
        <f>+B27</f>
        <v>5</v>
      </c>
      <c r="E28" s="111"/>
      <c r="F28" s="112" t="e">
        <f>+VLOOKUP(F27,'Obj Prix'!$H:$H,2,FALSE)</f>
        <v>#N/A</v>
      </c>
      <c r="G28" s="238"/>
      <c r="H28" s="210"/>
      <c r="I28" s="210"/>
      <c r="J28" s="114" t="s">
        <v>22</v>
      </c>
      <c r="K28" s="102" t="s">
        <v>18</v>
      </c>
      <c r="L28" s="215"/>
      <c r="M28" s="215"/>
      <c r="N28" s="215"/>
      <c r="O28" s="215"/>
      <c r="P28" s="215"/>
      <c r="Q28" s="215"/>
      <c r="R28" s="215"/>
      <c r="S28" s="215"/>
      <c r="T28" s="215"/>
      <c r="U28" s="244"/>
      <c r="V28" s="215"/>
      <c r="W28" s="160">
        <f>+W27-J27</f>
        <v>0</v>
      </c>
      <c r="X28" s="514"/>
      <c r="Y28" s="103">
        <f t="shared" si="0"/>
        <v>0</v>
      </c>
      <c r="Z28" s="138"/>
      <c r="AA28" s="138"/>
      <c r="AB28" s="122"/>
      <c r="AC28" s="116"/>
      <c r="AD28" s="157">
        <f>-(L28+(L29/2))*$AD$2/60</f>
        <v>0</v>
      </c>
      <c r="AE28" s="167">
        <f t="shared" si="1"/>
        <v>0</v>
      </c>
      <c r="AF28" s="167"/>
      <c r="AG28" s="167"/>
      <c r="AH28" s="124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</row>
    <row r="29" spans="1:56" s="98" customFormat="1" ht="62.25" customHeight="1" thickBot="1" x14ac:dyDescent="0.95">
      <c r="A29" s="124"/>
      <c r="B29" s="129">
        <f>+B27</f>
        <v>5</v>
      </c>
      <c r="C29" s="174" t="s">
        <v>128</v>
      </c>
      <c r="D29" s="175">
        <f>+D28+100</f>
        <v>105</v>
      </c>
      <c r="E29" s="175"/>
      <c r="F29" s="117" t="s">
        <v>111</v>
      </c>
      <c r="G29" s="117"/>
      <c r="H29" s="159"/>
      <c r="I29" s="165" t="str">
        <f>+IF(J29="","",IF(J27=0,"",(J27*I27)/(J29*60)))</f>
        <v/>
      </c>
      <c r="J29" s="118"/>
      <c r="K29" s="104" t="s">
        <v>19</v>
      </c>
      <c r="L29" s="216"/>
      <c r="M29" s="216"/>
      <c r="N29" s="216"/>
      <c r="O29" s="216"/>
      <c r="P29" s="216"/>
      <c r="Q29" s="216"/>
      <c r="R29" s="216"/>
      <c r="S29" s="216"/>
      <c r="T29" s="216"/>
      <c r="U29" s="245"/>
      <c r="V29" s="216"/>
      <c r="W29" s="173"/>
      <c r="X29" s="169"/>
      <c r="Y29" s="105">
        <f t="shared" si="0"/>
        <v>0</v>
      </c>
      <c r="Z29" s="139"/>
      <c r="AA29" s="139"/>
      <c r="AB29" s="119" t="str">
        <f>+IFERROR(AB27/(J27*9),"")</f>
        <v/>
      </c>
      <c r="AC29" s="120"/>
      <c r="AD29" s="161">
        <f>+Y28+Y29/2</f>
        <v>0</v>
      </c>
      <c r="AE29" s="167">
        <f t="shared" si="1"/>
        <v>0</v>
      </c>
      <c r="AF29" s="167"/>
      <c r="AG29" s="230">
        <f>+AD28+AD29</f>
        <v>0</v>
      </c>
      <c r="AH29" s="124"/>
      <c r="AI29" s="91"/>
    </row>
    <row r="30" spans="1:56" ht="62.25" customHeight="1" thickTop="1" x14ac:dyDescent="0.9">
      <c r="A30" s="124"/>
      <c r="B30" s="127">
        <f>+B31</f>
        <v>6</v>
      </c>
      <c r="C30" s="106"/>
      <c r="D30" s="106"/>
      <c r="E30" s="106"/>
      <c r="F30" s="106"/>
      <c r="G30" s="106"/>
      <c r="H30" s="106"/>
      <c r="I30" s="107" t="s">
        <v>20</v>
      </c>
      <c r="J30" s="108" t="s">
        <v>23</v>
      </c>
      <c r="K30" s="100" t="s">
        <v>21</v>
      </c>
      <c r="L30" s="215">
        <v>40</v>
      </c>
      <c r="M30" s="215">
        <v>40</v>
      </c>
      <c r="N30" s="215">
        <v>40</v>
      </c>
      <c r="O30" s="215">
        <v>40</v>
      </c>
      <c r="P30" s="215">
        <v>40</v>
      </c>
      <c r="Q30" s="215">
        <v>40</v>
      </c>
      <c r="R30" s="215">
        <v>80</v>
      </c>
      <c r="S30" s="215">
        <v>40</v>
      </c>
      <c r="T30" s="215">
        <v>40</v>
      </c>
      <c r="U30" s="215"/>
      <c r="V30" s="98"/>
      <c r="W30" s="135"/>
      <c r="X30" s="513">
        <f>+W32</f>
        <v>-8.4444444444444429</v>
      </c>
      <c r="Y30" s="135">
        <f t="shared" si="0"/>
        <v>400</v>
      </c>
      <c r="Z30" s="136">
        <f>+AA30+Y30</f>
        <v>4680</v>
      </c>
      <c r="AA30" s="136">
        <v>4280</v>
      </c>
      <c r="AB30" s="121"/>
      <c r="AC30" s="110"/>
      <c r="AD30" s="157"/>
      <c r="AE30" s="167">
        <f t="shared" si="1"/>
        <v>0</v>
      </c>
      <c r="AF30" s="167"/>
      <c r="AG30" s="167"/>
      <c r="AH30" s="124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</row>
    <row r="31" spans="1:56" ht="62.25" customHeight="1" x14ac:dyDescent="0.9">
      <c r="A31" s="124"/>
      <c r="B31" s="132">
        <v>6</v>
      </c>
      <c r="C31" s="111" t="s">
        <v>298</v>
      </c>
      <c r="D31" s="111"/>
      <c r="E31" s="111" t="s">
        <v>35</v>
      </c>
      <c r="F31" s="111" t="s">
        <v>299</v>
      </c>
      <c r="G31" s="111">
        <v>8731</v>
      </c>
      <c r="H31" s="111" t="s">
        <v>300</v>
      </c>
      <c r="I31" s="113">
        <v>55.97</v>
      </c>
      <c r="J31" s="130">
        <v>50</v>
      </c>
      <c r="K31" s="101" t="s">
        <v>17</v>
      </c>
      <c r="L31" s="247">
        <v>15</v>
      </c>
      <c r="M31" s="247">
        <v>30</v>
      </c>
      <c r="N31" s="247">
        <v>39</v>
      </c>
      <c r="O31" s="247">
        <v>45</v>
      </c>
      <c r="P31" s="247">
        <v>45</v>
      </c>
      <c r="Q31" s="247">
        <v>45</v>
      </c>
      <c r="R31" s="247">
        <v>65</v>
      </c>
      <c r="S31" s="247">
        <v>45</v>
      </c>
      <c r="T31" s="247">
        <v>45</v>
      </c>
      <c r="U31" s="214"/>
      <c r="V31" s="214"/>
      <c r="W31" s="123">
        <f>+IF(COUNTA(L31:V31)=0,0,Y31/(COUNTA(L31:V31)))</f>
        <v>41.555555555555557</v>
      </c>
      <c r="X31" s="514"/>
      <c r="Y31" s="134">
        <f t="shared" si="0"/>
        <v>374</v>
      </c>
      <c r="Z31" s="137">
        <f>+Y31+AA31</f>
        <v>4067</v>
      </c>
      <c r="AA31" s="137">
        <v>3693</v>
      </c>
      <c r="AB31" s="140">
        <f>+Z30-Z31</f>
        <v>613</v>
      </c>
      <c r="AC31" s="131">
        <f>+IF(((Y32+(Y33/2))*60)=0,"",(I31*Y31)/((Y32+(Y33/2))*60))</f>
        <v>0.77271244001476558</v>
      </c>
      <c r="AD31" s="157"/>
      <c r="AE31" s="167">
        <f t="shared" si="1"/>
        <v>0</v>
      </c>
      <c r="AF31" s="167">
        <f>+Y31*I31</f>
        <v>20932.78</v>
      </c>
      <c r="AG31" s="167"/>
      <c r="AH31" s="124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</row>
    <row r="32" spans="1:56" ht="62.25" customHeight="1" x14ac:dyDescent="0.9">
      <c r="A32" s="124"/>
      <c r="B32" s="125">
        <f>+B31</f>
        <v>6</v>
      </c>
      <c r="C32" s="184"/>
      <c r="D32" s="111">
        <f>+B31</f>
        <v>6</v>
      </c>
      <c r="E32" s="111"/>
      <c r="F32" s="112" t="e">
        <f>+VLOOKUP(F31,'Obj Prix'!$H:$H,2,FALSE)</f>
        <v>#N/A</v>
      </c>
      <c r="G32" s="238" t="s">
        <v>263</v>
      </c>
      <c r="H32" s="210"/>
      <c r="I32" s="113">
        <v>6</v>
      </c>
      <c r="J32" s="114" t="s">
        <v>22</v>
      </c>
      <c r="K32" s="102" t="s">
        <v>18</v>
      </c>
      <c r="L32" s="215">
        <v>48</v>
      </c>
      <c r="M32" s="215">
        <v>48</v>
      </c>
      <c r="N32" s="215">
        <v>48</v>
      </c>
      <c r="O32" s="215">
        <v>48</v>
      </c>
      <c r="P32" s="215">
        <v>48</v>
      </c>
      <c r="Q32" s="215">
        <v>48</v>
      </c>
      <c r="R32" s="215">
        <v>47</v>
      </c>
      <c r="S32" s="215">
        <v>47</v>
      </c>
      <c r="T32" s="215">
        <v>47</v>
      </c>
      <c r="U32" s="244"/>
      <c r="V32" s="215"/>
      <c r="W32" s="160">
        <f>+W31-J31</f>
        <v>-8.4444444444444429</v>
      </c>
      <c r="X32" s="514"/>
      <c r="Y32" s="103">
        <f t="shared" si="0"/>
        <v>429</v>
      </c>
      <c r="Z32" s="138"/>
      <c r="AA32" s="138"/>
      <c r="AB32" s="122"/>
      <c r="AC32" s="116"/>
      <c r="AD32" s="157">
        <f>-(L32+(L33/2))*$AD$2/60</f>
        <v>-12.625</v>
      </c>
      <c r="AE32" s="167">
        <f>+AD32*60</f>
        <v>-757.5</v>
      </c>
      <c r="AF32" s="167"/>
      <c r="AG32" s="167"/>
      <c r="AH32" s="124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</row>
    <row r="33" spans="1:35" s="98" customFormat="1" ht="62.25" customHeight="1" thickBot="1" x14ac:dyDescent="0.95">
      <c r="A33" s="124"/>
      <c r="B33" s="129">
        <f>+B31</f>
        <v>6</v>
      </c>
      <c r="C33" s="174" t="s">
        <v>321</v>
      </c>
      <c r="D33" s="175">
        <f>+D32+100</f>
        <v>106</v>
      </c>
      <c r="E33" s="175"/>
      <c r="F33" s="117" t="s">
        <v>203</v>
      </c>
      <c r="G33" s="117"/>
      <c r="H33" s="159" t="s">
        <v>322</v>
      </c>
      <c r="I33" s="165">
        <f>+IF(J33="","",IF(J31=0,"",(J31*I31)/(J33*60)))</f>
        <v>0.89695512820512824</v>
      </c>
      <c r="J33" s="118">
        <v>52</v>
      </c>
      <c r="K33" s="104" t="s">
        <v>19</v>
      </c>
      <c r="L33" s="216">
        <v>5</v>
      </c>
      <c r="M33" s="216">
        <v>5</v>
      </c>
      <c r="N33" s="216">
        <v>5</v>
      </c>
      <c r="O33" s="216">
        <v>5</v>
      </c>
      <c r="P33" s="216">
        <v>5</v>
      </c>
      <c r="Q33" s="216">
        <v>5</v>
      </c>
      <c r="R33" s="216">
        <v>5</v>
      </c>
      <c r="S33" s="216">
        <v>5</v>
      </c>
      <c r="T33" s="216">
        <v>5</v>
      </c>
      <c r="U33" s="245"/>
      <c r="V33" s="216"/>
      <c r="W33" s="173"/>
      <c r="X33" s="168">
        <f>52.4+(COUNTA(L31:V31)-(Y31/J31))</f>
        <v>53.92</v>
      </c>
      <c r="Y33" s="105">
        <f t="shared" si="0"/>
        <v>45</v>
      </c>
      <c r="Z33" s="139"/>
      <c r="AA33" s="139"/>
      <c r="AB33" s="119">
        <f>+IFERROR(AB31/(J31*9),"")</f>
        <v>1.3622222222222222</v>
      </c>
      <c r="AC33" s="120"/>
      <c r="AD33" s="161">
        <f>+Y32+Y33/2</f>
        <v>451.5</v>
      </c>
      <c r="AE33" s="167">
        <f t="shared" si="1"/>
        <v>27090</v>
      </c>
      <c r="AF33" s="167"/>
      <c r="AG33" s="230">
        <f>+AD32+AD33</f>
        <v>438.875</v>
      </c>
      <c r="AH33" s="124"/>
      <c r="AI33" s="91"/>
    </row>
    <row r="34" spans="1:35" s="98" customFormat="1" ht="65.25" customHeight="1" thickTop="1" x14ac:dyDescent="0.9">
      <c r="A34" s="124"/>
      <c r="B34" s="127">
        <f>+B35</f>
        <v>7</v>
      </c>
      <c r="C34" s="106"/>
      <c r="D34" s="106"/>
      <c r="E34" s="106"/>
      <c r="F34" s="106"/>
      <c r="G34" s="106"/>
      <c r="H34" s="106"/>
      <c r="I34" s="107" t="s">
        <v>20</v>
      </c>
      <c r="J34" s="108" t="s">
        <v>23</v>
      </c>
      <c r="K34" s="100" t="s">
        <v>21</v>
      </c>
      <c r="L34" s="215">
        <v>120</v>
      </c>
      <c r="M34" s="215">
        <v>60</v>
      </c>
      <c r="N34" s="215">
        <v>60</v>
      </c>
      <c r="O34" s="215">
        <v>60</v>
      </c>
      <c r="P34" s="215">
        <v>60</v>
      </c>
      <c r="Q34" s="215">
        <v>60</v>
      </c>
      <c r="R34" s="215"/>
      <c r="S34" s="215"/>
      <c r="T34" s="215"/>
      <c r="U34" s="215"/>
      <c r="W34" s="135"/>
      <c r="X34" s="513">
        <f>+W36</f>
        <v>-22.222222222222221</v>
      </c>
      <c r="Y34" s="135">
        <f t="shared" si="0"/>
        <v>420</v>
      </c>
      <c r="Z34" s="136">
        <f>+AA34+Y34</f>
        <v>1030</v>
      </c>
      <c r="AA34" s="136">
        <v>610</v>
      </c>
      <c r="AB34" s="121"/>
      <c r="AC34" s="110"/>
      <c r="AD34" s="157"/>
      <c r="AE34" s="167">
        <f t="shared" si="1"/>
        <v>0</v>
      </c>
      <c r="AF34" s="167"/>
      <c r="AG34" s="167"/>
      <c r="AH34" s="124"/>
      <c r="AI34" s="91"/>
    </row>
    <row r="35" spans="1:35" s="98" customFormat="1" ht="62.25" customHeight="1" x14ac:dyDescent="0.9">
      <c r="A35" s="124"/>
      <c r="B35" s="132">
        <v>7</v>
      </c>
      <c r="C35" s="111" t="s">
        <v>316</v>
      </c>
      <c r="D35" s="111"/>
      <c r="E35" s="111" t="s">
        <v>35</v>
      </c>
      <c r="F35" s="111" t="s">
        <v>317</v>
      </c>
      <c r="G35" s="111">
        <v>7720</v>
      </c>
      <c r="H35" s="111" t="s">
        <v>33</v>
      </c>
      <c r="I35" s="113">
        <v>62.08</v>
      </c>
      <c r="J35" s="130">
        <v>49</v>
      </c>
      <c r="K35" s="101" t="s">
        <v>17</v>
      </c>
      <c r="L35" s="214">
        <v>11</v>
      </c>
      <c r="M35" s="214">
        <v>30</v>
      </c>
      <c r="N35" s="214">
        <v>69</v>
      </c>
      <c r="O35" s="247">
        <v>8</v>
      </c>
      <c r="P35" s="247">
        <v>16</v>
      </c>
      <c r="Q35" s="247">
        <v>30</v>
      </c>
      <c r="R35" s="247">
        <v>30</v>
      </c>
      <c r="S35" s="247">
        <v>27</v>
      </c>
      <c r="T35" s="247">
        <v>20</v>
      </c>
      <c r="U35" s="214"/>
      <c r="V35" s="214"/>
      <c r="W35" s="123">
        <f>+IF(COUNTA(L35:V35)=0,0,Y35/(COUNTA(L35:V35)))</f>
        <v>26.777777777777779</v>
      </c>
      <c r="X35" s="514"/>
      <c r="Y35" s="134">
        <f t="shared" si="0"/>
        <v>241</v>
      </c>
      <c r="Z35" s="137">
        <f>+Y35+AA35</f>
        <v>281</v>
      </c>
      <c r="AA35" s="137">
        <v>40</v>
      </c>
      <c r="AB35" s="140">
        <f>+Z34-Z35</f>
        <v>749</v>
      </c>
      <c r="AC35" s="131">
        <f>+IF(((Y36+(Y37/2))*60)=0,"",(I35*Y35)/((Y36+(Y37/2))*60))</f>
        <v>0.47723381180223284</v>
      </c>
      <c r="AD35" s="157"/>
      <c r="AE35" s="167">
        <f t="shared" si="1"/>
        <v>0</v>
      </c>
      <c r="AF35" s="167">
        <f>+Y35*I35</f>
        <v>14961.279999999999</v>
      </c>
      <c r="AG35" s="167"/>
      <c r="AH35" s="124"/>
      <c r="AI35" s="91"/>
    </row>
    <row r="36" spans="1:35" s="98" customFormat="1" ht="62.25" customHeight="1" x14ac:dyDescent="0.9">
      <c r="A36" s="124"/>
      <c r="B36" s="125">
        <f>+B35</f>
        <v>7</v>
      </c>
      <c r="C36" s="184"/>
      <c r="D36" s="111">
        <f>+B35</f>
        <v>7</v>
      </c>
      <c r="E36" s="111"/>
      <c r="F36" s="112" t="e">
        <f>+VLOOKUP(F35,'Obj Prix'!$H:$H,2,FALSE)</f>
        <v>#N/A</v>
      </c>
      <c r="G36" s="238" t="s">
        <v>263</v>
      </c>
      <c r="H36" s="210"/>
      <c r="I36" s="210">
        <v>3</v>
      </c>
      <c r="J36" s="114" t="s">
        <v>22</v>
      </c>
      <c r="K36" s="102" t="s">
        <v>18</v>
      </c>
      <c r="L36" s="215">
        <v>56</v>
      </c>
      <c r="M36" s="215">
        <v>57</v>
      </c>
      <c r="N36" s="215">
        <v>57</v>
      </c>
      <c r="O36" s="215">
        <v>57</v>
      </c>
      <c r="P36" s="215">
        <v>57</v>
      </c>
      <c r="Q36" s="215">
        <v>57</v>
      </c>
      <c r="R36" s="215">
        <v>56</v>
      </c>
      <c r="S36" s="215">
        <v>56</v>
      </c>
      <c r="T36" s="215">
        <v>56</v>
      </c>
      <c r="U36" s="244"/>
      <c r="V36" s="215"/>
      <c r="W36" s="160">
        <f>+W35-J35</f>
        <v>-22.222222222222221</v>
      </c>
      <c r="X36" s="514"/>
      <c r="Y36" s="103">
        <f t="shared" si="0"/>
        <v>509</v>
      </c>
      <c r="Z36" s="138"/>
      <c r="AA36" s="138"/>
      <c r="AB36" s="122"/>
      <c r="AC36" s="116"/>
      <c r="AD36" s="157">
        <f>-(L36+(L37/2))*$AD$2/60</f>
        <v>-14.375</v>
      </c>
      <c r="AE36" s="167">
        <f t="shared" si="1"/>
        <v>-862.5</v>
      </c>
      <c r="AF36" s="167"/>
      <c r="AG36" s="167"/>
      <c r="AH36" s="124"/>
      <c r="AI36" s="91"/>
    </row>
    <row r="37" spans="1:35" s="98" customFormat="1" ht="62.25" customHeight="1" thickBot="1" x14ac:dyDescent="0.95">
      <c r="A37" s="124"/>
      <c r="B37" s="126">
        <f>+B35</f>
        <v>7</v>
      </c>
      <c r="C37" s="174" t="s">
        <v>93</v>
      </c>
      <c r="D37" s="175">
        <f>+D36+100</f>
        <v>107</v>
      </c>
      <c r="E37" s="175"/>
      <c r="F37" s="117" t="s">
        <v>94</v>
      </c>
      <c r="G37" s="218"/>
      <c r="H37" s="159" t="s">
        <v>327</v>
      </c>
      <c r="I37" s="165">
        <f>+IF(J37="","",IF(J35=0,"",(J35*I35)/(J37*60)))</f>
        <v>0.88945029239766082</v>
      </c>
      <c r="J37" s="118">
        <v>57</v>
      </c>
      <c r="K37" s="104" t="s">
        <v>19</v>
      </c>
      <c r="L37" s="216">
        <v>3</v>
      </c>
      <c r="M37" s="216">
        <v>3</v>
      </c>
      <c r="N37" s="216">
        <v>3</v>
      </c>
      <c r="O37" s="216">
        <v>3</v>
      </c>
      <c r="P37" s="216">
        <v>3</v>
      </c>
      <c r="Q37" s="216">
        <v>3</v>
      </c>
      <c r="R37" s="216">
        <v>3</v>
      </c>
      <c r="S37" s="216">
        <v>3</v>
      </c>
      <c r="T37" s="216">
        <v>3</v>
      </c>
      <c r="U37" s="245"/>
      <c r="V37" s="216"/>
      <c r="W37" s="173"/>
      <c r="X37" s="168">
        <f>13.3+(COUNTA(L35:V35)-(Y35/J35))</f>
        <v>17.381632653061224</v>
      </c>
      <c r="Y37" s="105">
        <f t="shared" si="0"/>
        <v>27</v>
      </c>
      <c r="Z37" s="139"/>
      <c r="AA37" s="139"/>
      <c r="AB37" s="119">
        <f>+IFERROR(AB35/(J35*9),"")</f>
        <v>1.6984126984126984</v>
      </c>
      <c r="AC37" s="120"/>
      <c r="AD37" s="161">
        <f>+Y36+Y37/2</f>
        <v>522.5</v>
      </c>
      <c r="AE37" s="167">
        <f t="shared" si="1"/>
        <v>31350</v>
      </c>
      <c r="AF37" s="167"/>
      <c r="AG37" s="230">
        <f>+AD36+AD37</f>
        <v>508.125</v>
      </c>
      <c r="AH37" s="124"/>
      <c r="AI37" s="91"/>
    </row>
    <row r="38" spans="1:35" ht="62.25" customHeight="1" thickTop="1" x14ac:dyDescent="0.9">
      <c r="A38" s="124"/>
      <c r="B38" s="127">
        <f>+B39</f>
        <v>8</v>
      </c>
      <c r="C38" s="106"/>
      <c r="D38" s="106"/>
      <c r="E38" s="106"/>
      <c r="F38" s="106"/>
      <c r="G38" s="106"/>
      <c r="H38" s="106"/>
      <c r="I38" s="107" t="s">
        <v>20</v>
      </c>
      <c r="J38" s="108" t="s">
        <v>23</v>
      </c>
      <c r="K38" s="100" t="s">
        <v>21</v>
      </c>
      <c r="L38" s="215">
        <v>40</v>
      </c>
      <c r="M38" s="215">
        <v>40</v>
      </c>
      <c r="N38" s="215">
        <v>40</v>
      </c>
      <c r="O38" s="215">
        <v>40</v>
      </c>
      <c r="P38" s="215">
        <v>80</v>
      </c>
      <c r="Q38" s="215">
        <v>40</v>
      </c>
      <c r="R38" s="215">
        <v>80</v>
      </c>
      <c r="S38" s="215">
        <v>40</v>
      </c>
      <c r="T38" s="215">
        <v>40</v>
      </c>
      <c r="U38" s="215"/>
      <c r="V38" s="98"/>
      <c r="W38" s="135"/>
      <c r="X38" s="513">
        <f>+W40</f>
        <v>0.77777777777777857</v>
      </c>
      <c r="Y38" s="135">
        <f t="shared" ref="Y38:Y69" si="2">+SUM(L38:V38)</f>
        <v>440</v>
      </c>
      <c r="Z38" s="136">
        <f>+AA38+Y38</f>
        <v>3000</v>
      </c>
      <c r="AA38" s="136">
        <v>2560</v>
      </c>
      <c r="AB38" s="109"/>
      <c r="AC38" s="110"/>
      <c r="AD38" s="157"/>
      <c r="AE38" s="167">
        <f>+AD38*60</f>
        <v>0</v>
      </c>
      <c r="AF38" s="167"/>
      <c r="AG38" s="167"/>
      <c r="AH38" s="124"/>
    </row>
    <row r="39" spans="1:35" ht="62.25" customHeight="1" x14ac:dyDescent="0.9">
      <c r="A39" s="124"/>
      <c r="B39" s="132">
        <v>8</v>
      </c>
      <c r="C39" s="111" t="s">
        <v>298</v>
      </c>
      <c r="D39" s="111"/>
      <c r="E39" s="111" t="s">
        <v>35</v>
      </c>
      <c r="F39" s="111" t="s">
        <v>299</v>
      </c>
      <c r="G39" s="111">
        <v>8731</v>
      </c>
      <c r="H39" s="111" t="s">
        <v>300</v>
      </c>
      <c r="I39" s="113">
        <v>55.97</v>
      </c>
      <c r="J39" s="130">
        <v>50</v>
      </c>
      <c r="K39" s="101" t="s">
        <v>17</v>
      </c>
      <c r="L39" s="247">
        <v>44</v>
      </c>
      <c r="M39" s="247">
        <v>56</v>
      </c>
      <c r="N39" s="247">
        <v>50</v>
      </c>
      <c r="O39" s="247">
        <v>50</v>
      </c>
      <c r="P39" s="247">
        <v>50</v>
      </c>
      <c r="Q39" s="247">
        <v>51</v>
      </c>
      <c r="R39" s="247">
        <v>52</v>
      </c>
      <c r="S39" s="247">
        <v>52</v>
      </c>
      <c r="T39" s="247">
        <v>52</v>
      </c>
      <c r="U39" s="214"/>
      <c r="V39" s="214"/>
      <c r="W39" s="123">
        <f>+IF(COUNTA(L39:V39)=0,0,Y39/(COUNTA(L39:V39)))</f>
        <v>50.777777777777779</v>
      </c>
      <c r="X39" s="514"/>
      <c r="Y39" s="134">
        <f t="shared" si="2"/>
        <v>457</v>
      </c>
      <c r="Z39" s="137">
        <f>+Y39+AA39</f>
        <v>2304</v>
      </c>
      <c r="AA39" s="137">
        <v>1847</v>
      </c>
      <c r="AB39" s="140">
        <f>+Z38-Z39</f>
        <v>696</v>
      </c>
      <c r="AC39" s="131">
        <f>+IF(((Y40+(Y41/2))*60)=0,"",(I39*Y39)/((Y40+(Y41/2))*60))</f>
        <v>0.87717043895747604</v>
      </c>
      <c r="AD39" s="157"/>
      <c r="AE39" s="167">
        <f>+AD39*60</f>
        <v>0</v>
      </c>
      <c r="AF39" s="167">
        <f>+Y39*I39</f>
        <v>25578.29</v>
      </c>
      <c r="AG39" s="167"/>
      <c r="AH39" s="124"/>
    </row>
    <row r="40" spans="1:35" ht="62.25" customHeight="1" x14ac:dyDescent="0.9">
      <c r="A40" s="124"/>
      <c r="B40" s="125">
        <f>+B39</f>
        <v>8</v>
      </c>
      <c r="C40" s="184"/>
      <c r="D40" s="111">
        <f>+B39</f>
        <v>8</v>
      </c>
      <c r="E40" s="111"/>
      <c r="F40" s="112" t="e">
        <f>+VLOOKUP(F39,'Obj Prix'!$H:$H,2,FALSE)</f>
        <v>#N/A</v>
      </c>
      <c r="G40" s="238" t="s">
        <v>263</v>
      </c>
      <c r="H40" s="210"/>
      <c r="I40" s="113">
        <v>2</v>
      </c>
      <c r="J40" s="114" t="s">
        <v>22</v>
      </c>
      <c r="K40" s="102" t="s">
        <v>18</v>
      </c>
      <c r="L40" s="215">
        <v>52</v>
      </c>
      <c r="M40" s="215">
        <v>52</v>
      </c>
      <c r="N40" s="215">
        <v>52</v>
      </c>
      <c r="O40" s="215">
        <v>52</v>
      </c>
      <c r="P40" s="215">
        <v>52</v>
      </c>
      <c r="Q40" s="215">
        <v>52</v>
      </c>
      <c r="R40" s="215">
        <v>52</v>
      </c>
      <c r="S40" s="215">
        <v>52</v>
      </c>
      <c r="T40" s="215">
        <v>52</v>
      </c>
      <c r="U40" s="244"/>
      <c r="V40" s="215"/>
      <c r="W40" s="160">
        <f>+W39-J39</f>
        <v>0.77777777777777857</v>
      </c>
      <c r="X40" s="514"/>
      <c r="Y40" s="103">
        <f t="shared" si="2"/>
        <v>468</v>
      </c>
      <c r="Z40" s="138"/>
      <c r="AA40" s="138"/>
      <c r="AB40" s="115"/>
      <c r="AC40" s="116"/>
      <c r="AD40" s="157">
        <f>-(L40+(L41/2))*$AD$2/60</f>
        <v>-13.5</v>
      </c>
      <c r="AE40" s="167">
        <f>+AD40*60</f>
        <v>-810</v>
      </c>
      <c r="AF40" s="167"/>
      <c r="AG40" s="167"/>
      <c r="AH40" s="124"/>
    </row>
    <row r="41" spans="1:35" s="98" customFormat="1" ht="62.25" customHeight="1" thickBot="1" x14ac:dyDescent="0.95">
      <c r="A41" s="124"/>
      <c r="B41" s="126">
        <f>+B39</f>
        <v>8</v>
      </c>
      <c r="C41" s="174" t="s">
        <v>130</v>
      </c>
      <c r="D41" s="175">
        <f>+D40+100</f>
        <v>108</v>
      </c>
      <c r="E41" s="175"/>
      <c r="F41" s="117" t="s">
        <v>203</v>
      </c>
      <c r="G41" s="117"/>
      <c r="H41" s="159" t="s">
        <v>328</v>
      </c>
      <c r="I41" s="165">
        <f>+IF(J41="","",IF(J39=0,"",(J39*I39)/(J41*60)))</f>
        <v>0.89695512820512824</v>
      </c>
      <c r="J41" s="118">
        <v>52</v>
      </c>
      <c r="K41" s="104" t="s">
        <v>19</v>
      </c>
      <c r="L41" s="216">
        <v>4</v>
      </c>
      <c r="M41" s="216">
        <v>4</v>
      </c>
      <c r="N41" s="216">
        <v>4</v>
      </c>
      <c r="O41" s="216">
        <v>4</v>
      </c>
      <c r="P41" s="216">
        <v>4</v>
      </c>
      <c r="Q41" s="216">
        <v>4</v>
      </c>
      <c r="R41" s="216">
        <v>4</v>
      </c>
      <c r="S41" s="216">
        <v>4</v>
      </c>
      <c r="T41" s="216">
        <v>4</v>
      </c>
      <c r="U41" s="245"/>
      <c r="V41" s="216"/>
      <c r="W41" s="173"/>
      <c r="X41" s="169">
        <v>29.5</v>
      </c>
      <c r="Y41" s="105">
        <f t="shared" si="2"/>
        <v>36</v>
      </c>
      <c r="Z41" s="139"/>
      <c r="AA41" s="139"/>
      <c r="AB41" s="119">
        <f>+IFERROR(AB39/(J39*9),"")</f>
        <v>1.5466666666666666</v>
      </c>
      <c r="AC41" s="120"/>
      <c r="AD41" s="161">
        <f>+Y40+Y41/2</f>
        <v>486</v>
      </c>
      <c r="AE41" s="167">
        <f>+AD41*60</f>
        <v>29160</v>
      </c>
      <c r="AF41" s="167"/>
      <c r="AG41" s="230">
        <f>+AD40+AD41</f>
        <v>472.5</v>
      </c>
      <c r="AH41" s="124"/>
      <c r="AI41" s="91"/>
    </row>
    <row r="42" spans="1:35" ht="62.25" customHeight="1" thickTop="1" x14ac:dyDescent="0.9">
      <c r="A42" s="124"/>
      <c r="B42" s="127">
        <f>+B43</f>
        <v>9</v>
      </c>
      <c r="C42" s="106"/>
      <c r="D42" s="106"/>
      <c r="E42" s="106"/>
      <c r="F42" s="106"/>
      <c r="G42" s="106"/>
      <c r="H42" s="106"/>
      <c r="I42" s="107" t="s">
        <v>20</v>
      </c>
      <c r="J42" s="108" t="s">
        <v>23</v>
      </c>
      <c r="K42" s="100" t="s">
        <v>21</v>
      </c>
      <c r="L42" s="215"/>
      <c r="M42" s="215"/>
      <c r="N42" s="215"/>
      <c r="O42" s="215"/>
      <c r="P42" s="215"/>
      <c r="Q42" s="215"/>
      <c r="R42" s="215"/>
      <c r="S42" s="215"/>
      <c r="T42" s="215"/>
      <c r="U42" s="215"/>
      <c r="V42" s="98"/>
      <c r="W42" s="135"/>
      <c r="X42" s="513">
        <f>+W44</f>
        <v>0</v>
      </c>
      <c r="Y42" s="135">
        <f t="shared" si="2"/>
        <v>0</v>
      </c>
      <c r="Z42" s="136">
        <f>+AA42+Y42</f>
        <v>950</v>
      </c>
      <c r="AA42" s="136">
        <v>950</v>
      </c>
      <c r="AB42" s="109"/>
      <c r="AC42" s="110"/>
      <c r="AD42" s="157"/>
      <c r="AE42" s="167">
        <f t="shared" si="1"/>
        <v>0</v>
      </c>
      <c r="AF42" s="167"/>
      <c r="AG42" s="167"/>
      <c r="AH42" s="246"/>
      <c r="AI42" s="246"/>
    </row>
    <row r="43" spans="1:35" ht="62.25" customHeight="1" x14ac:dyDescent="0.9">
      <c r="A43" s="124"/>
      <c r="B43" s="133">
        <v>9</v>
      </c>
      <c r="C43" s="111" t="s">
        <v>309</v>
      </c>
      <c r="D43" s="111"/>
      <c r="E43" s="111" t="s">
        <v>35</v>
      </c>
      <c r="F43" s="111" t="s">
        <v>310</v>
      </c>
      <c r="G43" s="111">
        <v>1500</v>
      </c>
      <c r="H43" s="111" t="s">
        <v>33</v>
      </c>
      <c r="I43" s="113">
        <v>70.680000000000007</v>
      </c>
      <c r="J43" s="130">
        <v>44</v>
      </c>
      <c r="K43" s="101" t="s">
        <v>17</v>
      </c>
      <c r="L43" s="214">
        <v>30</v>
      </c>
      <c r="M43" s="214">
        <v>45</v>
      </c>
      <c r="N43" s="214">
        <v>45</v>
      </c>
      <c r="O43" s="214">
        <v>45</v>
      </c>
      <c r="P43" s="214">
        <v>45</v>
      </c>
      <c r="Q43" s="214">
        <v>45</v>
      </c>
      <c r="R43" s="214">
        <v>53</v>
      </c>
      <c r="S43" s="214">
        <v>44</v>
      </c>
      <c r="T43" s="214">
        <v>44</v>
      </c>
      <c r="U43" s="214"/>
      <c r="V43" s="214"/>
      <c r="W43" s="123">
        <f>+IF(COUNTA(L43:V43)=0,0,Y43/(COUNTA(L43:V43)))</f>
        <v>44</v>
      </c>
      <c r="X43" s="514"/>
      <c r="Y43" s="134">
        <f t="shared" si="2"/>
        <v>396</v>
      </c>
      <c r="Z43" s="137">
        <f>+Y43+AA43</f>
        <v>583</v>
      </c>
      <c r="AA43" s="137">
        <v>187</v>
      </c>
      <c r="AB43" s="140">
        <f>+Z42-Z43</f>
        <v>367</v>
      </c>
      <c r="AC43" s="131">
        <f>+IF(((Y44+(Y45/2))*60)=0,"",(I43*Y43)/((Y44+(Y45/2))*60))</f>
        <v>0.89537044145873323</v>
      </c>
      <c r="AD43" s="157"/>
      <c r="AE43" s="167">
        <f t="shared" si="1"/>
        <v>0</v>
      </c>
      <c r="AF43" s="167">
        <f>+Y43*I43</f>
        <v>27989.280000000002</v>
      </c>
      <c r="AG43" s="167"/>
      <c r="AH43" s="246"/>
      <c r="AI43" s="246"/>
    </row>
    <row r="44" spans="1:35" ht="62.25" customHeight="1" x14ac:dyDescent="0.9">
      <c r="A44" s="124"/>
      <c r="B44" s="125">
        <f>+B43</f>
        <v>9</v>
      </c>
      <c r="C44" s="184"/>
      <c r="D44" s="111">
        <f>+B43</f>
        <v>9</v>
      </c>
      <c r="E44" s="111"/>
      <c r="F44" s="112" t="e">
        <f>+VLOOKUP(F43,'Obj Prix'!$H:$H,2,FALSE)</f>
        <v>#N/A</v>
      </c>
      <c r="G44" s="238" t="s">
        <v>263</v>
      </c>
      <c r="H44" s="210"/>
      <c r="I44" s="210">
        <v>2</v>
      </c>
      <c r="J44" s="114" t="s">
        <v>22</v>
      </c>
      <c r="K44" s="102" t="s">
        <v>18</v>
      </c>
      <c r="L44" s="215">
        <v>57</v>
      </c>
      <c r="M44" s="215">
        <v>58</v>
      </c>
      <c r="N44" s="215">
        <v>58</v>
      </c>
      <c r="O44" s="215">
        <v>56</v>
      </c>
      <c r="P44" s="215">
        <v>56</v>
      </c>
      <c r="Q44" s="215">
        <v>56</v>
      </c>
      <c r="R44" s="215">
        <v>56</v>
      </c>
      <c r="S44" s="215">
        <v>56</v>
      </c>
      <c r="T44" s="215">
        <v>56</v>
      </c>
      <c r="U44" s="244"/>
      <c r="V44" s="215"/>
      <c r="W44" s="160">
        <f>+W43-J43</f>
        <v>0</v>
      </c>
      <c r="X44" s="514"/>
      <c r="Y44" s="103">
        <f t="shared" si="2"/>
        <v>509</v>
      </c>
      <c r="Z44" s="138"/>
      <c r="AA44" s="138"/>
      <c r="AB44" s="115"/>
      <c r="AC44" s="116"/>
      <c r="AD44" s="157">
        <f>-(L44+(L45/2))*$AD$2/60</f>
        <v>-14.75</v>
      </c>
      <c r="AE44" s="167">
        <f t="shared" si="1"/>
        <v>-885</v>
      </c>
      <c r="AF44" s="167"/>
      <c r="AG44" s="167"/>
      <c r="AH44" s="124"/>
    </row>
    <row r="45" spans="1:35" s="98" customFormat="1" ht="62.25" customHeight="1" thickBot="1" x14ac:dyDescent="0.95">
      <c r="A45" s="124"/>
      <c r="B45" s="126">
        <f>+B43</f>
        <v>9</v>
      </c>
      <c r="C45" s="174" t="s">
        <v>75</v>
      </c>
      <c r="D45" s="175">
        <f>+D44+100</f>
        <v>109</v>
      </c>
      <c r="E45" s="175"/>
      <c r="F45" s="117" t="s">
        <v>94</v>
      </c>
      <c r="G45" s="117"/>
      <c r="H45" s="159" t="s">
        <v>285</v>
      </c>
      <c r="I45" s="165">
        <f>+IF(J45="","",IF(J43=0,"",(J43*I43)/(J45*60)))</f>
        <v>0.87850847457627124</v>
      </c>
      <c r="J45" s="118">
        <v>59</v>
      </c>
      <c r="K45" s="104" t="s">
        <v>19</v>
      </c>
      <c r="L45" s="216">
        <v>4</v>
      </c>
      <c r="M45" s="216">
        <v>4</v>
      </c>
      <c r="N45" s="216">
        <v>4</v>
      </c>
      <c r="O45" s="216">
        <v>4</v>
      </c>
      <c r="P45" s="216">
        <v>4</v>
      </c>
      <c r="Q45" s="216">
        <v>1</v>
      </c>
      <c r="R45" s="216">
        <v>1</v>
      </c>
      <c r="S45" s="216">
        <v>1</v>
      </c>
      <c r="T45" s="216">
        <v>1</v>
      </c>
      <c r="U45" s="245"/>
      <c r="V45" s="216"/>
      <c r="W45" s="173"/>
      <c r="X45" s="169">
        <v>22.04</v>
      </c>
      <c r="Y45" s="105">
        <f t="shared" si="2"/>
        <v>24</v>
      </c>
      <c r="Z45" s="139"/>
      <c r="AA45" s="139"/>
      <c r="AB45" s="119">
        <f>+IFERROR(AB43/(J43*9),"")</f>
        <v>0.9267676767676768</v>
      </c>
      <c r="AC45" s="120"/>
      <c r="AD45" s="161">
        <f>+Y44+Y45/2</f>
        <v>521</v>
      </c>
      <c r="AE45" s="167">
        <f t="shared" si="1"/>
        <v>31260</v>
      </c>
      <c r="AF45" s="167"/>
      <c r="AG45" s="230">
        <f>+AD44+AD45</f>
        <v>506.25</v>
      </c>
      <c r="AH45" s="124"/>
      <c r="AI45" s="91"/>
    </row>
    <row r="46" spans="1:35" ht="62.25" customHeight="1" thickTop="1" x14ac:dyDescent="0.9">
      <c r="A46" s="124"/>
      <c r="B46" s="127">
        <f>+B47</f>
        <v>9</v>
      </c>
      <c r="C46" s="106"/>
      <c r="D46" s="106"/>
      <c r="E46" s="106"/>
      <c r="F46" s="106"/>
      <c r="G46" s="106"/>
      <c r="H46" s="106"/>
      <c r="I46" s="107" t="s">
        <v>20</v>
      </c>
      <c r="J46" s="108" t="s">
        <v>23</v>
      </c>
      <c r="K46" s="100" t="s">
        <v>21</v>
      </c>
      <c r="L46" s="215">
        <v>80</v>
      </c>
      <c r="M46" s="215">
        <v>78</v>
      </c>
      <c r="N46" s="215">
        <v>80</v>
      </c>
      <c r="O46" s="215">
        <v>40</v>
      </c>
      <c r="P46" s="215"/>
      <c r="Q46" s="215">
        <v>40</v>
      </c>
      <c r="R46" s="215"/>
      <c r="S46" s="215"/>
      <c r="T46" s="215"/>
      <c r="U46" s="215"/>
      <c r="V46" s="98"/>
      <c r="W46" s="135"/>
      <c r="X46" s="513">
        <f>+W48</f>
        <v>-45</v>
      </c>
      <c r="Y46" s="135">
        <f t="shared" si="2"/>
        <v>318</v>
      </c>
      <c r="Z46" s="136">
        <f>+AA46+Y46</f>
        <v>318</v>
      </c>
      <c r="AA46" s="136"/>
      <c r="AB46" s="109"/>
      <c r="AC46" s="110"/>
      <c r="AD46" s="157"/>
      <c r="AE46" s="167">
        <f t="shared" si="1"/>
        <v>0</v>
      </c>
      <c r="AF46" s="167"/>
      <c r="AG46" s="167"/>
      <c r="AH46" s="246"/>
      <c r="AI46" s="246"/>
    </row>
    <row r="47" spans="1:35" ht="62.25" customHeight="1" x14ac:dyDescent="0.9">
      <c r="A47" s="124"/>
      <c r="B47" s="133">
        <v>9</v>
      </c>
      <c r="C47" s="111" t="s">
        <v>323</v>
      </c>
      <c r="D47" s="111"/>
      <c r="E47" s="111" t="s">
        <v>35</v>
      </c>
      <c r="F47" s="111" t="s">
        <v>324</v>
      </c>
      <c r="G47" s="111"/>
      <c r="H47" s="111" t="s">
        <v>33</v>
      </c>
      <c r="I47" s="113">
        <v>72</v>
      </c>
      <c r="J47" s="130">
        <v>45</v>
      </c>
      <c r="K47" s="101" t="s">
        <v>17</v>
      </c>
      <c r="L47" s="214"/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123">
        <f>+IF(COUNTA(L47:V47)=0,0,Y47/(COUNTA(L47:V47)))</f>
        <v>0</v>
      </c>
      <c r="X47" s="514"/>
      <c r="Y47" s="134">
        <f t="shared" si="2"/>
        <v>0</v>
      </c>
      <c r="Z47" s="137">
        <f>+Y47+AA47</f>
        <v>0</v>
      </c>
      <c r="AA47" s="137"/>
      <c r="AB47" s="140">
        <f>+Z46-Z47</f>
        <v>318</v>
      </c>
      <c r="AC47" s="131" t="str">
        <f>+IF(((Y48+(Y49/2))*60)=0,"",(I47*Y47)/((Y48+(Y49/2))*60))</f>
        <v/>
      </c>
      <c r="AD47" s="157"/>
      <c r="AE47" s="167">
        <f t="shared" si="1"/>
        <v>0</v>
      </c>
      <c r="AF47" s="167">
        <f>+Y47*I47</f>
        <v>0</v>
      </c>
      <c r="AG47" s="167"/>
      <c r="AH47" s="246"/>
      <c r="AI47" s="246"/>
    </row>
    <row r="48" spans="1:35" ht="62.25" customHeight="1" x14ac:dyDescent="0.9">
      <c r="A48" s="124"/>
      <c r="B48" s="125">
        <f>+B47</f>
        <v>9</v>
      </c>
      <c r="C48" s="184"/>
      <c r="D48" s="111">
        <f>+B47</f>
        <v>9</v>
      </c>
      <c r="E48" s="111"/>
      <c r="F48" s="112" t="e">
        <f>+VLOOKUP(F47,'Obj Prix'!$H:$H,2,FALSE)</f>
        <v>#N/A</v>
      </c>
      <c r="G48" s="238" t="s">
        <v>263</v>
      </c>
      <c r="H48" s="210"/>
      <c r="I48" s="210"/>
      <c r="J48" s="114" t="s">
        <v>22</v>
      </c>
      <c r="K48" s="102" t="s">
        <v>18</v>
      </c>
      <c r="L48" s="215"/>
      <c r="M48" s="215"/>
      <c r="N48" s="215"/>
      <c r="O48" s="215"/>
      <c r="P48" s="215"/>
      <c r="Q48" s="215"/>
      <c r="R48" s="215"/>
      <c r="S48" s="215"/>
      <c r="T48" s="215"/>
      <c r="U48" s="244"/>
      <c r="V48" s="215"/>
      <c r="W48" s="160">
        <f>+W47-J47</f>
        <v>-45</v>
      </c>
      <c r="X48" s="514"/>
      <c r="Y48" s="103">
        <f t="shared" si="2"/>
        <v>0</v>
      </c>
      <c r="Z48" s="138"/>
      <c r="AA48" s="138"/>
      <c r="AB48" s="115"/>
      <c r="AC48" s="116"/>
      <c r="AD48" s="157">
        <f>-(L48+(L49/2))*$AD$2/60</f>
        <v>0</v>
      </c>
      <c r="AE48" s="167">
        <f t="shared" si="1"/>
        <v>0</v>
      </c>
      <c r="AF48" s="167"/>
      <c r="AG48" s="167"/>
      <c r="AH48" s="124"/>
    </row>
    <row r="49" spans="1:35" s="98" customFormat="1" ht="62.25" customHeight="1" thickBot="1" x14ac:dyDescent="0.95">
      <c r="A49" s="124"/>
      <c r="B49" s="126">
        <f>+B47</f>
        <v>9</v>
      </c>
      <c r="C49" s="174" t="s">
        <v>75</v>
      </c>
      <c r="D49" s="175">
        <f>+D48+100</f>
        <v>109</v>
      </c>
      <c r="E49" s="175"/>
      <c r="F49" s="117" t="s">
        <v>94</v>
      </c>
      <c r="G49" s="117"/>
      <c r="H49" s="159"/>
      <c r="I49" s="165">
        <f>+IF(J49="","",IF(J47=0,"",(J47*I47)/(J49*60)))</f>
        <v>0.9</v>
      </c>
      <c r="J49" s="118">
        <v>60</v>
      </c>
      <c r="K49" s="104" t="s">
        <v>19</v>
      </c>
      <c r="L49" s="216"/>
      <c r="M49" s="216"/>
      <c r="N49" s="216"/>
      <c r="O49" s="216"/>
      <c r="P49" s="216"/>
      <c r="Q49" s="216"/>
      <c r="R49" s="216"/>
      <c r="S49" s="216"/>
      <c r="T49" s="216"/>
      <c r="U49" s="245"/>
      <c r="V49" s="216"/>
      <c r="W49" s="173"/>
      <c r="X49" s="169"/>
      <c r="Y49" s="105">
        <f t="shared" si="2"/>
        <v>0</v>
      </c>
      <c r="Z49" s="139"/>
      <c r="AA49" s="139"/>
      <c r="AB49" s="119">
        <f>+IFERROR(AB47/(J47*9),"")</f>
        <v>0.78518518518518521</v>
      </c>
      <c r="AC49" s="120"/>
      <c r="AD49" s="161">
        <f>+Y48+Y49/2</f>
        <v>0</v>
      </c>
      <c r="AE49" s="167">
        <f t="shared" si="1"/>
        <v>0</v>
      </c>
      <c r="AF49" s="167"/>
      <c r="AG49" s="230">
        <f>+AD48+AD49</f>
        <v>0</v>
      </c>
      <c r="AH49" s="124"/>
      <c r="AI49" s="91"/>
    </row>
    <row r="50" spans="1:35" ht="62.25" customHeight="1" thickTop="1" x14ac:dyDescent="0.9">
      <c r="A50" s="124"/>
      <c r="B50" s="127">
        <f>+B51</f>
        <v>11</v>
      </c>
      <c r="C50" s="106"/>
      <c r="D50" s="106"/>
      <c r="E50" s="106"/>
      <c r="F50" s="106"/>
      <c r="G50" s="106"/>
      <c r="H50" s="106"/>
      <c r="I50" s="107" t="s">
        <v>20</v>
      </c>
      <c r="J50" s="108" t="s">
        <v>23</v>
      </c>
      <c r="K50" s="100" t="s">
        <v>21</v>
      </c>
      <c r="L50" s="215">
        <v>50</v>
      </c>
      <c r="M50" s="215">
        <v>50</v>
      </c>
      <c r="N50" s="215">
        <v>50</v>
      </c>
      <c r="O50" s="215">
        <v>50</v>
      </c>
      <c r="P50" s="215">
        <v>50</v>
      </c>
      <c r="Q50" s="215">
        <v>50</v>
      </c>
      <c r="R50" s="215">
        <v>50</v>
      </c>
      <c r="S50" s="215">
        <v>50</v>
      </c>
      <c r="T50" s="215"/>
      <c r="U50" s="215"/>
      <c r="V50" s="98"/>
      <c r="W50" s="135"/>
      <c r="X50" s="513">
        <f>+W52</f>
        <v>0</v>
      </c>
      <c r="Y50" s="135">
        <f t="shared" si="2"/>
        <v>400</v>
      </c>
      <c r="Z50" s="136">
        <f>+AA50+Y50</f>
        <v>8015</v>
      </c>
      <c r="AA50" s="136">
        <v>7615</v>
      </c>
      <c r="AB50" s="109"/>
      <c r="AC50" s="110"/>
      <c r="AD50" s="157"/>
      <c r="AE50" s="167">
        <f t="shared" si="1"/>
        <v>0</v>
      </c>
      <c r="AF50" s="167"/>
      <c r="AG50" s="167"/>
      <c r="AH50" s="124"/>
    </row>
    <row r="51" spans="1:35" ht="62.25" customHeight="1" x14ac:dyDescent="0.9">
      <c r="A51" s="124"/>
      <c r="B51" s="132">
        <v>11</v>
      </c>
      <c r="C51" s="111" t="s">
        <v>292</v>
      </c>
      <c r="D51" s="111"/>
      <c r="E51" s="111" t="s">
        <v>35</v>
      </c>
      <c r="F51" s="111" t="s">
        <v>293</v>
      </c>
      <c r="G51" s="111">
        <v>11466</v>
      </c>
      <c r="H51" s="111" t="s">
        <v>33</v>
      </c>
      <c r="I51" s="113">
        <v>61.52</v>
      </c>
      <c r="J51" s="130">
        <v>45</v>
      </c>
      <c r="K51" s="101" t="s">
        <v>17</v>
      </c>
      <c r="L51" s="214">
        <v>39</v>
      </c>
      <c r="M51" s="214">
        <v>0</v>
      </c>
      <c r="N51" s="214">
        <v>50</v>
      </c>
      <c r="O51" s="214">
        <v>50</v>
      </c>
      <c r="P51" s="214">
        <v>50</v>
      </c>
      <c r="Q51" s="214">
        <v>50</v>
      </c>
      <c r="R51" s="214">
        <v>50</v>
      </c>
      <c r="S51" s="214">
        <v>50</v>
      </c>
      <c r="T51" s="214">
        <v>66</v>
      </c>
      <c r="U51" s="214"/>
      <c r="V51" s="214"/>
      <c r="W51" s="123">
        <f>+IF(COUNTA(L51:V51)=0,0,Y51/(COUNTA(L51:V51)))</f>
        <v>45</v>
      </c>
      <c r="X51" s="514"/>
      <c r="Y51" s="134">
        <f t="shared" si="2"/>
        <v>405</v>
      </c>
      <c r="Z51" s="137">
        <f>+Y51+AA51</f>
        <v>7296</v>
      </c>
      <c r="AA51" s="137">
        <v>6891</v>
      </c>
      <c r="AB51" s="140">
        <f>+Z50-Z51</f>
        <v>719</v>
      </c>
      <c r="AC51" s="131">
        <f>+IF(((Y52+(Y53/2))*60)=0,"",(I51*Y51)/((Y52+(Y53/2))*60))</f>
        <v>0.89785945945945955</v>
      </c>
      <c r="AD51" s="157"/>
      <c r="AE51" s="167">
        <f t="shared" si="1"/>
        <v>0</v>
      </c>
      <c r="AF51" s="167">
        <f>+Y51*I51</f>
        <v>24915.600000000002</v>
      </c>
      <c r="AG51" s="167"/>
      <c r="AH51" s="124"/>
    </row>
    <row r="52" spans="1:35" ht="62.25" customHeight="1" x14ac:dyDescent="0.9">
      <c r="A52" s="124"/>
      <c r="B52" s="125">
        <f>+B51</f>
        <v>11</v>
      </c>
      <c r="C52" s="184"/>
      <c r="D52" s="111"/>
      <c r="E52" s="111"/>
      <c r="F52" s="112" t="e">
        <f>+VLOOKUP(F51,'Obj Prix'!$H:$H,2,FALSE)</f>
        <v>#N/A</v>
      </c>
      <c r="G52" s="238" t="s">
        <v>263</v>
      </c>
      <c r="H52" s="210"/>
      <c r="I52" s="210">
        <v>2</v>
      </c>
      <c r="J52" s="114" t="s">
        <v>22</v>
      </c>
      <c r="K52" s="102" t="s">
        <v>18</v>
      </c>
      <c r="L52" s="215">
        <v>49</v>
      </c>
      <c r="M52" s="215">
        <v>50</v>
      </c>
      <c r="N52" s="215">
        <v>50</v>
      </c>
      <c r="O52" s="215">
        <v>50</v>
      </c>
      <c r="P52" s="215">
        <v>50</v>
      </c>
      <c r="Q52" s="215">
        <v>50</v>
      </c>
      <c r="R52" s="215">
        <v>50</v>
      </c>
      <c r="S52" s="215">
        <v>50</v>
      </c>
      <c r="T52" s="215">
        <v>50</v>
      </c>
      <c r="U52" s="244"/>
      <c r="V52" s="215"/>
      <c r="W52" s="160">
        <f>+W51-J51</f>
        <v>0</v>
      </c>
      <c r="X52" s="514"/>
      <c r="Y52" s="103">
        <f t="shared" si="2"/>
        <v>449</v>
      </c>
      <c r="Z52" s="138"/>
      <c r="AA52" s="138"/>
      <c r="AB52" s="115"/>
      <c r="AC52" s="116"/>
      <c r="AD52" s="157">
        <f>-(L52+(L53/2))*$AD$2/60</f>
        <v>-12.625</v>
      </c>
      <c r="AE52" s="167">
        <f t="shared" si="1"/>
        <v>-757.5</v>
      </c>
      <c r="AF52" s="167"/>
      <c r="AG52" s="167"/>
      <c r="AH52" s="124"/>
    </row>
    <row r="53" spans="1:35" s="98" customFormat="1" ht="62.25" customHeight="1" thickBot="1" x14ac:dyDescent="0.95">
      <c r="A53" s="124"/>
      <c r="B53" s="126">
        <f>+B51</f>
        <v>11</v>
      </c>
      <c r="C53" s="174" t="s">
        <v>175</v>
      </c>
      <c r="D53" s="175">
        <f>+D52+100</f>
        <v>100</v>
      </c>
      <c r="E53" s="175"/>
      <c r="F53" s="117" t="s">
        <v>94</v>
      </c>
      <c r="G53" s="117"/>
      <c r="H53" s="159" t="s">
        <v>301</v>
      </c>
      <c r="I53" s="165">
        <f>+IF(J53="","",IF(J51=0,"",(J51*I51)/(J53*60)))</f>
        <v>0.85444444444444445</v>
      </c>
      <c r="J53" s="118">
        <v>54</v>
      </c>
      <c r="K53" s="104" t="s">
        <v>19</v>
      </c>
      <c r="L53" s="216">
        <v>3</v>
      </c>
      <c r="M53" s="216">
        <v>3</v>
      </c>
      <c r="N53" s="216">
        <v>3</v>
      </c>
      <c r="O53" s="216">
        <v>3</v>
      </c>
      <c r="P53" s="216">
        <v>3</v>
      </c>
      <c r="Q53" s="216">
        <v>3</v>
      </c>
      <c r="R53" s="216">
        <v>3</v>
      </c>
      <c r="S53" s="216">
        <v>3</v>
      </c>
      <c r="T53" s="216">
        <v>3</v>
      </c>
      <c r="U53" s="245"/>
      <c r="V53" s="216"/>
      <c r="W53" s="173"/>
      <c r="X53" s="169">
        <v>24.27</v>
      </c>
      <c r="Y53" s="105">
        <f t="shared" si="2"/>
        <v>27</v>
      </c>
      <c r="Z53" s="139"/>
      <c r="AA53" s="139"/>
      <c r="AB53" s="119">
        <f>+IFERROR(AB51/(J51*9),"")</f>
        <v>1.7753086419753086</v>
      </c>
      <c r="AC53" s="120"/>
      <c r="AD53" s="161">
        <f>+Y52+Y53/2</f>
        <v>462.5</v>
      </c>
      <c r="AE53" s="167">
        <f t="shared" si="1"/>
        <v>27750</v>
      </c>
      <c r="AF53" s="167"/>
      <c r="AG53" s="230">
        <f>+AD52+AD53</f>
        <v>449.875</v>
      </c>
      <c r="AH53" s="124"/>
      <c r="AI53" s="91"/>
    </row>
    <row r="54" spans="1:35" ht="62.25" customHeight="1" thickTop="1" x14ac:dyDescent="0.9">
      <c r="A54" s="124"/>
      <c r="B54" s="127">
        <f>+B55</f>
        <v>12</v>
      </c>
      <c r="C54" s="106"/>
      <c r="D54" s="106"/>
      <c r="E54" s="106"/>
      <c r="F54" s="106"/>
      <c r="G54" s="106"/>
      <c r="H54" s="106"/>
      <c r="I54" s="107" t="s">
        <v>20</v>
      </c>
      <c r="J54" s="108" t="s">
        <v>23</v>
      </c>
      <c r="K54" s="100" t="s">
        <v>21</v>
      </c>
      <c r="L54" s="215"/>
      <c r="M54" s="215"/>
      <c r="N54" s="215"/>
      <c r="O54" s="215"/>
      <c r="P54" s="215"/>
      <c r="Q54" s="215"/>
      <c r="R54" s="215"/>
      <c r="S54" s="215"/>
      <c r="T54" s="215"/>
      <c r="U54" s="215"/>
      <c r="V54" s="98"/>
      <c r="W54" s="135"/>
      <c r="X54" s="513">
        <f>+W56</f>
        <v>-41</v>
      </c>
      <c r="Y54" s="135">
        <f t="shared" si="2"/>
        <v>0</v>
      </c>
      <c r="Z54" s="136">
        <f>+AA54+Y54</f>
        <v>4332</v>
      </c>
      <c r="AA54" s="136">
        <v>4332</v>
      </c>
      <c r="AB54" s="121"/>
      <c r="AC54" s="110"/>
      <c r="AD54" s="157"/>
      <c r="AE54" s="167">
        <f t="shared" si="1"/>
        <v>0</v>
      </c>
      <c r="AF54" s="167"/>
      <c r="AG54" s="167"/>
      <c r="AH54" s="246" t="s">
        <v>291</v>
      </c>
    </row>
    <row r="55" spans="1:35" ht="62.25" customHeight="1" x14ac:dyDescent="0.9">
      <c r="A55" s="124"/>
      <c r="B55" s="132">
        <v>12</v>
      </c>
      <c r="C55" s="111" t="s">
        <v>294</v>
      </c>
      <c r="D55" s="111"/>
      <c r="E55" s="111" t="s">
        <v>35</v>
      </c>
      <c r="F55" s="111" t="s">
        <v>297</v>
      </c>
      <c r="G55" s="111">
        <v>4500</v>
      </c>
      <c r="H55" s="111" t="s">
        <v>33</v>
      </c>
      <c r="I55" s="113">
        <v>69.260000000000005</v>
      </c>
      <c r="J55" s="130">
        <v>50</v>
      </c>
      <c r="K55" s="101" t="s">
        <v>17</v>
      </c>
      <c r="L55" s="214">
        <v>9</v>
      </c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123">
        <f>+IF(COUNTA(L55:V55)=0,0,Y55/(COUNTA(L55:V55)))</f>
        <v>9</v>
      </c>
      <c r="X55" s="514"/>
      <c r="Y55" s="134">
        <f t="shared" si="2"/>
        <v>9</v>
      </c>
      <c r="Z55" s="137">
        <f>+Y55+AA55</f>
        <v>4327</v>
      </c>
      <c r="AA55" s="137">
        <v>4318</v>
      </c>
      <c r="AB55" s="140">
        <f>+Z54-Z55</f>
        <v>5</v>
      </c>
      <c r="AC55" s="131">
        <f>+IF(((Y56+(Y57/2))*60)=0,"",(I55*Y55)/((Y56+(Y57/2))*60))</f>
        <v>10.389000000000001</v>
      </c>
      <c r="AD55" s="157"/>
      <c r="AE55" s="167">
        <f t="shared" si="1"/>
        <v>0</v>
      </c>
      <c r="AF55" s="167">
        <f>+Y55*I55</f>
        <v>623.34</v>
      </c>
      <c r="AG55" s="167"/>
      <c r="AH55" s="246">
        <v>2964</v>
      </c>
    </row>
    <row r="56" spans="1:35" ht="62.25" customHeight="1" x14ac:dyDescent="0.9">
      <c r="A56" s="124"/>
      <c r="B56" s="125">
        <f>+B55</f>
        <v>12</v>
      </c>
      <c r="C56" s="184"/>
      <c r="D56" s="111"/>
      <c r="E56" s="111"/>
      <c r="F56" s="112" t="e">
        <f>+VLOOKUP(F55,'Obj Prix'!$H:$H,2,FALSE)</f>
        <v>#N/A</v>
      </c>
      <c r="G56" s="238" t="s">
        <v>263</v>
      </c>
      <c r="H56" s="210"/>
      <c r="I56" s="210"/>
      <c r="J56" s="114" t="s">
        <v>22</v>
      </c>
      <c r="K56" s="102" t="s">
        <v>18</v>
      </c>
      <c r="L56" s="215">
        <v>1</v>
      </c>
      <c r="M56" s="215"/>
      <c r="N56" s="215"/>
      <c r="O56" s="215"/>
      <c r="P56" s="215"/>
      <c r="Q56" s="215"/>
      <c r="R56" s="215"/>
      <c r="S56" s="215"/>
      <c r="T56" s="215"/>
      <c r="U56" s="244"/>
      <c r="V56" s="215"/>
      <c r="W56" s="160">
        <f>+W55-J55</f>
        <v>-41</v>
      </c>
      <c r="X56" s="514"/>
      <c r="Y56" s="103">
        <f t="shared" si="2"/>
        <v>1</v>
      </c>
      <c r="Z56" s="138"/>
      <c r="AA56" s="138"/>
      <c r="AB56" s="122"/>
      <c r="AC56" s="116"/>
      <c r="AD56" s="157">
        <f>-(L56+(L57/2))*$AD$2/60</f>
        <v>-0.25</v>
      </c>
      <c r="AE56" s="167">
        <f t="shared" si="1"/>
        <v>-15</v>
      </c>
      <c r="AF56" s="167"/>
      <c r="AG56" s="167"/>
      <c r="AH56" s="124"/>
    </row>
    <row r="57" spans="1:35" ht="69" customHeight="1" thickBot="1" x14ac:dyDescent="0.95">
      <c r="A57" s="124"/>
      <c r="B57" s="126">
        <f>+B55</f>
        <v>12</v>
      </c>
      <c r="C57" s="174" t="s">
        <v>286</v>
      </c>
      <c r="D57" s="175">
        <f>+D56+100</f>
        <v>100</v>
      </c>
      <c r="E57" s="175"/>
      <c r="F57" s="117" t="s">
        <v>203</v>
      </c>
      <c r="G57" s="117"/>
      <c r="H57" s="159" t="s">
        <v>285</v>
      </c>
      <c r="I57" s="165">
        <f>+IF(J57="","",IF(J55=0,"",(J55*I55)/(J57*60)))</f>
        <v>0.9619444444444446</v>
      </c>
      <c r="J57" s="118">
        <v>60</v>
      </c>
      <c r="K57" s="104" t="s">
        <v>19</v>
      </c>
      <c r="L57" s="216"/>
      <c r="M57" s="216"/>
      <c r="N57" s="216"/>
      <c r="O57" s="216"/>
      <c r="P57" s="216"/>
      <c r="Q57" s="216"/>
      <c r="R57" s="216"/>
      <c r="S57" s="216"/>
      <c r="T57" s="216"/>
      <c r="U57" s="245"/>
      <c r="V57" s="216"/>
      <c r="W57" s="173"/>
      <c r="X57" s="169">
        <v>13.54</v>
      </c>
      <c r="Y57" s="105">
        <f t="shared" si="2"/>
        <v>0</v>
      </c>
      <c r="Z57" s="139"/>
      <c r="AA57" s="139"/>
      <c r="AB57" s="119">
        <f>+IFERROR(AB55/(J55*9),"")</f>
        <v>1.1111111111111112E-2</v>
      </c>
      <c r="AC57" s="162"/>
      <c r="AD57" s="161">
        <f>+Y56+Y57/2</f>
        <v>1</v>
      </c>
      <c r="AE57" s="167">
        <f t="shared" si="1"/>
        <v>60</v>
      </c>
      <c r="AF57" s="167"/>
      <c r="AG57" s="230">
        <f>+AD56+AD57</f>
        <v>0.75</v>
      </c>
      <c r="AH57" s="124"/>
    </row>
    <row r="58" spans="1:35" ht="62.25" customHeight="1" thickTop="1" x14ac:dyDescent="0.9">
      <c r="A58" s="124"/>
      <c r="B58" s="127">
        <f>+B59</f>
        <v>12</v>
      </c>
      <c r="C58" s="106"/>
      <c r="D58" s="106"/>
      <c r="E58" s="106"/>
      <c r="F58" s="106"/>
      <c r="G58" s="106"/>
      <c r="H58" s="106"/>
      <c r="I58" s="107" t="s">
        <v>20</v>
      </c>
      <c r="J58" s="108" t="s">
        <v>23</v>
      </c>
      <c r="K58" s="100" t="s">
        <v>21</v>
      </c>
      <c r="L58" s="215">
        <v>40</v>
      </c>
      <c r="M58" s="215">
        <v>40</v>
      </c>
      <c r="N58" s="215">
        <v>40</v>
      </c>
      <c r="O58" s="215">
        <v>40</v>
      </c>
      <c r="P58" s="215">
        <v>40</v>
      </c>
      <c r="Q58" s="215">
        <v>40</v>
      </c>
      <c r="R58" s="215"/>
      <c r="S58" s="215"/>
      <c r="T58" s="215"/>
      <c r="U58" s="215"/>
      <c r="V58" s="98"/>
      <c r="W58" s="135"/>
      <c r="X58" s="513">
        <f>+W60</f>
        <v>-20.555555555555557</v>
      </c>
      <c r="Y58" s="135">
        <f t="shared" si="2"/>
        <v>240</v>
      </c>
      <c r="Z58" s="136">
        <f>+AA58+Y58</f>
        <v>760</v>
      </c>
      <c r="AA58" s="136">
        <v>520</v>
      </c>
      <c r="AB58" s="121"/>
      <c r="AC58" s="110"/>
      <c r="AD58" s="157"/>
      <c r="AE58" s="167">
        <f t="shared" si="1"/>
        <v>0</v>
      </c>
      <c r="AF58" s="167"/>
      <c r="AG58" s="167"/>
      <c r="AH58" s="124"/>
    </row>
    <row r="59" spans="1:35" ht="62.25" customHeight="1" x14ac:dyDescent="0.9">
      <c r="A59" s="124"/>
      <c r="B59" s="132">
        <v>12</v>
      </c>
      <c r="C59" s="111" t="s">
        <v>318</v>
      </c>
      <c r="D59" s="111"/>
      <c r="E59" s="111" t="s">
        <v>35</v>
      </c>
      <c r="F59" s="111" t="s">
        <v>319</v>
      </c>
      <c r="G59" s="111">
        <v>12070</v>
      </c>
      <c r="H59" s="111" t="s">
        <v>300</v>
      </c>
      <c r="I59" s="113">
        <v>66.400000000000006</v>
      </c>
      <c r="J59" s="130">
        <v>48</v>
      </c>
      <c r="K59" s="101" t="s">
        <v>17</v>
      </c>
      <c r="L59" s="214">
        <v>10</v>
      </c>
      <c r="M59" s="214">
        <v>16</v>
      </c>
      <c r="N59" s="214">
        <v>31</v>
      </c>
      <c r="O59" s="214">
        <v>40</v>
      </c>
      <c r="P59" s="214">
        <v>35</v>
      </c>
      <c r="Q59" s="214">
        <v>40</v>
      </c>
      <c r="R59" s="214">
        <v>10</v>
      </c>
      <c r="S59" s="214">
        <v>33</v>
      </c>
      <c r="T59" s="214">
        <v>32</v>
      </c>
      <c r="U59" s="214"/>
      <c r="V59" s="214"/>
      <c r="W59" s="123">
        <f>+IF(COUNTA(L59:V59)=0,0,Y59/(COUNTA(L59:V59)))</f>
        <v>27.444444444444443</v>
      </c>
      <c r="X59" s="514"/>
      <c r="Y59" s="134">
        <f t="shared" si="2"/>
        <v>247</v>
      </c>
      <c r="Z59" s="137">
        <f>+Y59+AA59</f>
        <v>285</v>
      </c>
      <c r="AA59" s="137">
        <v>38</v>
      </c>
      <c r="AB59" s="140">
        <f>+Z58-Z59</f>
        <v>475</v>
      </c>
      <c r="AC59" s="131">
        <f>+IF(((Y60+(Y61/2))*60)=0,"",(I59*Y59)/((Y60+(Y61/2))*60))</f>
        <v>0.51332707355242579</v>
      </c>
      <c r="AD59" s="157"/>
      <c r="AE59" s="167">
        <f t="shared" si="1"/>
        <v>0</v>
      </c>
      <c r="AF59" s="167">
        <f>+Y59*I59</f>
        <v>16400.800000000003</v>
      </c>
      <c r="AG59" s="167"/>
      <c r="AH59" s="124"/>
    </row>
    <row r="60" spans="1:35" ht="62.25" customHeight="1" x14ac:dyDescent="0.9">
      <c r="A60" s="124"/>
      <c r="B60" s="125">
        <f>+B59</f>
        <v>12</v>
      </c>
      <c r="C60" s="184"/>
      <c r="D60" s="111"/>
      <c r="E60" s="111"/>
      <c r="F60" s="112" t="e">
        <f>+VLOOKUP(F59,'Obj Prix'!$H:$H,2,FALSE)</f>
        <v>#N/A</v>
      </c>
      <c r="G60" s="238" t="s">
        <v>263</v>
      </c>
      <c r="H60" s="210"/>
      <c r="I60" s="210"/>
      <c r="J60" s="114" t="s">
        <v>22</v>
      </c>
      <c r="K60" s="102" t="s">
        <v>18</v>
      </c>
      <c r="L60" s="215">
        <v>57</v>
      </c>
      <c r="M60" s="215">
        <v>57</v>
      </c>
      <c r="N60" s="215">
        <v>57</v>
      </c>
      <c r="O60" s="215">
        <v>58</v>
      </c>
      <c r="P60" s="215">
        <v>58</v>
      </c>
      <c r="Q60" s="215">
        <v>58</v>
      </c>
      <c r="R60" s="215">
        <v>58</v>
      </c>
      <c r="S60" s="215">
        <v>58</v>
      </c>
      <c r="T60" s="215">
        <v>58</v>
      </c>
      <c r="U60" s="244"/>
      <c r="V60" s="215"/>
      <c r="W60" s="160">
        <f>+W59-J59</f>
        <v>-20.555555555555557</v>
      </c>
      <c r="X60" s="514"/>
      <c r="Y60" s="103">
        <f t="shared" si="2"/>
        <v>519</v>
      </c>
      <c r="Z60" s="138"/>
      <c r="AA60" s="138"/>
      <c r="AB60" s="122"/>
      <c r="AC60" s="116"/>
      <c r="AD60" s="157">
        <f>-(L60+(L61/2))*$AD$2/60</f>
        <v>-14.625</v>
      </c>
      <c r="AE60" s="167">
        <f t="shared" si="1"/>
        <v>-877.5</v>
      </c>
      <c r="AF60" s="167"/>
      <c r="AG60" s="167"/>
      <c r="AH60" s="124"/>
    </row>
    <row r="61" spans="1:35" ht="69" customHeight="1" thickBot="1" x14ac:dyDescent="0.95">
      <c r="A61" s="124"/>
      <c r="B61" s="126">
        <f>+B59</f>
        <v>12</v>
      </c>
      <c r="C61" s="174" t="s">
        <v>286</v>
      </c>
      <c r="D61" s="175">
        <f>+D60+100</f>
        <v>100</v>
      </c>
      <c r="E61" s="175"/>
      <c r="F61" s="117" t="s">
        <v>203</v>
      </c>
      <c r="G61" s="117"/>
      <c r="H61" s="159" t="s">
        <v>303</v>
      </c>
      <c r="I61" s="165">
        <f>+IF(J61="","",IF(J59=0,"",(J59*I59)/(J61*60)))</f>
        <v>0.85677419354838713</v>
      </c>
      <c r="J61" s="118">
        <v>62</v>
      </c>
      <c r="K61" s="104" t="s">
        <v>19</v>
      </c>
      <c r="L61" s="216">
        <v>3</v>
      </c>
      <c r="M61" s="216">
        <v>3</v>
      </c>
      <c r="N61" s="216">
        <v>3</v>
      </c>
      <c r="O61" s="216">
        <v>3</v>
      </c>
      <c r="P61" s="216">
        <v>3</v>
      </c>
      <c r="Q61" s="216">
        <v>3</v>
      </c>
      <c r="R61" s="216">
        <v>3</v>
      </c>
      <c r="S61" s="216">
        <v>3</v>
      </c>
      <c r="T61" s="216">
        <v>3</v>
      </c>
      <c r="U61" s="245"/>
      <c r="V61" s="216"/>
      <c r="W61" s="173"/>
      <c r="X61" s="168">
        <f>10.79+(COUNTA(L59:V59)-(Y59/J59))</f>
        <v>14.644166666666667</v>
      </c>
      <c r="Y61" s="105">
        <f t="shared" si="2"/>
        <v>27</v>
      </c>
      <c r="Z61" s="139"/>
      <c r="AA61" s="139"/>
      <c r="AB61" s="119">
        <f>+IFERROR(AB59/(J59*9),"")</f>
        <v>1.099537037037037</v>
      </c>
      <c r="AC61" s="162"/>
      <c r="AD61" s="161">
        <f>+Y60+Y61/2</f>
        <v>532.5</v>
      </c>
      <c r="AE61" s="167">
        <f t="shared" si="1"/>
        <v>31950</v>
      </c>
      <c r="AF61" s="167"/>
      <c r="AG61" s="230">
        <f>+AD60+AD61</f>
        <v>517.875</v>
      </c>
      <c r="AH61" s="124"/>
    </row>
    <row r="62" spans="1:35" s="98" customFormat="1" ht="62.25" customHeight="1" thickTop="1" x14ac:dyDescent="0.9">
      <c r="A62" s="124"/>
      <c r="B62" s="127">
        <f>+B63</f>
        <v>13</v>
      </c>
      <c r="C62" s="106"/>
      <c r="D62" s="106"/>
      <c r="E62" s="106"/>
      <c r="F62" s="106"/>
      <c r="G62" s="106"/>
      <c r="H62" s="106"/>
      <c r="I62" s="107" t="s">
        <v>20</v>
      </c>
      <c r="J62" s="108" t="s">
        <v>23</v>
      </c>
      <c r="K62" s="100" t="s">
        <v>21</v>
      </c>
      <c r="L62" s="215">
        <v>50</v>
      </c>
      <c r="M62" s="215">
        <v>50</v>
      </c>
      <c r="N62" s="215">
        <v>50</v>
      </c>
      <c r="O62" s="215">
        <v>50</v>
      </c>
      <c r="P62" s="215">
        <v>50</v>
      </c>
      <c r="Q62" s="215">
        <v>50</v>
      </c>
      <c r="R62" s="215"/>
      <c r="S62" s="215"/>
      <c r="T62" s="215"/>
      <c r="U62" s="215"/>
      <c r="W62" s="135"/>
      <c r="X62" s="513">
        <f>+W64</f>
        <v>0</v>
      </c>
      <c r="Y62" s="135">
        <f t="shared" si="2"/>
        <v>300</v>
      </c>
      <c r="Z62" s="136">
        <f>+AA62+Y62</f>
        <v>3026</v>
      </c>
      <c r="AA62" s="136">
        <v>2726</v>
      </c>
      <c r="AB62" s="109"/>
      <c r="AC62" s="110"/>
      <c r="AD62" s="157"/>
      <c r="AE62" s="167">
        <f t="shared" si="1"/>
        <v>0</v>
      </c>
      <c r="AF62" s="167"/>
      <c r="AG62" s="167"/>
      <c r="AH62" s="124"/>
      <c r="AI62" s="91"/>
    </row>
    <row r="63" spans="1:35" s="98" customFormat="1" ht="62.25" customHeight="1" x14ac:dyDescent="0.9">
      <c r="A63" s="124"/>
      <c r="B63" s="132">
        <v>13</v>
      </c>
      <c r="C63" s="111" t="s">
        <v>309</v>
      </c>
      <c r="D63" s="111"/>
      <c r="E63" s="111" t="s">
        <v>35</v>
      </c>
      <c r="F63" s="111" t="s">
        <v>310</v>
      </c>
      <c r="G63" s="111">
        <v>16000</v>
      </c>
      <c r="H63" s="111" t="s">
        <v>33</v>
      </c>
      <c r="I63" s="113">
        <v>68.48</v>
      </c>
      <c r="J63" s="130">
        <v>44</v>
      </c>
      <c r="K63" s="101" t="s">
        <v>17</v>
      </c>
      <c r="L63" s="214">
        <v>32</v>
      </c>
      <c r="M63" s="214">
        <v>44</v>
      </c>
      <c r="N63" s="214">
        <v>44</v>
      </c>
      <c r="O63" s="214">
        <v>44</v>
      </c>
      <c r="P63" s="247">
        <v>44</v>
      </c>
      <c r="Q63" s="247">
        <v>44</v>
      </c>
      <c r="R63" s="247">
        <v>44</v>
      </c>
      <c r="S63" s="247">
        <v>44</v>
      </c>
      <c r="T63" s="247">
        <v>56</v>
      </c>
      <c r="U63" s="214"/>
      <c r="V63" s="214"/>
      <c r="W63" s="123">
        <f>+IF(COUNTA(L63:V63)=0,0,Y63/(COUNTA(L63:V63)))</f>
        <v>44</v>
      </c>
      <c r="X63" s="514"/>
      <c r="Y63" s="134">
        <f t="shared" si="2"/>
        <v>396</v>
      </c>
      <c r="Z63" s="137">
        <f>+Y63+AA63</f>
        <v>2168</v>
      </c>
      <c r="AA63" s="137">
        <v>1772</v>
      </c>
      <c r="AB63" s="140">
        <f>+Z62-Z63</f>
        <v>858</v>
      </c>
      <c r="AC63" s="131">
        <f>+IF(((Y64+(Y65/2))*60)=0,"",(I63*Y63)/((Y64+(Y65/2))*60))</f>
        <v>0.86007231208372981</v>
      </c>
      <c r="AD63" s="157"/>
      <c r="AE63" s="167">
        <f t="shared" si="1"/>
        <v>0</v>
      </c>
      <c r="AF63" s="167">
        <f>+Y63*I63</f>
        <v>27118.080000000002</v>
      </c>
      <c r="AG63" s="167"/>
      <c r="AH63" s="124"/>
      <c r="AI63" s="91"/>
    </row>
    <row r="64" spans="1:35" s="98" customFormat="1" ht="62.25" customHeight="1" x14ac:dyDescent="0.9">
      <c r="A64" s="124"/>
      <c r="B64" s="125">
        <f>+B63</f>
        <v>13</v>
      </c>
      <c r="C64" s="184"/>
      <c r="D64" s="111"/>
      <c r="E64" s="111"/>
      <c r="F64" s="112" t="e">
        <f>+VLOOKUP(F63,'Obj Prix'!$H:$H,2,FALSE)</f>
        <v>#N/A</v>
      </c>
      <c r="G64" s="238" t="s">
        <v>263</v>
      </c>
      <c r="H64" s="210"/>
      <c r="I64" s="210">
        <v>4</v>
      </c>
      <c r="J64" s="114" t="s">
        <v>22</v>
      </c>
      <c r="K64" s="102" t="s">
        <v>18</v>
      </c>
      <c r="L64" s="215">
        <v>58</v>
      </c>
      <c r="M64" s="215">
        <v>58</v>
      </c>
      <c r="N64" s="215">
        <v>58</v>
      </c>
      <c r="O64" s="215">
        <v>58</v>
      </c>
      <c r="P64" s="215">
        <v>56</v>
      </c>
      <c r="Q64" s="215">
        <v>56</v>
      </c>
      <c r="R64" s="215">
        <v>56</v>
      </c>
      <c r="S64" s="215">
        <v>56</v>
      </c>
      <c r="T64" s="215">
        <v>56</v>
      </c>
      <c r="U64" s="244"/>
      <c r="V64" s="215"/>
      <c r="W64" s="160">
        <f>+W63-J63</f>
        <v>0</v>
      </c>
      <c r="X64" s="514"/>
      <c r="Y64" s="103">
        <f t="shared" si="2"/>
        <v>512</v>
      </c>
      <c r="Z64" s="138"/>
      <c r="AA64" s="138"/>
      <c r="AB64" s="115"/>
      <c r="AC64" s="116"/>
      <c r="AD64" s="157">
        <f>-(L64+(L65/2))*$AD$2/60</f>
        <v>-14.875</v>
      </c>
      <c r="AE64" s="167">
        <f t="shared" si="1"/>
        <v>-892.5</v>
      </c>
      <c r="AF64" s="167"/>
      <c r="AG64" s="167"/>
      <c r="AH64" s="124"/>
      <c r="AI64" s="91"/>
    </row>
    <row r="65" spans="1:35" s="98" customFormat="1" ht="62.25" customHeight="1" thickBot="1" x14ac:dyDescent="0.95">
      <c r="A65" s="124"/>
      <c r="B65" s="126">
        <f>+B63</f>
        <v>13</v>
      </c>
      <c r="C65" s="174" t="s">
        <v>76</v>
      </c>
      <c r="D65" s="175">
        <f>+D64+100</f>
        <v>100</v>
      </c>
      <c r="E65" s="175"/>
      <c r="F65" s="117" t="s">
        <v>94</v>
      </c>
      <c r="G65" s="218"/>
      <c r="H65" s="159" t="s">
        <v>285</v>
      </c>
      <c r="I65" s="165">
        <f>+IF(J65="","",IF(J63=0,"",(J63*I63)/(J65*60)))</f>
        <v>0.88102923976608194</v>
      </c>
      <c r="J65" s="118">
        <v>57</v>
      </c>
      <c r="K65" s="104" t="s">
        <v>19</v>
      </c>
      <c r="L65" s="216">
        <v>3</v>
      </c>
      <c r="M65" s="216">
        <v>3</v>
      </c>
      <c r="N65" s="216">
        <v>3</v>
      </c>
      <c r="O65" s="216">
        <v>3</v>
      </c>
      <c r="P65" s="216">
        <v>3</v>
      </c>
      <c r="Q65" s="216">
        <v>3</v>
      </c>
      <c r="R65" s="216">
        <v>3</v>
      </c>
      <c r="S65" s="216">
        <v>3</v>
      </c>
      <c r="T65" s="216">
        <v>3</v>
      </c>
      <c r="U65" s="245"/>
      <c r="V65" s="216"/>
      <c r="W65" s="173"/>
      <c r="X65" s="169">
        <v>26.69</v>
      </c>
      <c r="Y65" s="105">
        <f t="shared" si="2"/>
        <v>27</v>
      </c>
      <c r="Z65" s="139"/>
      <c r="AA65" s="139"/>
      <c r="AB65" s="119">
        <f>+IFERROR(AB63/(J63*9),"")</f>
        <v>2.1666666666666665</v>
      </c>
      <c r="AC65" s="120"/>
      <c r="AD65" s="161">
        <f>+Y64+Y65/2</f>
        <v>525.5</v>
      </c>
      <c r="AE65" s="167">
        <f t="shared" si="1"/>
        <v>31530</v>
      </c>
      <c r="AF65" s="167"/>
      <c r="AG65" s="230">
        <f>+AD64+AD65</f>
        <v>510.625</v>
      </c>
      <c r="AH65" s="124"/>
      <c r="AI65" s="91"/>
    </row>
    <row r="66" spans="1:35" s="98" customFormat="1" ht="62.25" customHeight="1" thickTop="1" x14ac:dyDescent="0.9">
      <c r="A66" s="124"/>
      <c r="B66" s="127">
        <f>+B67</f>
        <v>14</v>
      </c>
      <c r="C66" s="106"/>
      <c r="D66" s="106"/>
      <c r="E66" s="106"/>
      <c r="F66" s="106"/>
      <c r="G66" s="106"/>
      <c r="H66" s="106"/>
      <c r="I66" s="107" t="s">
        <v>20</v>
      </c>
      <c r="J66" s="108" t="s">
        <v>23</v>
      </c>
      <c r="K66" s="100" t="s">
        <v>21</v>
      </c>
      <c r="L66" s="215">
        <v>60</v>
      </c>
      <c r="M66" s="215">
        <v>60</v>
      </c>
      <c r="N66" s="215">
        <v>60</v>
      </c>
      <c r="O66" s="215">
        <v>120</v>
      </c>
      <c r="P66" s="215"/>
      <c r="Q66" s="215">
        <v>39</v>
      </c>
      <c r="R66" s="215">
        <v>40</v>
      </c>
      <c r="S66" s="215">
        <v>41</v>
      </c>
      <c r="T66" s="215"/>
      <c r="U66" s="215"/>
      <c r="W66" s="135"/>
      <c r="X66" s="513">
        <f>+W68</f>
        <v>-21.111111111111111</v>
      </c>
      <c r="Y66" s="135">
        <f t="shared" si="2"/>
        <v>420</v>
      </c>
      <c r="Z66" s="136">
        <f>+AA66+Y66</f>
        <v>1250</v>
      </c>
      <c r="AA66" s="136">
        <v>830</v>
      </c>
      <c r="AB66" s="109"/>
      <c r="AC66" s="110"/>
      <c r="AD66" s="157"/>
      <c r="AE66" s="167">
        <f t="shared" si="1"/>
        <v>0</v>
      </c>
      <c r="AF66" s="167"/>
      <c r="AG66" s="167"/>
      <c r="AH66" s="124"/>
      <c r="AI66" s="91"/>
    </row>
    <row r="67" spans="1:35" s="98" customFormat="1" ht="62.25" customHeight="1" x14ac:dyDescent="0.9">
      <c r="A67" s="124"/>
      <c r="B67" s="133">
        <v>14</v>
      </c>
      <c r="C67" s="111" t="s">
        <v>316</v>
      </c>
      <c r="D67" s="111"/>
      <c r="E67" s="111" t="s">
        <v>35</v>
      </c>
      <c r="F67" s="111" t="s">
        <v>317</v>
      </c>
      <c r="G67" s="111">
        <v>7720</v>
      </c>
      <c r="H67" s="111" t="s">
        <v>33</v>
      </c>
      <c r="I67" s="113">
        <v>69.08</v>
      </c>
      <c r="J67" s="130">
        <v>49</v>
      </c>
      <c r="K67" s="101" t="s">
        <v>17</v>
      </c>
      <c r="L67" s="214">
        <v>6</v>
      </c>
      <c r="M67" s="214">
        <v>15</v>
      </c>
      <c r="N67" s="214">
        <v>20</v>
      </c>
      <c r="O67" s="214">
        <v>28</v>
      </c>
      <c r="P67" s="214">
        <v>30</v>
      </c>
      <c r="Q67" s="214">
        <v>35</v>
      </c>
      <c r="R67" s="214">
        <v>35</v>
      </c>
      <c r="S67" s="214">
        <v>35</v>
      </c>
      <c r="T67" s="247">
        <v>47</v>
      </c>
      <c r="U67" s="214"/>
      <c r="V67" s="214"/>
      <c r="W67" s="123">
        <f>+IF(COUNTA(L67:V67)=0,0,Y67/(COUNTA(L67:V67)))</f>
        <v>27.888888888888889</v>
      </c>
      <c r="X67" s="514"/>
      <c r="Y67" s="134">
        <f t="shared" si="2"/>
        <v>251</v>
      </c>
      <c r="Z67" s="137">
        <f>+Y67+AA67</f>
        <v>358</v>
      </c>
      <c r="AA67" s="137">
        <v>107</v>
      </c>
      <c r="AB67" s="140">
        <f>+Z66-Z67</f>
        <v>892</v>
      </c>
      <c r="AC67" s="131">
        <f>+IF(((Y68+(Y69/2))*60)=0,"",(I67*Y67)/((Y68+(Y69/2))*60))</f>
        <v>0.52638372799028532</v>
      </c>
      <c r="AD67" s="157"/>
      <c r="AE67" s="167">
        <f t="shared" si="1"/>
        <v>0</v>
      </c>
      <c r="AF67" s="167">
        <f>+Y67*I67</f>
        <v>17339.079999999998</v>
      </c>
      <c r="AG67" s="167"/>
      <c r="AH67" s="124"/>
      <c r="AI67" s="91"/>
    </row>
    <row r="68" spans="1:35" s="98" customFormat="1" ht="62.25" customHeight="1" x14ac:dyDescent="0.9">
      <c r="A68" s="124"/>
      <c r="B68" s="125">
        <f>+B67</f>
        <v>14</v>
      </c>
      <c r="C68" s="184"/>
      <c r="D68" s="111">
        <f>+B67</f>
        <v>14</v>
      </c>
      <c r="E68" s="111"/>
      <c r="F68" s="112" t="e">
        <f>+VLOOKUP(F67,'Obj Prix'!$H:$H,2,FALSE)</f>
        <v>#N/A</v>
      </c>
      <c r="G68" s="238" t="s">
        <v>263</v>
      </c>
      <c r="H68" s="210"/>
      <c r="I68" s="210">
        <v>1</v>
      </c>
      <c r="J68" s="114" t="s">
        <v>22</v>
      </c>
      <c r="K68" s="102" t="s">
        <v>18</v>
      </c>
      <c r="L68" s="215">
        <v>60</v>
      </c>
      <c r="M68" s="215">
        <v>60</v>
      </c>
      <c r="N68" s="215">
        <v>60</v>
      </c>
      <c r="O68" s="215">
        <v>60</v>
      </c>
      <c r="P68" s="215">
        <v>60</v>
      </c>
      <c r="Q68" s="215">
        <v>60</v>
      </c>
      <c r="R68" s="215">
        <v>60</v>
      </c>
      <c r="S68" s="215">
        <v>60</v>
      </c>
      <c r="T68" s="215">
        <v>60</v>
      </c>
      <c r="U68" s="244"/>
      <c r="V68" s="215"/>
      <c r="W68" s="160">
        <f>+W67-J67</f>
        <v>-21.111111111111111</v>
      </c>
      <c r="X68" s="514"/>
      <c r="Y68" s="103">
        <f t="shared" si="2"/>
        <v>540</v>
      </c>
      <c r="Z68" s="138"/>
      <c r="AA68" s="138"/>
      <c r="AB68" s="115"/>
      <c r="AC68" s="116"/>
      <c r="AD68" s="157">
        <f>-(L68+(L69/2))*$AD$2/60</f>
        <v>-15.25</v>
      </c>
      <c r="AE68" s="167">
        <f t="shared" si="1"/>
        <v>-915</v>
      </c>
      <c r="AF68" s="167"/>
      <c r="AG68" s="167"/>
      <c r="AH68" s="124"/>
      <c r="AI68" s="91"/>
    </row>
    <row r="69" spans="1:35" s="98" customFormat="1" ht="62.25" customHeight="1" thickBot="1" x14ac:dyDescent="0.95">
      <c r="A69" s="124"/>
      <c r="B69" s="126">
        <f>+B67</f>
        <v>14</v>
      </c>
      <c r="C69" s="174" t="s">
        <v>112</v>
      </c>
      <c r="D69" s="175">
        <f>+D68+100</f>
        <v>114</v>
      </c>
      <c r="E69" s="175"/>
      <c r="F69" s="117" t="s">
        <v>94</v>
      </c>
      <c r="G69" s="117"/>
      <c r="H69" s="159" t="s">
        <v>320</v>
      </c>
      <c r="I69" s="165">
        <f>+IF(J69="","",IF(J67=0,"",(J67*I67)/(J69*60)))</f>
        <v>0.89548148148148154</v>
      </c>
      <c r="J69" s="118">
        <v>63</v>
      </c>
      <c r="K69" s="104" t="s">
        <v>19</v>
      </c>
      <c r="L69" s="216">
        <v>2</v>
      </c>
      <c r="M69" s="216">
        <v>2</v>
      </c>
      <c r="N69" s="216">
        <v>2</v>
      </c>
      <c r="O69" s="216">
        <v>2</v>
      </c>
      <c r="P69" s="216">
        <v>2</v>
      </c>
      <c r="Q69" s="216">
        <v>2</v>
      </c>
      <c r="R69" s="216">
        <v>2</v>
      </c>
      <c r="S69" s="216">
        <v>2</v>
      </c>
      <c r="T69" s="216">
        <v>2</v>
      </c>
      <c r="U69" s="245"/>
      <c r="V69" s="216"/>
      <c r="W69" s="173"/>
      <c r="X69" s="168">
        <f>12.38+(COUNTA(L67:V67)-(Y67/J67))</f>
        <v>16.257551020408165</v>
      </c>
      <c r="Y69" s="105">
        <f t="shared" si="2"/>
        <v>18</v>
      </c>
      <c r="Z69" s="139"/>
      <c r="AA69" s="139"/>
      <c r="AB69" s="119">
        <f>+IFERROR(AB67/(J67*9),"")</f>
        <v>2.0226757369614514</v>
      </c>
      <c r="AC69" s="120"/>
      <c r="AD69" s="161">
        <f>+Y68+Y69/2</f>
        <v>549</v>
      </c>
      <c r="AE69" s="167">
        <f t="shared" si="1"/>
        <v>32940</v>
      </c>
      <c r="AF69" s="167"/>
      <c r="AG69" s="230">
        <f>+AD68+AD69</f>
        <v>533.75</v>
      </c>
      <c r="AH69" s="124"/>
      <c r="AI69" s="91"/>
    </row>
    <row r="70" spans="1:35" ht="62.25" customHeight="1" thickTop="1" x14ac:dyDescent="0.9">
      <c r="A70" s="124"/>
      <c r="B70" s="127">
        <f>+B71</f>
        <v>15</v>
      </c>
      <c r="C70" s="106"/>
      <c r="D70" s="106"/>
      <c r="E70" s="106"/>
      <c r="F70" s="106"/>
      <c r="G70" s="106"/>
      <c r="H70" s="106"/>
      <c r="I70" s="107" t="s">
        <v>20</v>
      </c>
      <c r="J70" s="108" t="s">
        <v>23</v>
      </c>
      <c r="K70" s="100" t="s">
        <v>21</v>
      </c>
      <c r="L70" s="215"/>
      <c r="M70" s="215"/>
      <c r="N70" s="215"/>
      <c r="O70" s="215"/>
      <c r="P70" s="215"/>
      <c r="Q70" s="215"/>
      <c r="R70" s="215"/>
      <c r="S70" s="215"/>
      <c r="T70" s="215"/>
      <c r="U70" s="215"/>
      <c r="V70" s="98"/>
      <c r="W70" s="135"/>
      <c r="X70" s="513">
        <f>+W72</f>
        <v>0</v>
      </c>
      <c r="Y70" s="135">
        <f t="shared" ref="Y70:Y89" si="3">+SUM(L70:V70)</f>
        <v>0</v>
      </c>
      <c r="Z70" s="136">
        <f>+AA70+Y70</f>
        <v>6274</v>
      </c>
      <c r="AA70" s="136">
        <v>6274</v>
      </c>
      <c r="AB70" s="121"/>
      <c r="AC70" s="110"/>
      <c r="AD70" s="157"/>
      <c r="AE70" s="167">
        <f t="shared" si="1"/>
        <v>0</v>
      </c>
      <c r="AF70" s="167"/>
      <c r="AG70" s="167"/>
      <c r="AH70" s="124"/>
    </row>
    <row r="71" spans="1:35" ht="62.25" customHeight="1" x14ac:dyDescent="0.9">
      <c r="A71" s="124"/>
      <c r="B71" s="133">
        <v>15</v>
      </c>
      <c r="C71" s="111" t="s">
        <v>295</v>
      </c>
      <c r="D71" s="111"/>
      <c r="E71" s="111" t="s">
        <v>35</v>
      </c>
      <c r="F71" s="111" t="s">
        <v>296</v>
      </c>
      <c r="G71" s="111">
        <v>7500</v>
      </c>
      <c r="H71" s="111" t="s">
        <v>33</v>
      </c>
      <c r="I71" s="113">
        <v>61.46</v>
      </c>
      <c r="J71" s="130">
        <v>48</v>
      </c>
      <c r="K71" s="101" t="s">
        <v>17</v>
      </c>
      <c r="L71" s="214">
        <v>35</v>
      </c>
      <c r="M71" s="214">
        <v>50</v>
      </c>
      <c r="N71" s="214">
        <v>48</v>
      </c>
      <c r="O71" s="214">
        <v>48</v>
      </c>
      <c r="P71" s="214">
        <v>52</v>
      </c>
      <c r="Q71" s="214">
        <v>38</v>
      </c>
      <c r="R71" s="214">
        <v>48</v>
      </c>
      <c r="S71" s="214">
        <v>53</v>
      </c>
      <c r="T71" s="214">
        <v>60</v>
      </c>
      <c r="U71" s="214"/>
      <c r="V71" s="214"/>
      <c r="W71" s="123">
        <f>+IF(COUNTA(L71:V71)=0,0,Y71/(COUNTA(L71:V71)))</f>
        <v>48</v>
      </c>
      <c r="X71" s="514"/>
      <c r="Y71" s="134">
        <f t="shared" si="3"/>
        <v>432</v>
      </c>
      <c r="Z71" s="137">
        <f>+Y71+AA71</f>
        <v>5926</v>
      </c>
      <c r="AA71" s="137">
        <v>5494</v>
      </c>
      <c r="AB71" s="140">
        <f>+Z70-Z71</f>
        <v>348</v>
      </c>
      <c r="AC71" s="131">
        <f>+IF(((Y72+(Y73/2))*60)=0,"",(I71*Y71)/((Y72+(Y73/2))*60))</f>
        <v>3.512</v>
      </c>
      <c r="AD71" s="157"/>
      <c r="AE71" s="167">
        <f t="shared" si="1"/>
        <v>0</v>
      </c>
      <c r="AF71" s="167">
        <f>+Y71*I71</f>
        <v>26550.720000000001</v>
      </c>
      <c r="AG71" s="167"/>
      <c r="AH71" s="124"/>
    </row>
    <row r="72" spans="1:35" ht="62.25" customHeight="1" x14ac:dyDescent="0.9">
      <c r="A72" s="124"/>
      <c r="B72" s="125">
        <f>+B71</f>
        <v>15</v>
      </c>
      <c r="C72" s="184"/>
      <c r="D72" s="111">
        <f>+B71</f>
        <v>15</v>
      </c>
      <c r="E72" s="111"/>
      <c r="F72" s="112" t="e">
        <f>+VLOOKUP(F71,'Obj Prix'!$H:$H,2,FALSE)</f>
        <v>#N/A</v>
      </c>
      <c r="G72" s="238" t="s">
        <v>263</v>
      </c>
      <c r="H72" s="111"/>
      <c r="I72" s="210">
        <v>3</v>
      </c>
      <c r="J72" s="114" t="s">
        <v>22</v>
      </c>
      <c r="K72" s="102" t="s">
        <v>18</v>
      </c>
      <c r="L72" s="215">
        <v>25</v>
      </c>
      <c r="M72" s="215">
        <v>20</v>
      </c>
      <c r="N72" s="215">
        <v>17</v>
      </c>
      <c r="O72" s="215">
        <v>15</v>
      </c>
      <c r="P72" s="215">
        <v>14</v>
      </c>
      <c r="Q72" s="215">
        <v>12</v>
      </c>
      <c r="R72" s="215">
        <v>10</v>
      </c>
      <c r="S72" s="215">
        <v>8</v>
      </c>
      <c r="T72" s="215">
        <v>5</v>
      </c>
      <c r="U72" s="244"/>
      <c r="V72" s="215"/>
      <c r="W72" s="160">
        <f>+W71-J71</f>
        <v>0</v>
      </c>
      <c r="X72" s="514"/>
      <c r="Y72" s="103">
        <f t="shared" si="3"/>
        <v>126</v>
      </c>
      <c r="Z72" s="138"/>
      <c r="AA72" s="138"/>
      <c r="AB72" s="122"/>
      <c r="AC72" s="116"/>
      <c r="AD72" s="157">
        <f>-(L72+(L73/2))*$AD$2/60</f>
        <v>-6.25</v>
      </c>
      <c r="AE72" s="167">
        <f t="shared" si="1"/>
        <v>-375</v>
      </c>
      <c r="AF72" s="167"/>
      <c r="AG72" s="167"/>
      <c r="AH72" s="124"/>
    </row>
    <row r="73" spans="1:35" ht="59.25" customHeight="1" thickBot="1" x14ac:dyDescent="0.95">
      <c r="A73" s="124"/>
      <c r="B73" s="126">
        <f>+B71</f>
        <v>15</v>
      </c>
      <c r="C73" s="174" t="s">
        <v>80</v>
      </c>
      <c r="D73" s="175">
        <f>+D72+100</f>
        <v>115</v>
      </c>
      <c r="E73" s="175"/>
      <c r="F73" s="117" t="s">
        <v>94</v>
      </c>
      <c r="G73" s="117"/>
      <c r="H73" s="159" t="s">
        <v>312</v>
      </c>
      <c r="I73" s="165">
        <f>+IF(J73="","",IF(J71=0,"",(J71*I71)/(J73*60)))</f>
        <v>0.86259649122807014</v>
      </c>
      <c r="J73" s="118">
        <v>57</v>
      </c>
      <c r="K73" s="104" t="s">
        <v>19</v>
      </c>
      <c r="L73" s="216"/>
      <c r="M73" s="216"/>
      <c r="N73" s="216"/>
      <c r="O73" s="216"/>
      <c r="P73" s="216"/>
      <c r="Q73" s="216"/>
      <c r="R73" s="216"/>
      <c r="S73" s="216"/>
      <c r="T73" s="216"/>
      <c r="U73" s="245"/>
      <c r="V73" s="216"/>
      <c r="W73" s="173"/>
      <c r="X73" s="169">
        <v>23.28</v>
      </c>
      <c r="Y73" s="105">
        <f t="shared" si="3"/>
        <v>0</v>
      </c>
      <c r="Z73" s="139"/>
      <c r="AA73" s="139"/>
      <c r="AB73" s="119">
        <f>+IFERROR(AB71/(J71*9),"")</f>
        <v>0.80555555555555558</v>
      </c>
      <c r="AC73" s="120"/>
      <c r="AD73" s="161">
        <f>+Y72+Y73/2</f>
        <v>126</v>
      </c>
      <c r="AE73" s="167">
        <f t="shared" si="1"/>
        <v>7560</v>
      </c>
      <c r="AF73" s="167"/>
      <c r="AG73" s="230">
        <f>+AD72+AD73</f>
        <v>119.75</v>
      </c>
      <c r="AH73" s="124"/>
    </row>
    <row r="74" spans="1:35" ht="62.25" customHeight="1" thickTop="1" x14ac:dyDescent="0.9">
      <c r="A74" s="124"/>
      <c r="B74" s="127">
        <f>+B75</f>
        <v>15</v>
      </c>
      <c r="C74" s="106"/>
      <c r="D74" s="106"/>
      <c r="E74" s="106"/>
      <c r="F74" s="106"/>
      <c r="G74" s="106"/>
      <c r="H74" s="106"/>
      <c r="I74" s="107" t="s">
        <v>20</v>
      </c>
      <c r="J74" s="108" t="s">
        <v>23</v>
      </c>
      <c r="K74" s="100" t="s">
        <v>21</v>
      </c>
      <c r="L74" s="215">
        <v>90</v>
      </c>
      <c r="M74" s="215">
        <v>40</v>
      </c>
      <c r="N74" s="215">
        <v>90</v>
      </c>
      <c r="O74" s="215">
        <v>40</v>
      </c>
      <c r="P74" s="215"/>
      <c r="Q74" s="215">
        <v>50</v>
      </c>
      <c r="R74" s="215">
        <v>29</v>
      </c>
      <c r="S74" s="215"/>
      <c r="T74" s="215"/>
      <c r="U74" s="215"/>
      <c r="V74" s="98"/>
      <c r="W74" s="135"/>
      <c r="X74" s="513">
        <f>+W76</f>
        <v>0</v>
      </c>
      <c r="Y74" s="135">
        <f t="shared" si="3"/>
        <v>339</v>
      </c>
      <c r="Z74" s="136">
        <f>+AA74+Y74</f>
        <v>339</v>
      </c>
      <c r="AA74" s="136"/>
      <c r="AB74" s="121"/>
      <c r="AC74" s="110"/>
      <c r="AD74" s="157"/>
      <c r="AE74" s="167">
        <f t="shared" si="1"/>
        <v>0</v>
      </c>
      <c r="AF74" s="167"/>
      <c r="AG74" s="167"/>
      <c r="AH74" s="124"/>
    </row>
    <row r="75" spans="1:35" ht="62.25" customHeight="1" x14ac:dyDescent="0.9">
      <c r="A75" s="124"/>
      <c r="B75" s="133">
        <v>15</v>
      </c>
      <c r="C75" s="111" t="s">
        <v>323</v>
      </c>
      <c r="D75" s="111"/>
      <c r="E75" s="111" t="s">
        <v>35</v>
      </c>
      <c r="F75" s="111" t="s">
        <v>324</v>
      </c>
      <c r="G75" s="111"/>
      <c r="H75" s="111" t="s">
        <v>33</v>
      </c>
      <c r="I75" s="113"/>
      <c r="J75" s="130"/>
      <c r="K75" s="101" t="s">
        <v>17</v>
      </c>
      <c r="L75" s="214"/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123">
        <f>+IF(COUNTA(L75:V75)=0,0,Y75/(COUNTA(L75:V75)))</f>
        <v>0</v>
      </c>
      <c r="X75" s="514"/>
      <c r="Y75" s="134">
        <f t="shared" si="3"/>
        <v>0</v>
      </c>
      <c r="Z75" s="137">
        <f>+Y75+AA75</f>
        <v>0</v>
      </c>
      <c r="AA75" s="137"/>
      <c r="AB75" s="140">
        <f>+Z74-Z75</f>
        <v>339</v>
      </c>
      <c r="AC75" s="131">
        <f>+IF(((Y76+(Y77/2))*60)=0,"",(I75*Y75)/((Y76+(Y77/2))*60))</f>
        <v>0</v>
      </c>
      <c r="AD75" s="157"/>
      <c r="AE75" s="167">
        <f t="shared" si="1"/>
        <v>0</v>
      </c>
      <c r="AF75" s="167">
        <f>+Y75*I75</f>
        <v>0</v>
      </c>
      <c r="AG75" s="167"/>
      <c r="AH75" s="124"/>
    </row>
    <row r="76" spans="1:35" ht="62.25" customHeight="1" x14ac:dyDescent="0.9">
      <c r="A76" s="124"/>
      <c r="B76" s="125">
        <f>+B75</f>
        <v>15</v>
      </c>
      <c r="C76" s="184"/>
      <c r="D76" s="111">
        <f>+B75</f>
        <v>15</v>
      </c>
      <c r="E76" s="111"/>
      <c r="F76" s="112" t="e">
        <f>+VLOOKUP(F75,'Obj Prix'!$H:$H,2,FALSE)</f>
        <v>#N/A</v>
      </c>
      <c r="G76" s="238"/>
      <c r="H76" s="111"/>
      <c r="I76" s="210"/>
      <c r="J76" s="114" t="s">
        <v>22</v>
      </c>
      <c r="K76" s="102" t="s">
        <v>18</v>
      </c>
      <c r="L76" s="215">
        <f t="shared" ref="L76:T76" si="4">56-L72</f>
        <v>31</v>
      </c>
      <c r="M76" s="215">
        <f t="shared" si="4"/>
        <v>36</v>
      </c>
      <c r="N76" s="215">
        <f t="shared" si="4"/>
        <v>39</v>
      </c>
      <c r="O76" s="215">
        <f t="shared" si="4"/>
        <v>41</v>
      </c>
      <c r="P76" s="215">
        <f t="shared" si="4"/>
        <v>42</v>
      </c>
      <c r="Q76" s="215">
        <f t="shared" si="4"/>
        <v>44</v>
      </c>
      <c r="R76" s="215">
        <f t="shared" si="4"/>
        <v>46</v>
      </c>
      <c r="S76" s="215">
        <f t="shared" si="4"/>
        <v>48</v>
      </c>
      <c r="T76" s="215">
        <f t="shared" si="4"/>
        <v>51</v>
      </c>
      <c r="U76" s="244"/>
      <c r="V76" s="215"/>
      <c r="W76" s="160">
        <f>+W75-J75</f>
        <v>0</v>
      </c>
      <c r="X76" s="514"/>
      <c r="Y76" s="103">
        <f t="shared" si="3"/>
        <v>378</v>
      </c>
      <c r="Z76" s="138"/>
      <c r="AA76" s="138"/>
      <c r="AB76" s="122"/>
      <c r="AC76" s="116"/>
      <c r="AD76" s="157">
        <f>-(L76+(L77/2))*$AD$2/60</f>
        <v>-8</v>
      </c>
      <c r="AE76" s="167">
        <f t="shared" si="1"/>
        <v>-480</v>
      </c>
      <c r="AF76" s="167"/>
      <c r="AG76" s="167"/>
      <c r="AH76" s="124"/>
    </row>
    <row r="77" spans="1:35" ht="59.25" customHeight="1" thickBot="1" x14ac:dyDescent="0.95">
      <c r="A77" s="124"/>
      <c r="B77" s="126">
        <f>+B75</f>
        <v>15</v>
      </c>
      <c r="C77" s="174" t="s">
        <v>80</v>
      </c>
      <c r="D77" s="175">
        <f>+D76+100</f>
        <v>115</v>
      </c>
      <c r="E77" s="175"/>
      <c r="F77" s="117" t="s">
        <v>94</v>
      </c>
      <c r="G77" s="117"/>
      <c r="H77" s="159"/>
      <c r="I77" s="165" t="str">
        <f>+IF(J77="","",IF(J75=0,"",(J75*I75)/(J77*60)))</f>
        <v/>
      </c>
      <c r="J77" s="118"/>
      <c r="K77" s="104" t="s">
        <v>19</v>
      </c>
      <c r="L77" s="216">
        <v>2</v>
      </c>
      <c r="M77" s="216">
        <v>2</v>
      </c>
      <c r="N77" s="216">
        <v>2</v>
      </c>
      <c r="O77" s="216">
        <v>2</v>
      </c>
      <c r="P77" s="216">
        <v>2</v>
      </c>
      <c r="Q77" s="216">
        <v>3</v>
      </c>
      <c r="R77" s="216">
        <v>4</v>
      </c>
      <c r="S77" s="216">
        <v>5</v>
      </c>
      <c r="T77" s="216">
        <v>6</v>
      </c>
      <c r="U77" s="245"/>
      <c r="V77" s="216"/>
      <c r="W77" s="173"/>
      <c r="X77" s="169"/>
      <c r="Y77" s="105">
        <f t="shared" si="3"/>
        <v>28</v>
      </c>
      <c r="Z77" s="139"/>
      <c r="AA77" s="139"/>
      <c r="AB77" s="119" t="str">
        <f>+IFERROR(AB75/(J75*9),"")</f>
        <v/>
      </c>
      <c r="AC77" s="120"/>
      <c r="AD77" s="161">
        <f>+Y76+Y77/2</f>
        <v>392</v>
      </c>
      <c r="AE77" s="167">
        <f t="shared" si="1"/>
        <v>23520</v>
      </c>
      <c r="AF77" s="167"/>
      <c r="AG77" s="230">
        <f>+AD76+AD77</f>
        <v>384</v>
      </c>
      <c r="AH77" s="124"/>
    </row>
    <row r="78" spans="1:35" s="98" customFormat="1" ht="62.25" customHeight="1" thickTop="1" x14ac:dyDescent="0.9">
      <c r="A78" s="124"/>
      <c r="B78" s="127">
        <f>+B79</f>
        <v>17</v>
      </c>
      <c r="C78" s="106"/>
      <c r="D78" s="106"/>
      <c r="E78" s="106"/>
      <c r="F78" s="111"/>
      <c r="G78" s="106"/>
      <c r="H78" s="106"/>
      <c r="I78" s="107" t="s">
        <v>20</v>
      </c>
      <c r="J78" s="108" t="s">
        <v>23</v>
      </c>
      <c r="K78" s="100" t="s">
        <v>21</v>
      </c>
      <c r="L78" s="215">
        <v>40</v>
      </c>
      <c r="M78" s="215">
        <v>40</v>
      </c>
      <c r="N78" s="215">
        <v>40</v>
      </c>
      <c r="O78" s="215">
        <v>40</v>
      </c>
      <c r="P78" s="215">
        <v>40</v>
      </c>
      <c r="Q78" s="215">
        <v>80</v>
      </c>
      <c r="R78" s="215">
        <v>40</v>
      </c>
      <c r="S78" s="215">
        <v>80</v>
      </c>
      <c r="T78" s="215">
        <v>40</v>
      </c>
      <c r="U78" s="215"/>
      <c r="W78" s="135"/>
      <c r="X78" s="513">
        <f>+W80</f>
        <v>2</v>
      </c>
      <c r="Y78" s="135">
        <f t="shared" si="3"/>
        <v>440</v>
      </c>
      <c r="Z78" s="136">
        <f>+AA78+Y78</f>
        <v>6440</v>
      </c>
      <c r="AA78" s="136">
        <v>6000</v>
      </c>
      <c r="AB78" s="121"/>
      <c r="AC78" s="110"/>
      <c r="AD78" s="157"/>
      <c r="AE78" s="167">
        <f t="shared" si="1"/>
        <v>0</v>
      </c>
      <c r="AF78" s="167"/>
      <c r="AG78" s="167"/>
      <c r="AH78" s="124"/>
      <c r="AI78" s="91"/>
    </row>
    <row r="79" spans="1:35" s="98" customFormat="1" ht="62.25" customHeight="1" x14ac:dyDescent="0.9">
      <c r="A79" s="124"/>
      <c r="B79" s="132">
        <v>17</v>
      </c>
      <c r="C79" s="111" t="s">
        <v>298</v>
      </c>
      <c r="D79" s="111"/>
      <c r="E79" s="111" t="s">
        <v>35</v>
      </c>
      <c r="F79" s="111" t="s">
        <v>299</v>
      </c>
      <c r="G79" s="111">
        <v>8731</v>
      </c>
      <c r="H79" s="111" t="s">
        <v>300</v>
      </c>
      <c r="I79" s="113">
        <v>60.17</v>
      </c>
      <c r="J79" s="130">
        <v>50</v>
      </c>
      <c r="K79" s="101" t="s">
        <v>17</v>
      </c>
      <c r="L79" s="214">
        <v>52</v>
      </c>
      <c r="M79" s="214">
        <v>52</v>
      </c>
      <c r="N79" s="214">
        <v>45</v>
      </c>
      <c r="O79" s="214">
        <v>59</v>
      </c>
      <c r="P79" s="214">
        <v>52</v>
      </c>
      <c r="Q79" s="214">
        <v>52</v>
      </c>
      <c r="R79" s="214">
        <v>52</v>
      </c>
      <c r="S79" s="214">
        <v>52</v>
      </c>
      <c r="T79" s="214">
        <v>52</v>
      </c>
      <c r="U79" s="214"/>
      <c r="V79" s="214"/>
      <c r="W79" s="123">
        <f>+IF(COUNTA(L79:V79)=0,0,Y79/(COUNTA(L79:V79)))</f>
        <v>52</v>
      </c>
      <c r="X79" s="514"/>
      <c r="Y79" s="134">
        <f t="shared" si="3"/>
        <v>468</v>
      </c>
      <c r="Z79" s="137">
        <f>+Y79+AA79</f>
        <v>5926</v>
      </c>
      <c r="AA79" s="137">
        <v>5458</v>
      </c>
      <c r="AB79" s="140">
        <f>+Z78-Z79</f>
        <v>514</v>
      </c>
      <c r="AC79" s="131">
        <f>+IF(((Y80+(Y81/2))*60)=0,"",(I79*Y79)/((Y80+(Y81/2))*60))</f>
        <v>0.90866602129719265</v>
      </c>
      <c r="AD79" s="157"/>
      <c r="AE79" s="167">
        <f t="shared" si="1"/>
        <v>0</v>
      </c>
      <c r="AF79" s="167">
        <f>+Y79*I79</f>
        <v>28159.56</v>
      </c>
      <c r="AG79" s="167"/>
      <c r="AH79" s="124"/>
      <c r="AI79" s="91"/>
    </row>
    <row r="80" spans="1:35" s="98" customFormat="1" ht="62.25" customHeight="1" x14ac:dyDescent="0.9">
      <c r="A80" s="124"/>
      <c r="B80" s="125">
        <f>+B79</f>
        <v>17</v>
      </c>
      <c r="C80" s="184"/>
      <c r="D80" s="111"/>
      <c r="E80" s="111"/>
      <c r="F80" s="112" t="e">
        <f>+VLOOKUP(F79,'Obj Prix'!$H:$H,2,FALSE)</f>
        <v>#N/A</v>
      </c>
      <c r="G80" s="238" t="s">
        <v>263</v>
      </c>
      <c r="H80" s="210"/>
      <c r="I80" s="113">
        <v>1</v>
      </c>
      <c r="J80" s="114" t="s">
        <v>22</v>
      </c>
      <c r="K80" s="102" t="s">
        <v>18</v>
      </c>
      <c r="L80" s="215">
        <v>56</v>
      </c>
      <c r="M80" s="215">
        <v>57</v>
      </c>
      <c r="N80" s="215">
        <v>57</v>
      </c>
      <c r="O80" s="215">
        <v>57</v>
      </c>
      <c r="P80" s="215">
        <v>57</v>
      </c>
      <c r="Q80" s="215">
        <v>57</v>
      </c>
      <c r="R80" s="215">
        <v>57</v>
      </c>
      <c r="S80" s="215">
        <v>57</v>
      </c>
      <c r="T80" s="215">
        <v>57</v>
      </c>
      <c r="U80" s="244"/>
      <c r="V80" s="215"/>
      <c r="W80" s="160">
        <f>+W79-J79</f>
        <v>2</v>
      </c>
      <c r="X80" s="514"/>
      <c r="Y80" s="103">
        <f t="shared" si="3"/>
        <v>512</v>
      </c>
      <c r="Z80" s="138"/>
      <c r="AA80" s="138"/>
      <c r="AB80" s="122"/>
      <c r="AC80" s="116"/>
      <c r="AD80" s="157">
        <f>-(L80+(L81/2))*$AD$2/60</f>
        <v>-14.125</v>
      </c>
      <c r="AE80" s="167">
        <f t="shared" si="1"/>
        <v>-847.5</v>
      </c>
      <c r="AF80" s="167"/>
      <c r="AG80" s="167"/>
      <c r="AH80" s="124"/>
      <c r="AI80" s="91"/>
    </row>
    <row r="81" spans="1:36" s="98" customFormat="1" ht="62.25" customHeight="1" thickBot="1" x14ac:dyDescent="0.95">
      <c r="A81" s="124"/>
      <c r="B81" s="126">
        <f>+B79</f>
        <v>17</v>
      </c>
      <c r="C81" s="174" t="s">
        <v>284</v>
      </c>
      <c r="D81" s="175">
        <f>+D80+100</f>
        <v>100</v>
      </c>
      <c r="E81" s="175"/>
      <c r="F81" s="117" t="s">
        <v>111</v>
      </c>
      <c r="G81" s="117"/>
      <c r="H81" s="159" t="s">
        <v>303</v>
      </c>
      <c r="I81" s="165">
        <f>+IF(J81="","",IF(J79=0,"",(J79*I79)/(J81*60)))</f>
        <v>0.89538690476190474</v>
      </c>
      <c r="J81" s="118">
        <v>56</v>
      </c>
      <c r="K81" s="104" t="s">
        <v>19</v>
      </c>
      <c r="L81" s="216">
        <v>1</v>
      </c>
      <c r="M81" s="216">
        <v>1</v>
      </c>
      <c r="N81" s="216">
        <v>1</v>
      </c>
      <c r="O81" s="216">
        <v>1</v>
      </c>
      <c r="P81" s="216">
        <v>1</v>
      </c>
      <c r="Q81" s="216">
        <v>1</v>
      </c>
      <c r="R81" s="216">
        <v>1</v>
      </c>
      <c r="S81" s="216">
        <v>1</v>
      </c>
      <c r="T81" s="216">
        <v>1</v>
      </c>
      <c r="U81" s="245"/>
      <c r="V81" s="216"/>
      <c r="W81" s="173"/>
      <c r="X81" s="169">
        <v>14.54</v>
      </c>
      <c r="Y81" s="105">
        <f t="shared" si="3"/>
        <v>9</v>
      </c>
      <c r="Z81" s="139"/>
      <c r="AA81" s="139"/>
      <c r="AB81" s="119">
        <f>+IFERROR(AB79/(J79*9),"")</f>
        <v>1.1422222222222222</v>
      </c>
      <c r="AC81" s="120"/>
      <c r="AD81" s="161">
        <f>+Y80+Y81/2</f>
        <v>516.5</v>
      </c>
      <c r="AE81" s="167">
        <f t="shared" si="1"/>
        <v>30990</v>
      </c>
      <c r="AF81" s="167"/>
      <c r="AG81" s="230">
        <f>+AD80+AD81</f>
        <v>502.375</v>
      </c>
      <c r="AH81" s="124"/>
      <c r="AI81" s="91"/>
    </row>
    <row r="82" spans="1:36" s="98" customFormat="1" ht="62.25" customHeight="1" thickTop="1" x14ac:dyDescent="0.9">
      <c r="A82" s="124"/>
      <c r="B82" s="127">
        <f>+B83</f>
        <v>18</v>
      </c>
      <c r="C82" s="106"/>
      <c r="D82" s="106"/>
      <c r="E82" s="106"/>
      <c r="F82" s="111"/>
      <c r="G82" s="106"/>
      <c r="H82" s="106"/>
      <c r="I82" s="107" t="s">
        <v>20</v>
      </c>
      <c r="J82" s="108" t="s">
        <v>23</v>
      </c>
      <c r="K82" s="100" t="s">
        <v>21</v>
      </c>
      <c r="L82" s="215">
        <v>50</v>
      </c>
      <c r="M82" s="215">
        <v>50</v>
      </c>
      <c r="N82" s="215">
        <v>50</v>
      </c>
      <c r="O82" s="215">
        <v>50</v>
      </c>
      <c r="P82" s="215">
        <v>50</v>
      </c>
      <c r="Q82" s="215">
        <v>50</v>
      </c>
      <c r="R82" s="215">
        <v>50</v>
      </c>
      <c r="S82" s="215">
        <v>50</v>
      </c>
      <c r="T82" s="215">
        <v>50</v>
      </c>
      <c r="U82" s="215"/>
      <c r="W82" s="135"/>
      <c r="X82" s="513">
        <f>+W84</f>
        <v>2</v>
      </c>
      <c r="Y82" s="135">
        <f t="shared" si="3"/>
        <v>450</v>
      </c>
      <c r="Z82" s="136">
        <f>+AA82+Y82</f>
        <v>4100</v>
      </c>
      <c r="AA82" s="136">
        <v>3650</v>
      </c>
      <c r="AB82" s="121"/>
      <c r="AC82" s="110"/>
      <c r="AD82" s="157"/>
      <c r="AE82" s="167">
        <f t="shared" si="1"/>
        <v>0</v>
      </c>
      <c r="AF82" s="167"/>
      <c r="AG82" s="167"/>
      <c r="AH82" s="91"/>
      <c r="AI82" s="91"/>
    </row>
    <row r="83" spans="1:36" s="98" customFormat="1" ht="62.25" customHeight="1" x14ac:dyDescent="0.9">
      <c r="A83" s="124"/>
      <c r="B83" s="132">
        <v>18</v>
      </c>
      <c r="C83" s="111" t="s">
        <v>295</v>
      </c>
      <c r="D83" s="111"/>
      <c r="E83" s="111" t="s">
        <v>35</v>
      </c>
      <c r="F83" s="111" t="s">
        <v>296</v>
      </c>
      <c r="G83" s="111">
        <v>6712</v>
      </c>
      <c r="H83" s="111" t="s">
        <v>33</v>
      </c>
      <c r="I83" s="113">
        <v>61.46</v>
      </c>
      <c r="J83" s="130">
        <v>48</v>
      </c>
      <c r="K83" s="101" t="s">
        <v>17</v>
      </c>
      <c r="L83" s="214">
        <v>50</v>
      </c>
      <c r="M83" s="214">
        <v>50</v>
      </c>
      <c r="N83" s="214">
        <v>50</v>
      </c>
      <c r="O83" s="214">
        <v>50</v>
      </c>
      <c r="P83" s="214">
        <v>50</v>
      </c>
      <c r="Q83" s="214">
        <v>50</v>
      </c>
      <c r="R83" s="214">
        <v>50</v>
      </c>
      <c r="S83" s="214">
        <v>50</v>
      </c>
      <c r="T83" s="214">
        <v>50</v>
      </c>
      <c r="U83" s="214"/>
      <c r="V83" s="214"/>
      <c r="W83" s="123">
        <f>+IF(COUNTA(L83:V83)=0,0,Y83/(COUNTA(L83:V83)))</f>
        <v>50</v>
      </c>
      <c r="X83" s="514"/>
      <c r="Y83" s="134">
        <f t="shared" si="3"/>
        <v>450</v>
      </c>
      <c r="Z83" s="137">
        <f>+Y83+AA83</f>
        <v>3386</v>
      </c>
      <c r="AA83" s="137">
        <v>2936</v>
      </c>
      <c r="AB83" s="140">
        <f>+Z82-Z83</f>
        <v>714</v>
      </c>
      <c r="AC83" s="131">
        <f>+IF(((Y84+(Y85/2))*60)=0,"",(I83*Y83)/((Y84+(Y85/2))*60))</f>
        <v>0.92653266331658291</v>
      </c>
      <c r="AD83" s="157"/>
      <c r="AE83" s="167">
        <f t="shared" si="1"/>
        <v>0</v>
      </c>
      <c r="AF83" s="167">
        <f>+Y83*I83</f>
        <v>27657</v>
      </c>
      <c r="AG83" s="167"/>
      <c r="AH83" s="91"/>
      <c r="AI83" s="91"/>
    </row>
    <row r="84" spans="1:36" s="98" customFormat="1" ht="62.25" customHeight="1" x14ac:dyDescent="0.9">
      <c r="A84" s="124"/>
      <c r="B84" s="125">
        <f>+B83</f>
        <v>18</v>
      </c>
      <c r="C84" s="184"/>
      <c r="D84" s="111"/>
      <c r="E84" s="111"/>
      <c r="F84" s="112" t="e">
        <f>+VLOOKUP(F83,'Obj Prix'!$H:$H,2,FALSE)</f>
        <v>#N/A</v>
      </c>
      <c r="G84" s="238" t="s">
        <v>263</v>
      </c>
      <c r="H84" s="210"/>
      <c r="I84" s="210">
        <v>3</v>
      </c>
      <c r="J84" s="114" t="s">
        <v>22</v>
      </c>
      <c r="K84" s="102" t="s">
        <v>18</v>
      </c>
      <c r="L84" s="215">
        <v>52</v>
      </c>
      <c r="M84" s="215">
        <v>54</v>
      </c>
      <c r="N84" s="215">
        <v>54</v>
      </c>
      <c r="O84" s="215">
        <v>54</v>
      </c>
      <c r="P84" s="215">
        <v>54</v>
      </c>
      <c r="Q84" s="215">
        <v>54</v>
      </c>
      <c r="R84" s="215">
        <v>54</v>
      </c>
      <c r="S84" s="215">
        <v>54</v>
      </c>
      <c r="T84" s="215">
        <v>54</v>
      </c>
      <c r="U84" s="244"/>
      <c r="V84" s="215"/>
      <c r="W84" s="160">
        <f>+W83-J83</f>
        <v>2</v>
      </c>
      <c r="X84" s="514"/>
      <c r="Y84" s="103">
        <f t="shared" si="3"/>
        <v>484</v>
      </c>
      <c r="Z84" s="138"/>
      <c r="AA84" s="138"/>
      <c r="AB84" s="122"/>
      <c r="AC84" s="116"/>
      <c r="AD84" s="157">
        <f>-(L84+(L85/2))*$AD$2/60</f>
        <v>-13.375</v>
      </c>
      <c r="AE84" s="167">
        <f t="shared" si="1"/>
        <v>-802.5</v>
      </c>
      <c r="AF84" s="167"/>
      <c r="AG84" s="167"/>
      <c r="AH84" s="124"/>
      <c r="AI84" s="91"/>
    </row>
    <row r="85" spans="1:36" s="98" customFormat="1" ht="62.25" customHeight="1" thickBot="1" x14ac:dyDescent="0.95">
      <c r="A85" s="124"/>
      <c r="B85" s="126">
        <f>+B83</f>
        <v>18</v>
      </c>
      <c r="C85" s="174" t="s">
        <v>308</v>
      </c>
      <c r="D85" s="175">
        <f>+D84+100</f>
        <v>100</v>
      </c>
      <c r="E85" s="175"/>
      <c r="F85" s="117" t="s">
        <v>203</v>
      </c>
      <c r="G85" s="117"/>
      <c r="H85" s="159" t="s">
        <v>311</v>
      </c>
      <c r="I85" s="165">
        <f>+IF(J85="","",IF(J83=0,"",(J83*I83)/(J85*60)))</f>
        <v>0.86259649122807014</v>
      </c>
      <c r="J85" s="118">
        <v>57</v>
      </c>
      <c r="K85" s="104" t="s">
        <v>19</v>
      </c>
      <c r="L85" s="216">
        <v>3</v>
      </c>
      <c r="M85" s="216">
        <v>3</v>
      </c>
      <c r="N85" s="216">
        <v>3</v>
      </c>
      <c r="O85" s="216">
        <v>3</v>
      </c>
      <c r="P85" s="216">
        <v>3</v>
      </c>
      <c r="Q85" s="216">
        <v>3</v>
      </c>
      <c r="R85" s="216">
        <v>3</v>
      </c>
      <c r="S85" s="216">
        <v>3</v>
      </c>
      <c r="T85" s="216">
        <v>3</v>
      </c>
      <c r="U85" s="245"/>
      <c r="V85" s="216"/>
      <c r="W85" s="173"/>
      <c r="X85" s="169">
        <v>8.49</v>
      </c>
      <c r="Y85" s="105">
        <f t="shared" si="3"/>
        <v>27</v>
      </c>
      <c r="Z85" s="139"/>
      <c r="AA85" s="139"/>
      <c r="AB85" s="119">
        <f>+IFERROR(AB83/(J83*9),"")</f>
        <v>1.6527777777777777</v>
      </c>
      <c r="AC85" s="120"/>
      <c r="AD85" s="161">
        <f>+Y84+Y85/2</f>
        <v>497.5</v>
      </c>
      <c r="AE85" s="167">
        <f t="shared" si="1"/>
        <v>29850</v>
      </c>
      <c r="AF85" s="167"/>
      <c r="AG85" s="230">
        <f>+AD84+AD85</f>
        <v>484.125</v>
      </c>
      <c r="AH85" s="124"/>
      <c r="AI85" s="91"/>
    </row>
    <row r="86" spans="1:36" ht="62.25" customHeight="1" thickTop="1" x14ac:dyDescent="0.9">
      <c r="A86" s="124"/>
      <c r="B86" s="127">
        <f>+B87</f>
        <v>19</v>
      </c>
      <c r="C86" s="106"/>
      <c r="D86" s="106"/>
      <c r="E86" s="106"/>
      <c r="F86" s="106"/>
      <c r="G86" s="106"/>
      <c r="H86" s="106"/>
      <c r="I86" s="107" t="s">
        <v>20</v>
      </c>
      <c r="J86" s="108" t="s">
        <v>23</v>
      </c>
      <c r="K86" s="100" t="s">
        <v>21</v>
      </c>
      <c r="L86" s="215">
        <v>100</v>
      </c>
      <c r="M86" s="215">
        <v>100</v>
      </c>
      <c r="N86" s="215">
        <v>50</v>
      </c>
      <c r="O86" s="215">
        <v>50</v>
      </c>
      <c r="P86" s="215">
        <v>50</v>
      </c>
      <c r="Q86" s="215">
        <v>50</v>
      </c>
      <c r="R86" s="215">
        <v>50</v>
      </c>
      <c r="S86" s="215"/>
      <c r="T86" s="215"/>
      <c r="U86" s="215"/>
      <c r="V86" s="98"/>
      <c r="W86" s="135"/>
      <c r="X86" s="513">
        <f>+W88</f>
        <v>5</v>
      </c>
      <c r="Y86" s="135">
        <f t="shared" si="3"/>
        <v>450</v>
      </c>
      <c r="Z86" s="136">
        <f>+AA86+Y86</f>
        <v>7360</v>
      </c>
      <c r="AA86" s="136">
        <v>6910</v>
      </c>
      <c r="AB86" s="109"/>
      <c r="AC86" s="110"/>
      <c r="AD86" s="157"/>
      <c r="AE86" s="167">
        <f>+AD86*60</f>
        <v>0</v>
      </c>
      <c r="AF86" s="167"/>
      <c r="AG86" s="167"/>
      <c r="AH86" s="124"/>
    </row>
    <row r="87" spans="1:36" ht="62.25" customHeight="1" x14ac:dyDescent="0.9">
      <c r="A87" s="124"/>
      <c r="B87" s="133">
        <v>19</v>
      </c>
      <c r="C87" s="111" t="s">
        <v>292</v>
      </c>
      <c r="D87" s="111"/>
      <c r="E87" s="111" t="s">
        <v>35</v>
      </c>
      <c r="F87" s="111" t="s">
        <v>293</v>
      </c>
      <c r="G87" s="111">
        <v>11466</v>
      </c>
      <c r="H87" s="111" t="s">
        <v>33</v>
      </c>
      <c r="I87" s="113">
        <v>61.52</v>
      </c>
      <c r="J87" s="130">
        <v>45</v>
      </c>
      <c r="K87" s="101" t="s">
        <v>17</v>
      </c>
      <c r="L87" s="214">
        <v>30</v>
      </c>
      <c r="M87" s="214">
        <v>50</v>
      </c>
      <c r="N87" s="214">
        <v>50</v>
      </c>
      <c r="O87" s="214">
        <v>50</v>
      </c>
      <c r="P87" s="214">
        <v>50</v>
      </c>
      <c r="Q87" s="214">
        <v>50</v>
      </c>
      <c r="R87" s="214">
        <v>50</v>
      </c>
      <c r="S87" s="214">
        <v>50</v>
      </c>
      <c r="T87" s="214">
        <v>70</v>
      </c>
      <c r="U87" s="214"/>
      <c r="V87" s="214"/>
      <c r="W87" s="123">
        <f>+IF(COUNTA(L87:V87)=0,0,Y87/(COUNTA(L87:V87)))</f>
        <v>50</v>
      </c>
      <c r="X87" s="514"/>
      <c r="Y87" s="134">
        <f t="shared" si="3"/>
        <v>450</v>
      </c>
      <c r="Z87" s="137">
        <f>+Y87+AA87</f>
        <v>6571</v>
      </c>
      <c r="AA87" s="137">
        <v>6121</v>
      </c>
      <c r="AB87" s="140">
        <f>+Z86-Z87</f>
        <v>789</v>
      </c>
      <c r="AC87" s="131">
        <f>+IF(((Y88+(Y89/2))*60)=0,"",(I87*Y87)/((Y88+(Y89/2))*60))</f>
        <v>0.9976216216216216</v>
      </c>
      <c r="AD87" s="157"/>
      <c r="AE87" s="167">
        <f>+AD87*60</f>
        <v>0</v>
      </c>
      <c r="AF87" s="167">
        <f>+Y87*I87</f>
        <v>27684</v>
      </c>
      <c r="AG87" s="167"/>
      <c r="AH87" s="124"/>
    </row>
    <row r="88" spans="1:36" ht="62.25" customHeight="1" x14ac:dyDescent="0.9">
      <c r="A88" s="124"/>
      <c r="B88" s="125">
        <f>+B87</f>
        <v>19</v>
      </c>
      <c r="C88" s="184"/>
      <c r="D88" s="111">
        <f>+B87</f>
        <v>19</v>
      </c>
      <c r="E88" s="111"/>
      <c r="F88" s="112" t="e">
        <f>+VLOOKUP(F87,'Obj Prix'!$H:$H,2,FALSE)</f>
        <v>#N/A</v>
      </c>
      <c r="G88" s="238" t="s">
        <v>263</v>
      </c>
      <c r="H88" s="210">
        <v>4</v>
      </c>
      <c r="I88" s="113">
        <v>4</v>
      </c>
      <c r="J88" s="114" t="s">
        <v>22</v>
      </c>
      <c r="K88" s="102" t="s">
        <v>18</v>
      </c>
      <c r="L88" s="215">
        <v>49</v>
      </c>
      <c r="M88" s="215">
        <v>49</v>
      </c>
      <c r="N88" s="215">
        <v>49</v>
      </c>
      <c r="O88" s="215">
        <v>49</v>
      </c>
      <c r="P88" s="215">
        <v>49</v>
      </c>
      <c r="Q88" s="215">
        <v>49</v>
      </c>
      <c r="R88" s="215">
        <v>49</v>
      </c>
      <c r="S88" s="215">
        <v>49</v>
      </c>
      <c r="T88" s="215">
        <v>49</v>
      </c>
      <c r="U88" s="244"/>
      <c r="V88" s="215"/>
      <c r="W88" s="160">
        <f>+W87-J87</f>
        <v>5</v>
      </c>
      <c r="X88" s="514"/>
      <c r="Y88" s="103">
        <f t="shared" si="3"/>
        <v>441</v>
      </c>
      <c r="Z88" s="138"/>
      <c r="AA88" s="138"/>
      <c r="AB88" s="115"/>
      <c r="AC88" s="116"/>
      <c r="AD88" s="157">
        <f>-(L88+(L89/2))*$AD$2/60</f>
        <v>-12.625</v>
      </c>
      <c r="AE88" s="167">
        <f>+AD88*60</f>
        <v>-757.5</v>
      </c>
      <c r="AF88" s="167"/>
      <c r="AG88" s="167"/>
      <c r="AH88" s="124"/>
    </row>
    <row r="89" spans="1:36" s="98" customFormat="1" ht="62.25" customHeight="1" thickBot="1" x14ac:dyDescent="0.95">
      <c r="A89" s="124"/>
      <c r="B89" s="126">
        <f>+B87</f>
        <v>19</v>
      </c>
      <c r="C89" s="174" t="s">
        <v>284</v>
      </c>
      <c r="D89" s="175">
        <f>+D88+100</f>
        <v>119</v>
      </c>
      <c r="E89" s="175"/>
      <c r="F89" s="117" t="s">
        <v>94</v>
      </c>
      <c r="G89" s="117"/>
      <c r="H89" s="159" t="s">
        <v>301</v>
      </c>
      <c r="I89" s="165">
        <f>+IF(J89="","",IF(J87=0,"",(J87*I87)/(J89*60)))</f>
        <v>0.85444444444444445</v>
      </c>
      <c r="J89" s="118">
        <v>54</v>
      </c>
      <c r="K89" s="104" t="s">
        <v>19</v>
      </c>
      <c r="L89" s="216">
        <v>3</v>
      </c>
      <c r="M89" s="216">
        <v>5</v>
      </c>
      <c r="N89" s="216">
        <v>5</v>
      </c>
      <c r="O89" s="216">
        <v>5</v>
      </c>
      <c r="P89" s="216">
        <v>5</v>
      </c>
      <c r="Q89" s="216">
        <v>5</v>
      </c>
      <c r="R89" s="216">
        <v>5</v>
      </c>
      <c r="S89" s="216">
        <v>5</v>
      </c>
      <c r="T89" s="216">
        <v>5</v>
      </c>
      <c r="U89" s="245"/>
      <c r="V89" s="216"/>
      <c r="W89" s="173"/>
      <c r="X89" s="169">
        <v>33.630000000000003</v>
      </c>
      <c r="Y89" s="105">
        <f t="shared" si="3"/>
        <v>43</v>
      </c>
      <c r="Z89" s="139"/>
      <c r="AA89" s="139"/>
      <c r="AB89" s="119">
        <f>+IFERROR(AB87/(J87*9),"")</f>
        <v>1.9481481481481482</v>
      </c>
      <c r="AC89" s="120"/>
      <c r="AD89" s="161">
        <f>+Y88+Y89/2</f>
        <v>462.5</v>
      </c>
      <c r="AE89" s="167">
        <f>+AD89*60</f>
        <v>27750</v>
      </c>
      <c r="AF89" s="167"/>
      <c r="AG89" s="230">
        <f>+AD88+AD89</f>
        <v>449.875</v>
      </c>
      <c r="AH89" s="124"/>
      <c r="AI89" s="91"/>
    </row>
    <row r="90" spans="1:36" s="98" customFormat="1" ht="39.75" customHeight="1" thickTop="1" thickBot="1" x14ac:dyDescent="0.95">
      <c r="A90" s="124"/>
      <c r="B90" s="94"/>
      <c r="C90" s="176"/>
      <c r="D90" s="91"/>
      <c r="E90" s="91"/>
      <c r="F90" s="91"/>
      <c r="G90" s="91"/>
      <c r="I90" s="91"/>
      <c r="J90" s="91"/>
      <c r="K90" s="99"/>
      <c r="L90" s="124"/>
      <c r="M90" s="124"/>
      <c r="N90" s="124"/>
      <c r="O90" s="124"/>
      <c r="P90" s="124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  <c r="AC90" s="95"/>
      <c r="AD90" s="158"/>
      <c r="AE90" s="167"/>
      <c r="AG90" s="148"/>
      <c r="AH90" s="124"/>
      <c r="AI90" s="220"/>
      <c r="AJ90" s="220"/>
    </row>
    <row r="91" spans="1:36" s="148" customFormat="1" ht="91.5" customHeight="1" thickTop="1" thickBot="1" x14ac:dyDescent="0.55000000000000004">
      <c r="A91" s="164"/>
      <c r="B91" s="181"/>
      <c r="C91" s="525" t="s">
        <v>266</v>
      </c>
      <c r="D91" s="525"/>
      <c r="E91" s="525"/>
      <c r="F91" s="239" t="s">
        <v>264</v>
      </c>
      <c r="G91" s="240">
        <f>+COUNTIF(G6:G89,"A.FINAL")</f>
        <v>16</v>
      </c>
      <c r="H91" s="98"/>
      <c r="I91" s="92"/>
      <c r="J91" s="92"/>
      <c r="K91" s="179" t="s">
        <v>17</v>
      </c>
      <c r="L91" s="166">
        <f t="shared" ref="L91:V91" si="5">+SUMIF($K$6:$K$90,$K$91,L6:L90)</f>
        <v>473</v>
      </c>
      <c r="M91" s="166">
        <f t="shared" si="5"/>
        <v>653</v>
      </c>
      <c r="N91" s="166">
        <f t="shared" si="5"/>
        <v>740</v>
      </c>
      <c r="O91" s="166">
        <f t="shared" si="5"/>
        <v>736</v>
      </c>
      <c r="P91" s="166">
        <f t="shared" si="5"/>
        <v>730</v>
      </c>
      <c r="Q91" s="166">
        <f t="shared" si="5"/>
        <v>760</v>
      </c>
      <c r="R91" s="166">
        <f t="shared" si="5"/>
        <v>784</v>
      </c>
      <c r="S91" s="166">
        <f t="shared" si="5"/>
        <v>775</v>
      </c>
      <c r="T91" s="166">
        <f t="shared" si="5"/>
        <v>790</v>
      </c>
      <c r="U91" s="166">
        <f t="shared" si="5"/>
        <v>0</v>
      </c>
      <c r="V91" s="166">
        <f t="shared" si="5"/>
        <v>0</v>
      </c>
      <c r="W91" s="2"/>
      <c r="X91" s="166">
        <f>+SUM(L91:V91)</f>
        <v>6441</v>
      </c>
      <c r="Y91" s="92"/>
      <c r="Z91" s="164"/>
      <c r="AA91" s="92"/>
      <c r="AB91" s="92"/>
      <c r="AC91" s="177"/>
      <c r="AD91" s="178"/>
      <c r="AE91" s="167">
        <f>+AD91*60</f>
        <v>0</v>
      </c>
      <c r="AH91" s="164"/>
      <c r="AI91" s="91"/>
    </row>
    <row r="92" spans="1:36" s="148" customFormat="1" ht="91.5" customHeight="1" thickTop="1" thickBot="1" x14ac:dyDescent="0.55000000000000004">
      <c r="A92" s="164"/>
      <c r="B92" s="223"/>
      <c r="C92" s="525"/>
      <c r="D92" s="525"/>
      <c r="E92" s="525"/>
      <c r="F92" s="239" t="s">
        <v>265</v>
      </c>
      <c r="G92" s="241">
        <f>+SUMPRODUCT(1/COUNTIF(B6:B89,B6:B89))-G91</f>
        <v>1</v>
      </c>
      <c r="H92" s="98"/>
      <c r="I92" s="223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3"/>
      <c r="U92" s="223"/>
      <c r="V92" s="223"/>
      <c r="W92" s="223"/>
      <c r="X92" s="223"/>
      <c r="Y92" s="92"/>
      <c r="Z92" s="92"/>
      <c r="AA92" s="92"/>
      <c r="AB92" s="92"/>
      <c r="AC92" s="177"/>
      <c r="AD92" s="178"/>
      <c r="AE92" s="167"/>
      <c r="AH92" s="164"/>
      <c r="AI92" s="91"/>
    </row>
    <row r="93" spans="1:36" s="98" customFormat="1" ht="91.5" customHeight="1" thickTop="1" thickBot="1" x14ac:dyDescent="0.95">
      <c r="A93" s="124"/>
      <c r="B93" s="94"/>
      <c r="C93" s="91"/>
      <c r="D93" s="91"/>
      <c r="E93" s="91"/>
      <c r="F93" s="91"/>
      <c r="G93" s="91"/>
      <c r="H93" s="91"/>
      <c r="I93" s="91"/>
      <c r="J93" s="91"/>
      <c r="K93" s="208" t="s">
        <v>18</v>
      </c>
      <c r="L93" s="166">
        <f t="shared" ref="L93:V93" si="6">+SUMIF($K$6:$K$90,$K$93,L6:L90)</f>
        <v>916</v>
      </c>
      <c r="M93" s="166">
        <f t="shared" si="6"/>
        <v>937</v>
      </c>
      <c r="N93" s="166">
        <f t="shared" si="6"/>
        <v>939</v>
      </c>
      <c r="O93" s="166">
        <f t="shared" si="6"/>
        <v>938</v>
      </c>
      <c r="P93" s="166">
        <f t="shared" si="6"/>
        <v>936</v>
      </c>
      <c r="Q93" s="166">
        <f t="shared" si="6"/>
        <v>936</v>
      </c>
      <c r="R93" s="166">
        <f t="shared" si="6"/>
        <v>934</v>
      </c>
      <c r="S93" s="166">
        <f t="shared" si="6"/>
        <v>934</v>
      </c>
      <c r="T93" s="166">
        <f t="shared" si="6"/>
        <v>934</v>
      </c>
      <c r="U93" s="166">
        <f t="shared" si="6"/>
        <v>0</v>
      </c>
      <c r="V93" s="166">
        <f t="shared" si="6"/>
        <v>0</v>
      </c>
      <c r="W93" s="2"/>
      <c r="X93" s="91"/>
      <c r="Y93" s="91"/>
      <c r="Z93" s="91"/>
      <c r="AA93" s="91"/>
      <c r="AB93" s="91"/>
      <c r="AC93" s="95"/>
      <c r="AD93" s="158"/>
      <c r="AH93" s="124"/>
      <c r="AI93" s="91"/>
    </row>
    <row r="94" spans="1:36" s="98" customFormat="1" ht="91.5" customHeight="1" thickTop="1" thickBot="1" x14ac:dyDescent="0.95">
      <c r="A94" s="124"/>
      <c r="B94" s="94"/>
      <c r="C94" s="91"/>
      <c r="D94" s="91"/>
      <c r="E94" s="91"/>
      <c r="F94" s="91"/>
      <c r="G94" s="91"/>
      <c r="H94" s="92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 t="s">
        <v>185</v>
      </c>
      <c r="Y94" s="91"/>
      <c r="Z94" s="91"/>
      <c r="AA94" s="91"/>
      <c r="AB94" s="91"/>
      <c r="AC94" s="95"/>
      <c r="AD94" s="158"/>
      <c r="AH94" s="124"/>
      <c r="AI94" s="91"/>
    </row>
    <row r="95" spans="1:36" s="98" customFormat="1" ht="91.5" customHeight="1" thickTop="1" thickBot="1" x14ac:dyDescent="0.95">
      <c r="A95" s="124"/>
      <c r="B95" s="94"/>
      <c r="C95" s="92"/>
      <c r="D95" s="92"/>
      <c r="E95" s="92"/>
      <c r="F95" s="92"/>
      <c r="G95" s="92"/>
      <c r="H95" s="223"/>
      <c r="I95" s="93"/>
      <c r="J95" s="92"/>
      <c r="K95" s="208" t="s">
        <v>19</v>
      </c>
      <c r="L95" s="166">
        <f t="shared" ref="L95:V95" si="7">+SUMIF($K$6:$K$90,$K$95,L6:L90)</f>
        <v>52</v>
      </c>
      <c r="M95" s="166">
        <f t="shared" si="7"/>
        <v>54</v>
      </c>
      <c r="N95" s="166">
        <f t="shared" si="7"/>
        <v>54</v>
      </c>
      <c r="O95" s="166">
        <f t="shared" si="7"/>
        <v>54</v>
      </c>
      <c r="P95" s="166">
        <f t="shared" si="7"/>
        <v>54</v>
      </c>
      <c r="Q95" s="166">
        <f t="shared" si="7"/>
        <v>52</v>
      </c>
      <c r="R95" s="166">
        <f t="shared" si="7"/>
        <v>53</v>
      </c>
      <c r="S95" s="166">
        <f t="shared" si="7"/>
        <v>54</v>
      </c>
      <c r="T95" s="166">
        <f t="shared" si="7"/>
        <v>55</v>
      </c>
      <c r="U95" s="166">
        <f t="shared" si="7"/>
        <v>0</v>
      </c>
      <c r="V95" s="166">
        <f t="shared" si="7"/>
        <v>0</v>
      </c>
      <c r="W95" s="2"/>
      <c r="X95" s="91"/>
      <c r="Y95" s="91"/>
      <c r="Z95" s="91"/>
      <c r="AA95" s="91"/>
      <c r="AB95" s="91"/>
      <c r="AC95" s="95"/>
      <c r="AD95" s="158"/>
      <c r="AH95" s="124"/>
      <c r="AI95" s="91"/>
    </row>
    <row r="96" spans="1:36" s="98" customFormat="1" ht="62.25" customHeight="1" thickTop="1" x14ac:dyDescent="0.9">
      <c r="A96" s="124"/>
      <c r="B96" s="94"/>
      <c r="C96" s="92"/>
      <c r="D96" s="92"/>
      <c r="E96" s="92"/>
      <c r="F96" s="92"/>
      <c r="G96" s="92"/>
      <c r="H96" s="91"/>
      <c r="I96" s="93"/>
      <c r="J96" s="92"/>
      <c r="K96" s="99"/>
      <c r="L96" s="209">
        <f>+IF(L93=0,"",L95/L93)</f>
        <v>5.6768558951965066E-2</v>
      </c>
      <c r="M96" s="209">
        <f t="shared" ref="M96:V96" si="8">+IF(M93=0,"",M95/M93)</f>
        <v>5.7630736392742798E-2</v>
      </c>
      <c r="N96" s="209">
        <f t="shared" si="8"/>
        <v>5.7507987220447282E-2</v>
      </c>
      <c r="O96" s="209">
        <f t="shared" si="8"/>
        <v>5.7569296375266525E-2</v>
      </c>
      <c r="P96" s="209">
        <f t="shared" si="8"/>
        <v>5.7692307692307696E-2</v>
      </c>
      <c r="Q96" s="209">
        <f t="shared" si="8"/>
        <v>5.5555555555555552E-2</v>
      </c>
      <c r="R96" s="209">
        <f t="shared" si="8"/>
        <v>5.6745182012847964E-2</v>
      </c>
      <c r="S96" s="209">
        <f t="shared" si="8"/>
        <v>5.7815845824411134E-2</v>
      </c>
      <c r="T96" s="209">
        <f t="shared" si="8"/>
        <v>5.8886509635974305E-2</v>
      </c>
      <c r="U96" s="209" t="str">
        <f t="shared" si="8"/>
        <v/>
      </c>
      <c r="V96" s="209" t="str">
        <f t="shared" si="8"/>
        <v/>
      </c>
      <c r="W96" s="91"/>
      <c r="X96" s="91"/>
      <c r="Y96" s="91"/>
      <c r="Z96" s="91"/>
      <c r="AA96" s="91"/>
      <c r="AB96" s="211"/>
      <c r="AC96" s="95"/>
      <c r="AD96" s="158"/>
      <c r="AH96" s="124"/>
      <c r="AI96" s="91"/>
    </row>
    <row r="97" spans="1:35" s="98" customFormat="1" ht="62.25" customHeight="1" thickBot="1" x14ac:dyDescent="0.95">
      <c r="A97" s="124"/>
      <c r="B97" s="94"/>
      <c r="C97" s="92"/>
      <c r="D97" s="92"/>
      <c r="E97" s="92"/>
      <c r="F97" s="92"/>
      <c r="G97" s="92"/>
      <c r="H97" s="91"/>
      <c r="I97" s="93"/>
      <c r="J97" s="92"/>
      <c r="K97" s="99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5"/>
      <c r="AD97" s="158"/>
      <c r="AH97" s="124"/>
      <c r="AI97" s="91"/>
    </row>
    <row r="98" spans="1:35" s="98" customFormat="1" ht="88.5" customHeight="1" thickTop="1" thickBot="1" x14ac:dyDescent="0.95">
      <c r="A98" s="124"/>
      <c r="B98" s="94"/>
      <c r="C98" s="92"/>
      <c r="D98" s="92"/>
      <c r="E98" s="92"/>
      <c r="F98" s="92"/>
      <c r="G98" s="92"/>
      <c r="H98" s="92"/>
      <c r="I98" s="93"/>
      <c r="J98" s="212" t="s">
        <v>18</v>
      </c>
      <c r="K98" s="222" t="s">
        <v>180</v>
      </c>
      <c r="L98" s="166">
        <f t="shared" ref="L98:V98" si="9">+IF(L93=0,"",SUMIF($K$6:$K$90,$J$98,$I$6:$I$90))</f>
        <v>44</v>
      </c>
      <c r="M98" s="166">
        <f t="shared" si="9"/>
        <v>44</v>
      </c>
      <c r="N98" s="166">
        <f t="shared" si="9"/>
        <v>44</v>
      </c>
      <c r="O98" s="166">
        <f t="shared" si="9"/>
        <v>44</v>
      </c>
      <c r="P98" s="166">
        <f t="shared" si="9"/>
        <v>44</v>
      </c>
      <c r="Q98" s="166">
        <f t="shared" si="9"/>
        <v>44</v>
      </c>
      <c r="R98" s="166">
        <f t="shared" si="9"/>
        <v>44</v>
      </c>
      <c r="S98" s="166">
        <f t="shared" si="9"/>
        <v>44</v>
      </c>
      <c r="T98" s="166">
        <f t="shared" si="9"/>
        <v>44</v>
      </c>
      <c r="U98" s="166" t="str">
        <f t="shared" si="9"/>
        <v/>
      </c>
      <c r="V98" s="166" t="str">
        <f t="shared" si="9"/>
        <v/>
      </c>
      <c r="W98" s="2"/>
      <c r="X98" s="91"/>
      <c r="Y98" s="91"/>
      <c r="Z98" s="91"/>
      <c r="AA98" s="91"/>
      <c r="AB98" s="91"/>
      <c r="AC98" s="95"/>
      <c r="AD98" s="158"/>
      <c r="AH98" s="124"/>
      <c r="AI98" s="91"/>
    </row>
    <row r="99" spans="1:35" s="98" customFormat="1" ht="62.25" customHeight="1" thickTop="1" x14ac:dyDescent="0.9">
      <c r="A99" s="124"/>
      <c r="B99" s="94"/>
      <c r="C99" s="92"/>
      <c r="D99" s="92"/>
      <c r="E99" s="92"/>
      <c r="F99" s="92"/>
      <c r="G99" s="92"/>
      <c r="H99" s="92"/>
      <c r="I99" s="93"/>
      <c r="J99" s="212"/>
      <c r="K99" s="99"/>
      <c r="L99" s="209">
        <f>+IF(L93=0,"",L98/L93)</f>
        <v>4.8034934497816595E-2</v>
      </c>
      <c r="M99" s="209">
        <f t="shared" ref="M99:V99" si="10">+IF(M93=0,"",M98/M93)</f>
        <v>4.6958377801494131E-2</v>
      </c>
      <c r="N99" s="209">
        <f t="shared" si="10"/>
        <v>4.6858359957401494E-2</v>
      </c>
      <c r="O99" s="209">
        <f t="shared" si="10"/>
        <v>4.6908315565031986E-2</v>
      </c>
      <c r="P99" s="209">
        <f t="shared" si="10"/>
        <v>4.7008547008547008E-2</v>
      </c>
      <c r="Q99" s="209">
        <f t="shared" si="10"/>
        <v>4.7008547008547008E-2</v>
      </c>
      <c r="R99" s="209">
        <f t="shared" si="10"/>
        <v>4.7109207708779445E-2</v>
      </c>
      <c r="S99" s="209">
        <f t="shared" si="10"/>
        <v>4.7109207708779445E-2</v>
      </c>
      <c r="T99" s="209">
        <f t="shared" si="10"/>
        <v>4.7109207708779445E-2</v>
      </c>
      <c r="U99" s="209" t="str">
        <f t="shared" si="10"/>
        <v/>
      </c>
      <c r="V99" s="209" t="str">
        <f t="shared" si="10"/>
        <v/>
      </c>
      <c r="W99" s="91"/>
      <c r="X99" s="91"/>
      <c r="Y99" s="91"/>
      <c r="Z99" s="91"/>
      <c r="AA99" s="91"/>
      <c r="AB99" s="91"/>
      <c r="AC99" s="95"/>
      <c r="AD99" s="158"/>
      <c r="AH99" s="124"/>
      <c r="AI99" s="91"/>
    </row>
    <row r="100" spans="1:35" s="98" customFormat="1" ht="62.25" customHeight="1" thickBot="1" x14ac:dyDescent="0.95">
      <c r="A100" s="124"/>
      <c r="B100" s="94"/>
      <c r="C100" s="92"/>
      <c r="D100" s="92"/>
      <c r="E100" s="92"/>
      <c r="F100" s="92"/>
      <c r="G100" s="92"/>
      <c r="H100" s="92"/>
      <c r="I100" s="93"/>
      <c r="J100" s="212"/>
      <c r="K100" s="99"/>
      <c r="L100" s="91"/>
      <c r="M100" s="91"/>
      <c r="N100" s="91"/>
      <c r="O100" s="91"/>
      <c r="P100" s="124"/>
      <c r="Q100" s="124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5"/>
      <c r="AD100" s="158"/>
      <c r="AH100" s="124"/>
      <c r="AI100" s="91"/>
    </row>
    <row r="101" spans="1:35" s="98" customFormat="1" ht="98.25" customHeight="1" thickTop="1" thickBot="1" x14ac:dyDescent="0.95">
      <c r="A101" s="124"/>
      <c r="B101" s="94"/>
      <c r="C101" s="92"/>
      <c r="D101" s="92"/>
      <c r="E101" s="92"/>
      <c r="F101" s="92"/>
      <c r="G101" s="92"/>
      <c r="H101" s="92"/>
      <c r="I101" s="93"/>
      <c r="J101" s="212"/>
      <c r="K101" s="222" t="s">
        <v>181</v>
      </c>
      <c r="L101" s="166">
        <f t="shared" ref="L101:V101" si="11">+IF(L93=0,"",SUMIF($K$6:$K$90,$J$98,$H$6:$H$93))</f>
        <v>4</v>
      </c>
      <c r="M101" s="166">
        <f t="shared" si="11"/>
        <v>4</v>
      </c>
      <c r="N101" s="166">
        <f t="shared" si="11"/>
        <v>4</v>
      </c>
      <c r="O101" s="166">
        <f t="shared" si="11"/>
        <v>4</v>
      </c>
      <c r="P101" s="166">
        <f t="shared" si="11"/>
        <v>4</v>
      </c>
      <c r="Q101" s="166">
        <f t="shared" si="11"/>
        <v>4</v>
      </c>
      <c r="R101" s="166">
        <f t="shared" si="11"/>
        <v>4</v>
      </c>
      <c r="S101" s="166">
        <f t="shared" si="11"/>
        <v>4</v>
      </c>
      <c r="T101" s="166">
        <f t="shared" si="11"/>
        <v>4</v>
      </c>
      <c r="U101" s="166" t="str">
        <f t="shared" si="11"/>
        <v/>
      </c>
      <c r="V101" s="166" t="str">
        <f t="shared" si="11"/>
        <v/>
      </c>
      <c r="W101" s="91"/>
      <c r="X101" s="91"/>
      <c r="Y101" s="91"/>
      <c r="Z101" s="91"/>
      <c r="AA101" s="91"/>
      <c r="AB101" s="91"/>
      <c r="AC101" s="95"/>
      <c r="AD101" s="158"/>
      <c r="AH101" s="124"/>
      <c r="AI101" s="91"/>
    </row>
    <row r="102" spans="1:35" s="98" customFormat="1" ht="62.25" customHeight="1" thickTop="1" x14ac:dyDescent="0.9">
      <c r="A102" s="124"/>
      <c r="B102" s="94"/>
      <c r="C102" s="92"/>
      <c r="D102" s="92"/>
      <c r="E102" s="92"/>
      <c r="F102" s="92"/>
      <c r="G102" s="92"/>
      <c r="H102" s="92"/>
      <c r="I102" s="93"/>
      <c r="J102" s="212"/>
      <c r="K102" s="99"/>
      <c r="L102" s="209">
        <f>+IF(L93=0,"",L101/L93)</f>
        <v>4.3668122270742356E-3</v>
      </c>
      <c r="M102" s="209">
        <f t="shared" ref="M102:V102" si="12">+IF(M93=0,"",M101/M93)</f>
        <v>4.2689434364994666E-3</v>
      </c>
      <c r="N102" s="209">
        <f t="shared" si="12"/>
        <v>4.2598509052183178E-3</v>
      </c>
      <c r="O102" s="209">
        <f t="shared" si="12"/>
        <v>4.2643923240938165E-3</v>
      </c>
      <c r="P102" s="209">
        <f t="shared" si="12"/>
        <v>4.2735042735042739E-3</v>
      </c>
      <c r="Q102" s="209">
        <f t="shared" si="12"/>
        <v>4.2735042735042739E-3</v>
      </c>
      <c r="R102" s="209">
        <f t="shared" si="12"/>
        <v>4.2826552462526769E-3</v>
      </c>
      <c r="S102" s="209">
        <f t="shared" si="12"/>
        <v>4.2826552462526769E-3</v>
      </c>
      <c r="T102" s="209">
        <f t="shared" si="12"/>
        <v>4.2826552462526769E-3</v>
      </c>
      <c r="U102" s="209" t="str">
        <f t="shared" si="12"/>
        <v/>
      </c>
      <c r="V102" s="209" t="str">
        <f t="shared" si="12"/>
        <v/>
      </c>
      <c r="W102" s="91"/>
      <c r="X102" s="91"/>
      <c r="Y102" s="91"/>
      <c r="Z102" s="91"/>
      <c r="AA102" s="91"/>
      <c r="AB102" s="91"/>
      <c r="AC102" s="95"/>
      <c r="AD102" s="158"/>
      <c r="AH102" s="124"/>
      <c r="AI102" s="91"/>
    </row>
    <row r="103" spans="1:35" s="98" customFormat="1" ht="62.25" customHeight="1" x14ac:dyDescent="0.9">
      <c r="A103" s="124"/>
      <c r="B103" s="94"/>
      <c r="C103" s="92"/>
      <c r="D103" s="92"/>
      <c r="E103" s="92"/>
      <c r="F103" s="92"/>
      <c r="G103" s="92"/>
      <c r="H103" s="92"/>
      <c r="I103" s="93"/>
      <c r="J103" s="212"/>
      <c r="K103" s="99"/>
      <c r="L103" s="91"/>
      <c r="M103" s="91"/>
      <c r="N103" s="91"/>
      <c r="O103" s="91"/>
      <c r="P103" s="124"/>
      <c r="Q103" s="124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5"/>
      <c r="AD103" s="158"/>
      <c r="AH103" s="124"/>
      <c r="AI103" s="91"/>
    </row>
    <row r="104" spans="1:35" s="98" customFormat="1" x14ac:dyDescent="0.55000000000000004">
      <c r="A104" s="91"/>
      <c r="B104" s="94"/>
      <c r="C104" s="92"/>
      <c r="D104" s="92"/>
      <c r="E104" s="92"/>
      <c r="F104" s="92"/>
      <c r="G104" s="92"/>
      <c r="H104" s="92"/>
      <c r="I104" s="93"/>
      <c r="J104" s="92"/>
      <c r="K104" s="99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5"/>
      <c r="AD104" s="155"/>
      <c r="AH104" s="91"/>
      <c r="AI104" s="91"/>
    </row>
    <row r="105" spans="1:35" s="98" customFormat="1" ht="46.5" x14ac:dyDescent="0.7">
      <c r="A105" s="91"/>
      <c r="B105" s="94"/>
      <c r="C105" s="92"/>
      <c r="D105" s="92"/>
      <c r="E105" s="92"/>
      <c r="F105" s="92"/>
      <c r="G105" s="92"/>
      <c r="H105" s="92"/>
      <c r="I105" s="93"/>
      <c r="J105" s="92"/>
      <c r="K105" s="99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5"/>
      <c r="AD105" s="158"/>
      <c r="AH105" s="91"/>
      <c r="AI105" s="91"/>
    </row>
    <row r="106" spans="1:35" ht="46.5" x14ac:dyDescent="0.7">
      <c r="I106" s="91"/>
      <c r="J106" s="91"/>
      <c r="S106" s="515"/>
      <c r="T106" s="515"/>
      <c r="U106" s="515"/>
      <c r="AD106" s="158"/>
    </row>
    <row r="107" spans="1:35" ht="105" customHeight="1" x14ac:dyDescent="0.7">
      <c r="AD107" s="158"/>
    </row>
    <row r="108" spans="1:35" ht="46.5" x14ac:dyDescent="0.7">
      <c r="A108" s="91" t="s">
        <v>197</v>
      </c>
      <c r="AD108" s="158"/>
    </row>
    <row r="109" spans="1:35" s="98" customFormat="1" ht="46.5" x14ac:dyDescent="0.7">
      <c r="A109" s="91"/>
      <c r="B109" s="94"/>
      <c r="C109" s="92"/>
      <c r="D109" s="92"/>
      <c r="E109" s="92"/>
      <c r="F109" s="92"/>
      <c r="G109" s="92"/>
      <c r="H109" s="91"/>
      <c r="I109" s="93"/>
      <c r="J109" s="92"/>
      <c r="K109" s="99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5"/>
      <c r="AD109" s="158"/>
      <c r="AH109" s="91"/>
      <c r="AI109" s="91"/>
    </row>
    <row r="110" spans="1:35" s="98" customFormat="1" ht="46.5" x14ac:dyDescent="0.7">
      <c r="A110" s="91"/>
      <c r="B110" s="94"/>
      <c r="C110" s="92"/>
      <c r="D110" s="92"/>
      <c r="E110" s="92"/>
      <c r="F110" s="92"/>
      <c r="G110" s="92"/>
      <c r="H110" s="92"/>
      <c r="I110" s="93"/>
      <c r="J110" s="92"/>
      <c r="K110" s="99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5"/>
      <c r="AD110" s="158"/>
      <c r="AH110" s="91"/>
      <c r="AI110" s="91"/>
    </row>
    <row r="111" spans="1:35" s="98" customFormat="1" ht="46.5" x14ac:dyDescent="0.7">
      <c r="A111" s="91"/>
      <c r="B111" s="94"/>
      <c r="C111" s="92"/>
      <c r="D111" s="92"/>
      <c r="E111" s="92"/>
      <c r="F111" s="92"/>
      <c r="G111" s="92"/>
      <c r="H111" s="92"/>
      <c r="I111" s="93"/>
      <c r="J111" s="92"/>
      <c r="K111" s="99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5"/>
      <c r="AD111" s="158"/>
      <c r="AH111" s="91"/>
      <c r="AI111" s="91"/>
    </row>
    <row r="112" spans="1:35" s="98" customFormat="1" ht="66" customHeight="1" x14ac:dyDescent="0.7">
      <c r="A112" s="91"/>
      <c r="B112" s="94"/>
      <c r="C112" s="92"/>
      <c r="D112" s="92"/>
      <c r="E112" s="92"/>
      <c r="F112" s="92"/>
      <c r="G112" s="92"/>
      <c r="H112" s="92"/>
      <c r="I112" s="93"/>
      <c r="J112" s="92"/>
      <c r="K112" s="99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5"/>
      <c r="AD112" s="158"/>
      <c r="AH112" s="91"/>
      <c r="AI112" s="91"/>
    </row>
  </sheetData>
  <sheetProtection selectLockedCells="1" autoFilter="0"/>
  <autoFilter ref="A5:CV89">
    <filterColumn colId="8" showButton="0"/>
  </autoFilter>
  <mergeCells count="32">
    <mergeCell ref="C91:E92"/>
    <mergeCell ref="S106:U106"/>
    <mergeCell ref="X50:X52"/>
    <mergeCell ref="X54:X56"/>
    <mergeCell ref="X58:X60"/>
    <mergeCell ref="X62:X64"/>
    <mergeCell ref="X66:X68"/>
    <mergeCell ref="X70:X72"/>
    <mergeCell ref="X74:X76"/>
    <mergeCell ref="X78:X80"/>
    <mergeCell ref="X82:X84"/>
    <mergeCell ref="X86:X88"/>
    <mergeCell ref="X46:X48"/>
    <mergeCell ref="I5:J5"/>
    <mergeCell ref="X6:X8"/>
    <mergeCell ref="X10:X12"/>
    <mergeCell ref="X14:X16"/>
    <mergeCell ref="X18:X20"/>
    <mergeCell ref="X22:X24"/>
    <mergeCell ref="X26:X28"/>
    <mergeCell ref="X30:X32"/>
    <mergeCell ref="X34:X36"/>
    <mergeCell ref="X38:X40"/>
    <mergeCell ref="X42:X44"/>
    <mergeCell ref="B1:Z2"/>
    <mergeCell ref="AB1:AC1"/>
    <mergeCell ref="AB2:AC3"/>
    <mergeCell ref="J3:K3"/>
    <mergeCell ref="B4:F4"/>
    <mergeCell ref="J4:K4"/>
    <mergeCell ref="U4:X4"/>
    <mergeCell ref="AB4:AC4"/>
  </mergeCells>
  <conditionalFormatting sqref="U6:U89">
    <cfRule type="cellIs" dxfId="14008" priority="1" operator="equal">
      <formula>0</formula>
    </cfRule>
  </conditionalFormatting>
  <conditionalFormatting sqref="W7">
    <cfRule type="iconSet" priority="16">
      <iconSet>
        <cfvo type="percent" val="0"/>
        <cfvo type="percent" val="&quot;$I$6&quot;"/>
        <cfvo type="percent" val="#REF!"/>
      </iconSet>
    </cfRule>
  </conditionalFormatting>
  <conditionalFormatting sqref="W8">
    <cfRule type="cellIs" dxfId="14007" priority="17" operator="lessThan">
      <formula>0</formula>
    </cfRule>
  </conditionalFormatting>
  <conditionalFormatting sqref="W12 W16 W20 W24 W32 W36 W40 W44 W52 W56 W60 W64 W68 W72 W80 W84 W88">
    <cfRule type="cellIs" dxfId="14006" priority="15" operator="lessThan">
      <formula>0</formula>
    </cfRule>
  </conditionalFormatting>
  <conditionalFormatting sqref="W27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W28">
    <cfRule type="cellIs" dxfId="14005" priority="3" operator="lessThan">
      <formula>0</formula>
    </cfRule>
  </conditionalFormatting>
  <conditionalFormatting sqref="W47">
    <cfRule type="iconSet" priority="10">
      <iconSet>
        <cfvo type="percent" val="0"/>
        <cfvo type="percent" val="&quot;$I$6&quot;"/>
        <cfvo type="percent" val="#REF!"/>
      </iconSet>
    </cfRule>
  </conditionalFormatting>
  <conditionalFormatting sqref="W48">
    <cfRule type="cellIs" dxfId="14004" priority="11" operator="lessThan">
      <formula>0</formula>
    </cfRule>
  </conditionalFormatting>
  <conditionalFormatting sqref="W67 W43 W11 W15 W19 W23 W31 W35 W39 W51 W55 W59 W63 W71 W79 W83 W87">
    <cfRule type="iconSet" priority="14">
      <iconSet>
        <cfvo type="percent" val="0"/>
        <cfvo type="percent" val="&quot;$I$6&quot;"/>
        <cfvo type="percent" val="#REF!"/>
      </iconSet>
    </cfRule>
  </conditionalFormatting>
  <conditionalFormatting sqref="W75">
    <cfRule type="iconSet" priority="6">
      <iconSet>
        <cfvo type="percent" val="0"/>
        <cfvo type="percent" val="&quot;$I$6&quot;"/>
        <cfvo type="percent" val="#REF!"/>
      </iconSet>
    </cfRule>
  </conditionalFormatting>
  <conditionalFormatting sqref="W76">
    <cfRule type="cellIs" dxfId="14003" priority="7" operator="lessThan">
      <formula>0</formula>
    </cfRule>
  </conditionalFormatting>
  <conditionalFormatting sqref="AB2:AC3">
    <cfRule type="cellIs" dxfId="14002" priority="37" operator="lessThan">
      <formula>0.85</formula>
    </cfRule>
  </conditionalFormatting>
  <printOptions horizontalCentered="1" verticalCentered="1"/>
  <pageMargins left="0.15748031496062992" right="0.15748031496062992" top="0.19685039370078741" bottom="0" header="0" footer="0"/>
  <pageSetup paperSize="9" scale="17" fitToHeight="2" orientation="landscape" r:id="rId1"/>
  <headerFooter>
    <oddHeader>&amp;L&amp;"-,Bold"&amp;48&amp;T</oddHeader>
  </headerFooter>
  <rowBreaks count="2" manualBreakCount="2">
    <brk id="49" max="31" man="1"/>
    <brk id="89" max="31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" id="{01A28063-3F10-4C7E-823A-7AB695AEDA2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</xm:sqref>
        </x14:conditionalFormatting>
        <x14:conditionalFormatting xmlns:xm="http://schemas.microsoft.com/office/excel/2006/main">
          <x14:cfRule type="iconSet" priority="29" id="{3BB8CB93-5531-4DA4-A10C-2FECB2B265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X10</xm:sqref>
        </x14:conditionalFormatting>
        <x14:conditionalFormatting xmlns:xm="http://schemas.microsoft.com/office/excel/2006/main">
          <x14:cfRule type="iconSet" priority="24" id="{1B3C57B6-8068-460C-B558-61DD8D55289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X14</xm:sqref>
        </x14:conditionalFormatting>
        <x14:conditionalFormatting xmlns:xm="http://schemas.microsoft.com/office/excel/2006/main">
          <x14:cfRule type="iconSet" priority="36" id="{BE69054F-91AD-4AF2-8A1A-2215BCF90ED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X18</xm:sqref>
        </x14:conditionalFormatting>
        <x14:conditionalFormatting xmlns:xm="http://schemas.microsoft.com/office/excel/2006/main">
          <x14:cfRule type="iconSet" priority="27" id="{5A35AF72-D2B8-4391-ADD5-F9DEE0924B7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X22</xm:sqref>
        </x14:conditionalFormatting>
        <x14:conditionalFormatting xmlns:xm="http://schemas.microsoft.com/office/excel/2006/main">
          <x14:cfRule type="iconSet" priority="4" id="{D7322359-A99B-454A-AC62-E65E4BA657F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X26</xm:sqref>
        </x14:conditionalFormatting>
        <x14:conditionalFormatting xmlns:xm="http://schemas.microsoft.com/office/excel/2006/main">
          <x14:cfRule type="iconSet" priority="30" id="{551ECD8C-6422-46D2-BB62-890FFAA2A24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X30</xm:sqref>
        </x14:conditionalFormatting>
        <x14:conditionalFormatting xmlns:xm="http://schemas.microsoft.com/office/excel/2006/main">
          <x14:cfRule type="iconSet" priority="22" id="{CFD29EAF-4B7C-438E-9D79-33E2F75024C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X34</xm:sqref>
        </x14:conditionalFormatting>
        <x14:conditionalFormatting xmlns:xm="http://schemas.microsoft.com/office/excel/2006/main">
          <x14:cfRule type="iconSet" priority="32" id="{1ED40B4F-6203-4530-8333-9AA57AB44F9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X38</xm:sqref>
        </x14:conditionalFormatting>
        <x14:conditionalFormatting xmlns:xm="http://schemas.microsoft.com/office/excel/2006/main">
          <x14:cfRule type="iconSet" priority="18" id="{9426B9A0-5D8A-4492-A6E4-99F09C73BF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X42</xm:sqref>
        </x14:conditionalFormatting>
        <x14:conditionalFormatting xmlns:xm="http://schemas.microsoft.com/office/excel/2006/main">
          <x14:cfRule type="iconSet" priority="12" id="{B51E778D-D337-4846-8A0F-590B6441883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X46</xm:sqref>
        </x14:conditionalFormatting>
        <x14:conditionalFormatting xmlns:xm="http://schemas.microsoft.com/office/excel/2006/main">
          <x14:cfRule type="iconSet" priority="35" id="{D52F8B93-9609-4AB6-BFB6-5DB84B78BC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X50</xm:sqref>
        </x14:conditionalFormatting>
        <x14:conditionalFormatting xmlns:xm="http://schemas.microsoft.com/office/excel/2006/main">
          <x14:cfRule type="iconSet" priority="31" id="{0A1117A5-92B2-4DDC-B36C-A1EA77776A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X54</xm:sqref>
        </x14:conditionalFormatting>
        <x14:conditionalFormatting xmlns:xm="http://schemas.microsoft.com/office/excel/2006/main">
          <x14:cfRule type="iconSet" priority="19" id="{283C2B6A-1C1F-4734-8D07-C083A0D7826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X58</xm:sqref>
        </x14:conditionalFormatting>
        <x14:conditionalFormatting xmlns:xm="http://schemas.microsoft.com/office/excel/2006/main">
          <x14:cfRule type="iconSet" priority="25" id="{E5910081-E21B-4FA4-AB0A-C80F5997960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X62</xm:sqref>
        </x14:conditionalFormatting>
        <x14:conditionalFormatting xmlns:xm="http://schemas.microsoft.com/office/excel/2006/main">
          <x14:cfRule type="iconSet" priority="23" id="{C9FC6F8A-6D16-4E9E-B33B-893CF0B235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X66</xm:sqref>
        </x14:conditionalFormatting>
        <x14:conditionalFormatting xmlns:xm="http://schemas.microsoft.com/office/excel/2006/main">
          <x14:cfRule type="iconSet" priority="33" id="{E565B031-9D65-4C57-AD22-5915BF5B8E8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X70</xm:sqref>
        </x14:conditionalFormatting>
        <x14:conditionalFormatting xmlns:xm="http://schemas.microsoft.com/office/excel/2006/main">
          <x14:cfRule type="iconSet" priority="8" id="{E8E45313-99C8-4AF2-B6FB-D9F06948422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X74</xm:sqref>
        </x14:conditionalFormatting>
        <x14:conditionalFormatting xmlns:xm="http://schemas.microsoft.com/office/excel/2006/main">
          <x14:cfRule type="iconSet" priority="28" id="{35648968-8277-4285-9B40-B937AC9FDE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X78</xm:sqref>
        </x14:conditionalFormatting>
        <x14:conditionalFormatting xmlns:xm="http://schemas.microsoft.com/office/excel/2006/main">
          <x14:cfRule type="iconSet" priority="26" id="{E1D99D45-1942-4617-9079-AC0B3395CA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X82</xm:sqref>
        </x14:conditionalFormatting>
        <x14:conditionalFormatting xmlns:xm="http://schemas.microsoft.com/office/excel/2006/main">
          <x14:cfRule type="iconSet" priority="34" id="{F2223A25-AA34-4DC2-95BF-F17DB27D477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X86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3"/>
  <dimension ref="B1:Y51"/>
  <sheetViews>
    <sheetView topLeftCell="A22" workbookViewId="0">
      <selection activeCell="F49" sqref="F49"/>
    </sheetView>
  </sheetViews>
  <sheetFormatPr defaultColWidth="9.140625" defaultRowHeight="15" x14ac:dyDescent="0.25"/>
  <cols>
    <col min="1" max="1" width="2.28515625" style="266" customWidth="1"/>
    <col min="2" max="3" width="17.28515625" style="266" customWidth="1"/>
    <col min="4" max="4" width="11.140625" style="290" hidden="1" customWidth="1"/>
    <col min="5" max="5" width="18" style="266" customWidth="1"/>
    <col min="6" max="6" width="19.85546875" style="266" customWidth="1"/>
    <col min="7" max="7" width="16" style="266" customWidth="1"/>
    <col min="8" max="8" width="18" style="266" customWidth="1"/>
    <col min="9" max="9" width="14.5703125" style="290" hidden="1" customWidth="1"/>
    <col min="10" max="10" width="16" style="290" hidden="1" customWidth="1"/>
    <col min="11" max="11" width="9.140625" style="290" hidden="1" customWidth="1"/>
    <col min="12" max="16384" width="9.140625" style="266"/>
  </cols>
  <sheetData>
    <row r="1" spans="2:25" x14ac:dyDescent="0.25">
      <c r="I1" s="290">
        <v>37</v>
      </c>
    </row>
    <row r="2" spans="2:25" ht="25.5" customHeight="1" x14ac:dyDescent="0.25">
      <c r="I2" s="291">
        <f>+SUBTOTAL(9,I6:I1000)</f>
        <v>82329.369081706536</v>
      </c>
      <c r="J2" s="291">
        <f>+SUBTOTAL(9,J6:J1000)</f>
        <v>140309.53999999998</v>
      </c>
      <c r="K2" s="274">
        <f>+I2/J2</f>
        <v>0.58676957448300771</v>
      </c>
    </row>
    <row r="3" spans="2:25" ht="25.5" customHeight="1" x14ac:dyDescent="0.25">
      <c r="G3" s="267"/>
    </row>
    <row r="4" spans="2:25" s="269" customFormat="1" ht="28.5" customHeight="1" thickBot="1" x14ac:dyDescent="0.3">
      <c r="B4" s="268" t="s">
        <v>341</v>
      </c>
      <c r="C4" s="268" t="s">
        <v>351</v>
      </c>
      <c r="D4" s="292" t="s">
        <v>352</v>
      </c>
      <c r="E4" s="268" t="s">
        <v>344</v>
      </c>
      <c r="F4" s="268" t="s">
        <v>342</v>
      </c>
      <c r="G4" s="268" t="s">
        <v>343</v>
      </c>
      <c r="I4" s="292" t="s">
        <v>347</v>
      </c>
      <c r="J4" s="292" t="s">
        <v>348</v>
      </c>
      <c r="K4" s="292" t="s">
        <v>349</v>
      </c>
      <c r="X4" s="268" t="s">
        <v>345</v>
      </c>
      <c r="Y4" s="268" t="s">
        <v>346</v>
      </c>
    </row>
    <row r="5" spans="2:25" s="269" customFormat="1" ht="18.75" customHeight="1" thickBot="1" x14ac:dyDescent="0.3">
      <c r="B5" s="270"/>
      <c r="C5" s="270"/>
      <c r="D5" s="293"/>
      <c r="E5" s="270"/>
      <c r="F5" s="270"/>
      <c r="G5" s="270"/>
      <c r="I5" s="293"/>
      <c r="J5" s="293"/>
      <c r="K5" s="293"/>
    </row>
    <row r="6" spans="2:25" s="273" customFormat="1" ht="25.5" customHeight="1" x14ac:dyDescent="0.25">
      <c r="B6" s="276">
        <v>45064</v>
      </c>
      <c r="C6" s="276" t="s">
        <v>338</v>
      </c>
      <c r="D6" s="296">
        <v>22</v>
      </c>
      <c r="E6" s="277">
        <v>4.22</v>
      </c>
      <c r="F6" s="278">
        <v>38</v>
      </c>
      <c r="G6" s="278">
        <v>0</v>
      </c>
      <c r="I6" s="294">
        <f t="shared" ref="I6:I34" si="0">$I$1*F6</f>
        <v>1406</v>
      </c>
      <c r="J6" s="189">
        <f t="shared" ref="J6:J30" si="1">11*D6*G6</f>
        <v>0</v>
      </c>
      <c r="K6" s="189"/>
      <c r="X6" s="272">
        <f t="shared" ref="X6:X12" si="2">+E6-Y6</f>
        <v>3.2199999999999998</v>
      </c>
      <c r="Y6" s="273">
        <v>1</v>
      </c>
    </row>
    <row r="7" spans="2:25" s="273" customFormat="1" ht="25.5" customHeight="1" x14ac:dyDescent="0.25">
      <c r="B7" s="279">
        <v>45065</v>
      </c>
      <c r="C7" s="279" t="s">
        <v>338</v>
      </c>
      <c r="D7" s="297">
        <v>22</v>
      </c>
      <c r="E7" s="280">
        <v>5</v>
      </c>
      <c r="F7" s="280">
        <v>42.5</v>
      </c>
      <c r="G7" s="281">
        <v>0</v>
      </c>
      <c r="I7" s="294">
        <f t="shared" si="0"/>
        <v>1572.5</v>
      </c>
      <c r="J7" s="189">
        <f t="shared" si="1"/>
        <v>0</v>
      </c>
      <c r="K7" s="189"/>
      <c r="X7" s="272">
        <f t="shared" si="2"/>
        <v>2</v>
      </c>
      <c r="Y7" s="273">
        <v>3</v>
      </c>
    </row>
    <row r="8" spans="2:25" s="273" customFormat="1" ht="25.5" customHeight="1" x14ac:dyDescent="0.25">
      <c r="B8" s="279">
        <v>45066</v>
      </c>
      <c r="C8" s="279" t="s">
        <v>338</v>
      </c>
      <c r="D8" s="297">
        <v>22</v>
      </c>
      <c r="E8" s="280">
        <v>7</v>
      </c>
      <c r="F8" s="280">
        <v>52.5</v>
      </c>
      <c r="G8" s="281">
        <v>0</v>
      </c>
      <c r="I8" s="294">
        <f t="shared" si="0"/>
        <v>1942.5</v>
      </c>
      <c r="J8" s="189">
        <f t="shared" si="1"/>
        <v>0</v>
      </c>
      <c r="K8" s="189"/>
      <c r="X8" s="272">
        <f t="shared" si="2"/>
        <v>4</v>
      </c>
      <c r="Y8" s="273">
        <v>3</v>
      </c>
    </row>
    <row r="9" spans="2:25" s="273" customFormat="1" ht="25.5" customHeight="1" x14ac:dyDescent="0.25">
      <c r="B9" s="279">
        <v>45068</v>
      </c>
      <c r="C9" s="279" t="s">
        <v>338</v>
      </c>
      <c r="D9" s="297">
        <v>22</v>
      </c>
      <c r="E9" s="280">
        <v>8.66</v>
      </c>
      <c r="F9" s="281">
        <v>78</v>
      </c>
      <c r="G9" s="281">
        <v>10</v>
      </c>
      <c r="I9" s="294">
        <f t="shared" si="0"/>
        <v>2886</v>
      </c>
      <c r="J9" s="189">
        <f t="shared" si="1"/>
        <v>2420</v>
      </c>
      <c r="K9" s="275">
        <f t="shared" ref="K9:K27" si="3">+I9/J9</f>
        <v>1.1925619834710743</v>
      </c>
      <c r="X9" s="272">
        <f t="shared" si="2"/>
        <v>5.66</v>
      </c>
      <c r="Y9" s="273">
        <v>3</v>
      </c>
    </row>
    <row r="10" spans="2:25" s="273" customFormat="1" ht="25.5" customHeight="1" x14ac:dyDescent="0.25">
      <c r="B10" s="279">
        <v>45069</v>
      </c>
      <c r="C10" s="279" t="s">
        <v>338</v>
      </c>
      <c r="D10" s="297">
        <v>22</v>
      </c>
      <c r="E10" s="280">
        <v>8.44</v>
      </c>
      <c r="F10" s="281">
        <v>76</v>
      </c>
      <c r="G10" s="281">
        <v>15</v>
      </c>
      <c r="I10" s="294">
        <f t="shared" si="0"/>
        <v>2812</v>
      </c>
      <c r="J10" s="189">
        <f t="shared" si="1"/>
        <v>3630</v>
      </c>
      <c r="K10" s="275">
        <f t="shared" si="3"/>
        <v>0.77465564738292014</v>
      </c>
      <c r="X10" s="272">
        <f t="shared" si="2"/>
        <v>5.4399999999999995</v>
      </c>
      <c r="Y10" s="273">
        <v>3</v>
      </c>
    </row>
    <row r="11" spans="2:25" s="273" customFormat="1" ht="25.5" customHeight="1" x14ac:dyDescent="0.25">
      <c r="B11" s="279">
        <v>45070</v>
      </c>
      <c r="C11" s="279" t="s">
        <v>338</v>
      </c>
      <c r="D11" s="297">
        <v>22</v>
      </c>
      <c r="E11" s="281">
        <v>9</v>
      </c>
      <c r="F11" s="281">
        <v>81</v>
      </c>
      <c r="G11" s="281">
        <v>25</v>
      </c>
      <c r="I11" s="294">
        <f t="shared" si="0"/>
        <v>2997</v>
      </c>
      <c r="J11" s="189">
        <f t="shared" si="1"/>
        <v>6050</v>
      </c>
      <c r="K11" s="275">
        <f t="shared" si="3"/>
        <v>0.49537190082644628</v>
      </c>
      <c r="X11" s="273">
        <f t="shared" si="2"/>
        <v>5</v>
      </c>
      <c r="Y11" s="273">
        <v>4</v>
      </c>
    </row>
    <row r="12" spans="2:25" s="273" customFormat="1" ht="25.5" customHeight="1" x14ac:dyDescent="0.25">
      <c r="B12" s="279">
        <v>45071</v>
      </c>
      <c r="C12" s="279" t="s">
        <v>338</v>
      </c>
      <c r="D12" s="297">
        <v>22</v>
      </c>
      <c r="E12" s="281">
        <v>10</v>
      </c>
      <c r="F12" s="281">
        <v>95</v>
      </c>
      <c r="G12" s="281">
        <v>30</v>
      </c>
      <c r="I12" s="294">
        <f t="shared" si="0"/>
        <v>3515</v>
      </c>
      <c r="J12" s="189">
        <f t="shared" si="1"/>
        <v>7260</v>
      </c>
      <c r="K12" s="275">
        <f t="shared" si="3"/>
        <v>0.48415977961432505</v>
      </c>
      <c r="X12" s="273">
        <f t="shared" si="2"/>
        <v>6</v>
      </c>
      <c r="Y12" s="273">
        <v>4</v>
      </c>
    </row>
    <row r="13" spans="2:25" s="273" customFormat="1" ht="25.5" customHeight="1" x14ac:dyDescent="0.25">
      <c r="B13" s="279">
        <v>45072</v>
      </c>
      <c r="C13" s="279" t="s">
        <v>338</v>
      </c>
      <c r="D13" s="297">
        <v>22</v>
      </c>
      <c r="E13" s="281">
        <v>10</v>
      </c>
      <c r="F13" s="281">
        <v>90</v>
      </c>
      <c r="G13" s="281">
        <v>30</v>
      </c>
      <c r="I13" s="189">
        <f t="shared" si="0"/>
        <v>3330</v>
      </c>
      <c r="J13" s="189">
        <f t="shared" si="1"/>
        <v>7260</v>
      </c>
      <c r="K13" s="275">
        <f t="shared" si="3"/>
        <v>0.45867768595041325</v>
      </c>
    </row>
    <row r="14" spans="2:25" s="273" customFormat="1" ht="25.5" customHeight="1" x14ac:dyDescent="0.25">
      <c r="B14" s="279">
        <v>45073</v>
      </c>
      <c r="C14" s="279" t="s">
        <v>338</v>
      </c>
      <c r="D14" s="297">
        <v>22</v>
      </c>
      <c r="E14" s="281">
        <v>11</v>
      </c>
      <c r="F14" s="281">
        <v>85</v>
      </c>
      <c r="G14" s="281">
        <v>30</v>
      </c>
      <c r="I14" s="189">
        <f t="shared" si="0"/>
        <v>3145</v>
      </c>
      <c r="J14" s="189">
        <f t="shared" si="1"/>
        <v>7260</v>
      </c>
      <c r="K14" s="275">
        <f t="shared" si="3"/>
        <v>0.4331955922865014</v>
      </c>
    </row>
    <row r="15" spans="2:25" s="273" customFormat="1" ht="25.5" customHeight="1" x14ac:dyDescent="0.25">
      <c r="B15" s="279">
        <v>45075</v>
      </c>
      <c r="C15" s="279" t="s">
        <v>338</v>
      </c>
      <c r="D15" s="297">
        <v>22</v>
      </c>
      <c r="E15" s="281">
        <v>11</v>
      </c>
      <c r="F15" s="281">
        <v>99</v>
      </c>
      <c r="G15" s="281">
        <v>30</v>
      </c>
      <c r="I15" s="189">
        <f t="shared" si="0"/>
        <v>3663</v>
      </c>
      <c r="J15" s="189">
        <f t="shared" si="1"/>
        <v>7260</v>
      </c>
      <c r="K15" s="275">
        <f t="shared" si="3"/>
        <v>0.50454545454545452</v>
      </c>
    </row>
    <row r="16" spans="2:25" s="273" customFormat="1" ht="25.5" customHeight="1" x14ac:dyDescent="0.25">
      <c r="B16" s="279">
        <v>45076</v>
      </c>
      <c r="C16" s="279" t="s">
        <v>338</v>
      </c>
      <c r="D16" s="297">
        <v>22</v>
      </c>
      <c r="E16" s="281">
        <v>11</v>
      </c>
      <c r="F16" s="281">
        <v>99</v>
      </c>
      <c r="G16" s="281">
        <v>30</v>
      </c>
      <c r="I16" s="189">
        <f t="shared" si="0"/>
        <v>3663</v>
      </c>
      <c r="J16" s="189">
        <f t="shared" si="1"/>
        <v>7260</v>
      </c>
      <c r="K16" s="275">
        <f t="shared" si="3"/>
        <v>0.50454545454545452</v>
      </c>
    </row>
    <row r="17" spans="2:11" s="273" customFormat="1" ht="24" customHeight="1" x14ac:dyDescent="0.25">
      <c r="B17" s="282">
        <v>45077</v>
      </c>
      <c r="C17" s="282" t="s">
        <v>338</v>
      </c>
      <c r="D17" s="298">
        <v>22</v>
      </c>
      <c r="E17" s="283">
        <v>8</v>
      </c>
      <c r="F17" s="283">
        <v>60</v>
      </c>
      <c r="G17" s="283">
        <v>20</v>
      </c>
      <c r="I17" s="189">
        <f t="shared" si="0"/>
        <v>2220</v>
      </c>
      <c r="J17" s="189">
        <f t="shared" si="1"/>
        <v>4840</v>
      </c>
      <c r="K17" s="529">
        <f>+SUM(I17:I18)/SUM(J17:J18)</f>
        <v>0.57487603305785129</v>
      </c>
    </row>
    <row r="18" spans="2:11" ht="24" customHeight="1" x14ac:dyDescent="0.25">
      <c r="B18" s="284">
        <v>45077</v>
      </c>
      <c r="C18" s="284" t="s">
        <v>350</v>
      </c>
      <c r="D18" s="299">
        <v>22</v>
      </c>
      <c r="E18" s="285">
        <v>2</v>
      </c>
      <c r="F18" s="285">
        <v>34</v>
      </c>
      <c r="G18" s="285">
        <v>5</v>
      </c>
      <c r="I18" s="189">
        <f t="shared" si="0"/>
        <v>1258</v>
      </c>
      <c r="J18" s="189">
        <f t="shared" si="1"/>
        <v>1210</v>
      </c>
      <c r="K18" s="529"/>
    </row>
    <row r="19" spans="2:11" ht="24" customHeight="1" x14ac:dyDescent="0.25">
      <c r="B19" s="279">
        <v>45078</v>
      </c>
      <c r="C19" s="279" t="s">
        <v>350</v>
      </c>
      <c r="D19" s="297">
        <v>22</v>
      </c>
      <c r="E19" s="281">
        <v>12</v>
      </c>
      <c r="F19" s="281">
        <v>108</v>
      </c>
      <c r="G19" s="281">
        <v>30</v>
      </c>
      <c r="I19" s="189">
        <f t="shared" si="0"/>
        <v>3996</v>
      </c>
      <c r="J19" s="189">
        <f t="shared" si="1"/>
        <v>7260</v>
      </c>
      <c r="K19" s="275">
        <f t="shared" si="3"/>
        <v>0.5504132231404959</v>
      </c>
    </row>
    <row r="20" spans="2:11" ht="24" customHeight="1" x14ac:dyDescent="0.25">
      <c r="B20" s="279">
        <v>45079</v>
      </c>
      <c r="C20" s="279" t="s">
        <v>350</v>
      </c>
      <c r="D20" s="297">
        <v>22</v>
      </c>
      <c r="E20" s="281">
        <v>12</v>
      </c>
      <c r="F20" s="281">
        <v>102</v>
      </c>
      <c r="G20" s="281">
        <v>30</v>
      </c>
      <c r="I20" s="189">
        <f t="shared" si="0"/>
        <v>3774</v>
      </c>
      <c r="J20" s="189">
        <f t="shared" si="1"/>
        <v>7260</v>
      </c>
      <c r="K20" s="275">
        <f t="shared" si="3"/>
        <v>0.51983471074380161</v>
      </c>
    </row>
    <row r="21" spans="2:11" ht="24" customHeight="1" x14ac:dyDescent="0.25">
      <c r="B21" s="279">
        <v>45080</v>
      </c>
      <c r="C21" s="279" t="s">
        <v>350</v>
      </c>
      <c r="D21" s="297">
        <v>22</v>
      </c>
      <c r="E21" s="281">
        <v>11</v>
      </c>
      <c r="F21" s="281">
        <v>82.5</v>
      </c>
      <c r="G21" s="281">
        <v>35</v>
      </c>
      <c r="I21" s="189">
        <f t="shared" si="0"/>
        <v>3052.5</v>
      </c>
      <c r="J21" s="189">
        <f t="shared" si="1"/>
        <v>8470</v>
      </c>
      <c r="K21" s="275">
        <f t="shared" si="3"/>
        <v>0.36038961038961037</v>
      </c>
    </row>
    <row r="22" spans="2:11" ht="24" customHeight="1" x14ac:dyDescent="0.25">
      <c r="B22" s="279">
        <v>45082</v>
      </c>
      <c r="C22" s="279" t="s">
        <v>350</v>
      </c>
      <c r="D22" s="297">
        <v>22</v>
      </c>
      <c r="E22" s="281">
        <v>12</v>
      </c>
      <c r="F22" s="281">
        <v>99</v>
      </c>
      <c r="G22" s="281">
        <v>30</v>
      </c>
      <c r="I22" s="189">
        <f t="shared" si="0"/>
        <v>3663</v>
      </c>
      <c r="J22" s="189">
        <f t="shared" si="1"/>
        <v>7260</v>
      </c>
      <c r="K22" s="275">
        <f t="shared" si="3"/>
        <v>0.50454545454545452</v>
      </c>
    </row>
    <row r="23" spans="2:11" ht="24" customHeight="1" x14ac:dyDescent="0.25">
      <c r="B23" s="279">
        <f>+B22+1</f>
        <v>45083</v>
      </c>
      <c r="C23" s="279" t="s">
        <v>350</v>
      </c>
      <c r="D23" s="297">
        <v>22</v>
      </c>
      <c r="E23" s="281">
        <v>12</v>
      </c>
      <c r="F23" s="281">
        <v>99</v>
      </c>
      <c r="G23" s="281">
        <v>30</v>
      </c>
      <c r="I23" s="189">
        <f t="shared" si="0"/>
        <v>3663</v>
      </c>
      <c r="J23" s="189">
        <f t="shared" si="1"/>
        <v>7260</v>
      </c>
      <c r="K23" s="275">
        <f t="shared" si="3"/>
        <v>0.50454545454545452</v>
      </c>
    </row>
    <row r="24" spans="2:11" ht="24" customHeight="1" x14ac:dyDescent="0.25">
      <c r="B24" s="282">
        <f t="shared" ref="B24:B26" si="4">+B23+1</f>
        <v>45084</v>
      </c>
      <c r="C24" s="282" t="s">
        <v>350</v>
      </c>
      <c r="D24" s="298">
        <v>22</v>
      </c>
      <c r="E24" s="283">
        <v>11</v>
      </c>
      <c r="F24" s="283">
        <v>77</v>
      </c>
      <c r="G24" s="283">
        <v>30</v>
      </c>
      <c r="I24" s="189">
        <f t="shared" si="0"/>
        <v>2849</v>
      </c>
      <c r="J24" s="189">
        <f t="shared" si="1"/>
        <v>7260</v>
      </c>
      <c r="K24" s="529">
        <f>+SUM(I24:I25)/SUM(J24:J25)</f>
        <v>0.50454545454545452</v>
      </c>
    </row>
    <row r="25" spans="2:11" ht="24" customHeight="1" x14ac:dyDescent="0.25">
      <c r="B25" s="284">
        <v>45084</v>
      </c>
      <c r="C25" s="285" t="s">
        <v>353</v>
      </c>
      <c r="D25" s="299">
        <v>16.5</v>
      </c>
      <c r="E25" s="285">
        <v>11</v>
      </c>
      <c r="F25" s="285">
        <v>22</v>
      </c>
      <c r="G25" s="285">
        <v>0</v>
      </c>
      <c r="I25" s="189">
        <f t="shared" si="0"/>
        <v>814</v>
      </c>
      <c r="J25" s="189">
        <f t="shared" si="1"/>
        <v>0</v>
      </c>
      <c r="K25" s="529"/>
    </row>
    <row r="26" spans="2:11" ht="24" customHeight="1" x14ac:dyDescent="0.25">
      <c r="B26" s="279">
        <f t="shared" si="4"/>
        <v>45085</v>
      </c>
      <c r="C26" s="279" t="s">
        <v>353</v>
      </c>
      <c r="D26" s="297">
        <v>16.5</v>
      </c>
      <c r="E26" s="281">
        <v>11</v>
      </c>
      <c r="F26" s="281">
        <v>99</v>
      </c>
      <c r="G26" s="281">
        <v>25</v>
      </c>
      <c r="I26" s="189">
        <f t="shared" si="0"/>
        <v>3663</v>
      </c>
      <c r="J26" s="189">
        <f t="shared" si="1"/>
        <v>4537.5</v>
      </c>
      <c r="K26" s="275">
        <f t="shared" si="3"/>
        <v>0.80727272727272725</v>
      </c>
    </row>
    <row r="27" spans="2:11" ht="24" customHeight="1" x14ac:dyDescent="0.25">
      <c r="B27" s="279">
        <v>45086</v>
      </c>
      <c r="C27" s="281" t="s">
        <v>353</v>
      </c>
      <c r="D27" s="300">
        <v>16.5</v>
      </c>
      <c r="E27" s="281">
        <v>11</v>
      </c>
      <c r="F27" s="281">
        <v>93.5</v>
      </c>
      <c r="G27" s="281">
        <v>34</v>
      </c>
      <c r="I27" s="189">
        <f t="shared" si="0"/>
        <v>3459.5</v>
      </c>
      <c r="J27" s="189">
        <f t="shared" si="1"/>
        <v>6171</v>
      </c>
      <c r="K27" s="275">
        <f t="shared" si="3"/>
        <v>0.56060606060606055</v>
      </c>
    </row>
    <row r="28" spans="2:11" ht="24" customHeight="1" x14ac:dyDescent="0.25">
      <c r="B28" s="282">
        <f>+B27+1</f>
        <v>45087</v>
      </c>
      <c r="C28" s="283" t="s">
        <v>353</v>
      </c>
      <c r="D28" s="301">
        <v>16.5</v>
      </c>
      <c r="E28" s="283">
        <v>11</v>
      </c>
      <c r="F28" s="283">
        <v>10</v>
      </c>
      <c r="G28" s="283">
        <v>6</v>
      </c>
      <c r="I28" s="189">
        <f t="shared" si="0"/>
        <v>370</v>
      </c>
      <c r="J28" s="189">
        <f t="shared" si="1"/>
        <v>1089</v>
      </c>
      <c r="K28" s="529">
        <f>+SUM(I28:I29)/SUM(J28:J29)</f>
        <v>0.64480792690517097</v>
      </c>
    </row>
    <row r="29" spans="2:11" ht="24" customHeight="1" x14ac:dyDescent="0.25">
      <c r="B29" s="284">
        <v>45087</v>
      </c>
      <c r="C29" s="285" t="s">
        <v>355</v>
      </c>
      <c r="D29" s="302">
        <v>15.93</v>
      </c>
      <c r="E29" s="285">
        <v>11</v>
      </c>
      <c r="F29" s="285">
        <v>67</v>
      </c>
      <c r="G29" s="285">
        <v>19</v>
      </c>
      <c r="I29" s="189">
        <f t="shared" si="0"/>
        <v>2479</v>
      </c>
      <c r="J29" s="189">
        <f t="shared" si="1"/>
        <v>3329.37</v>
      </c>
      <c r="K29" s="529"/>
    </row>
    <row r="30" spans="2:11" ht="24" customHeight="1" x14ac:dyDescent="0.25">
      <c r="B30" s="279">
        <v>45089</v>
      </c>
      <c r="C30" s="281" t="s">
        <v>355</v>
      </c>
      <c r="D30" s="302">
        <v>15.93</v>
      </c>
      <c r="E30" s="281">
        <v>11</v>
      </c>
      <c r="F30" s="281">
        <v>117</v>
      </c>
      <c r="G30" s="281">
        <v>26</v>
      </c>
      <c r="I30" s="189">
        <f t="shared" si="0"/>
        <v>4329</v>
      </c>
      <c r="J30" s="189">
        <f t="shared" si="1"/>
        <v>4555.9799999999996</v>
      </c>
      <c r="K30" s="275">
        <f t="shared" ref="K30:K34" si="5">+I30/J30</f>
        <v>0.95017976373908586</v>
      </c>
    </row>
    <row r="31" spans="2:11" ht="24" customHeight="1" x14ac:dyDescent="0.25">
      <c r="B31" s="279">
        <f>+B30+1</f>
        <v>45090</v>
      </c>
      <c r="C31" s="279" t="s">
        <v>356</v>
      </c>
      <c r="D31" s="302">
        <v>15.93</v>
      </c>
      <c r="E31" s="281">
        <v>11</v>
      </c>
      <c r="F31" s="281">
        <v>111</v>
      </c>
      <c r="G31" s="281">
        <v>37</v>
      </c>
      <c r="I31" s="189">
        <f t="shared" si="0"/>
        <v>4107</v>
      </c>
      <c r="J31" s="189">
        <f t="shared" ref="J31:J34" si="6">11*D31*G31</f>
        <v>6483.5099999999993</v>
      </c>
      <c r="K31" s="275">
        <f>+I31/J31</f>
        <v>0.6334531758260572</v>
      </c>
    </row>
    <row r="32" spans="2:11" ht="24" customHeight="1" x14ac:dyDescent="0.25">
      <c r="B32" s="282">
        <f>+B31+1</f>
        <v>45091</v>
      </c>
      <c r="C32" s="282" t="s">
        <v>356</v>
      </c>
      <c r="D32" s="303">
        <v>15.93</v>
      </c>
      <c r="E32" s="283">
        <v>11</v>
      </c>
      <c r="F32" s="283">
        <v>89</v>
      </c>
      <c r="G32" s="283">
        <v>23</v>
      </c>
      <c r="I32" s="189">
        <f t="shared" si="0"/>
        <v>3293</v>
      </c>
      <c r="J32" s="189">
        <f>11*D32*G32</f>
        <v>4030.29</v>
      </c>
      <c r="K32" s="529">
        <f>+SUM(I32:I33)/SUM(J32:J33)</f>
        <v>0.47818032998750698</v>
      </c>
    </row>
    <row r="33" spans="2:12" ht="24" customHeight="1" x14ac:dyDescent="0.25">
      <c r="B33" s="284">
        <v>45091</v>
      </c>
      <c r="C33" s="284" t="s">
        <v>354</v>
      </c>
      <c r="D33" s="304">
        <v>16.5</v>
      </c>
      <c r="E33" s="285">
        <v>11</v>
      </c>
      <c r="F33" s="285">
        <v>10</v>
      </c>
      <c r="G33" s="285">
        <v>20</v>
      </c>
      <c r="I33" s="189">
        <f t="shared" si="0"/>
        <v>370</v>
      </c>
      <c r="J33" s="189">
        <f>11*D33*G33</f>
        <v>3630</v>
      </c>
      <c r="K33" s="529"/>
    </row>
    <row r="34" spans="2:12" ht="24" customHeight="1" x14ac:dyDescent="0.25">
      <c r="B34" s="279">
        <v>45092</v>
      </c>
      <c r="C34" s="279" t="s">
        <v>354</v>
      </c>
      <c r="D34" s="304">
        <v>16.5</v>
      </c>
      <c r="E34" s="281">
        <v>11</v>
      </c>
      <c r="F34" s="281">
        <v>109</v>
      </c>
      <c r="G34" s="281">
        <v>40</v>
      </c>
      <c r="I34" s="189">
        <f t="shared" si="0"/>
        <v>4033</v>
      </c>
      <c r="J34" s="189">
        <f t="shared" si="6"/>
        <v>7260</v>
      </c>
      <c r="K34" s="275">
        <f t="shared" si="5"/>
        <v>0.55550964187327823</v>
      </c>
    </row>
    <row r="35" spans="2:12" ht="24" customHeight="1" x14ac:dyDescent="0.25">
      <c r="B35" s="271"/>
      <c r="C35" s="271"/>
      <c r="D35" s="305"/>
      <c r="E35" s="273"/>
      <c r="F35" s="273"/>
      <c r="G35" s="273"/>
      <c r="I35" s="189"/>
      <c r="J35" s="189"/>
      <c r="K35" s="275"/>
    </row>
    <row r="36" spans="2:12" ht="24" customHeight="1" x14ac:dyDescent="0.25">
      <c r="B36" s="271"/>
      <c r="C36" s="271"/>
      <c r="D36" s="305"/>
      <c r="E36" s="273"/>
      <c r="F36" s="273"/>
      <c r="G36" s="273"/>
      <c r="I36" s="189"/>
      <c r="J36" s="189"/>
      <c r="K36" s="275"/>
    </row>
    <row r="37" spans="2:12" s="289" customFormat="1" ht="39.75" hidden="1" customHeight="1" x14ac:dyDescent="0.3">
      <c r="B37" s="295" t="s">
        <v>114</v>
      </c>
      <c r="C37" s="295" t="s">
        <v>361</v>
      </c>
      <c r="D37" s="295" t="s">
        <v>352</v>
      </c>
      <c r="E37" s="308" t="s">
        <v>359</v>
      </c>
      <c r="F37" s="295" t="s">
        <v>343</v>
      </c>
      <c r="G37" s="295" t="s">
        <v>347</v>
      </c>
      <c r="H37" s="295" t="s">
        <v>363</v>
      </c>
      <c r="I37" s="295" t="s">
        <v>360</v>
      </c>
      <c r="J37" s="295" t="s">
        <v>362</v>
      </c>
      <c r="K37" s="288"/>
    </row>
    <row r="38" spans="2:12" ht="28.5" hidden="1" customHeight="1" x14ac:dyDescent="0.25">
      <c r="B38" s="307" t="s">
        <v>338</v>
      </c>
      <c r="C38" s="307" t="s">
        <v>38</v>
      </c>
      <c r="D38" s="306">
        <f t="shared" ref="D38:D43" si="7">+VLOOKUP(B38,$C$6:$K$34,2,FALSE)</f>
        <v>22</v>
      </c>
      <c r="E38" s="190">
        <f t="shared" ref="E38:E43" si="8">+SUMIF($C$6:$C$34,B38,$F$6:$F$34)</f>
        <v>896</v>
      </c>
      <c r="F38" s="190">
        <f t="shared" ref="F38:F43" si="9">+SUMIF($C$6:$C$34,B38,$G$6:$G$34)</f>
        <v>220</v>
      </c>
      <c r="G38" s="309">
        <f>+E38*$I$1</f>
        <v>33152</v>
      </c>
      <c r="H38" s="309">
        <f>+F38*D38*11</f>
        <v>53240</v>
      </c>
      <c r="I38" s="274">
        <f>+G38/H38</f>
        <v>0.6226897069872277</v>
      </c>
      <c r="J38" s="274">
        <v>0.28999999999999998</v>
      </c>
      <c r="L38" s="286"/>
    </row>
    <row r="39" spans="2:12" ht="28.5" hidden="1" customHeight="1" x14ac:dyDescent="0.25">
      <c r="B39" s="307" t="s">
        <v>350</v>
      </c>
      <c r="C39" s="307" t="s">
        <v>38</v>
      </c>
      <c r="D39" s="306">
        <f t="shared" si="7"/>
        <v>22</v>
      </c>
      <c r="E39" s="309">
        <f t="shared" si="8"/>
        <v>601.5</v>
      </c>
      <c r="F39" s="190">
        <f t="shared" si="9"/>
        <v>190</v>
      </c>
      <c r="G39" s="309">
        <f t="shared" ref="G39:G43" si="10">+E39*$I$1</f>
        <v>22255.5</v>
      </c>
      <c r="H39" s="309">
        <f t="shared" ref="H39:H43" si="11">+F39*D39*11</f>
        <v>45980</v>
      </c>
      <c r="I39" s="274">
        <f t="shared" ref="I39:I43" si="12">+G39/H39</f>
        <v>0.4840256633318834</v>
      </c>
      <c r="J39" s="274">
        <v>0.44</v>
      </c>
      <c r="L39" s="286"/>
    </row>
    <row r="40" spans="2:12" ht="28.5" hidden="1" customHeight="1" x14ac:dyDescent="0.25">
      <c r="B40" s="307" t="s">
        <v>353</v>
      </c>
      <c r="C40" s="307" t="s">
        <v>33</v>
      </c>
      <c r="D40" s="306">
        <f t="shared" si="7"/>
        <v>16.5</v>
      </c>
      <c r="E40" s="309">
        <f t="shared" si="8"/>
        <v>224.5</v>
      </c>
      <c r="F40" s="190">
        <f t="shared" si="9"/>
        <v>65</v>
      </c>
      <c r="G40" s="309">
        <f>+E40*$I$1</f>
        <v>8306.5</v>
      </c>
      <c r="H40" s="309">
        <f t="shared" si="11"/>
        <v>11797.5</v>
      </c>
      <c r="I40" s="274">
        <f t="shared" si="12"/>
        <v>0.70408984954439502</v>
      </c>
      <c r="J40" s="274">
        <v>0.4</v>
      </c>
      <c r="L40" s="286"/>
    </row>
    <row r="41" spans="2:12" ht="28.5" hidden="1" customHeight="1" x14ac:dyDescent="0.25">
      <c r="B41" s="307" t="s">
        <v>355</v>
      </c>
      <c r="C41" s="307" t="s">
        <v>33</v>
      </c>
      <c r="D41" s="306">
        <f t="shared" si="7"/>
        <v>15.93</v>
      </c>
      <c r="E41" s="190">
        <f t="shared" si="8"/>
        <v>184</v>
      </c>
      <c r="F41" s="190">
        <f t="shared" si="9"/>
        <v>45</v>
      </c>
      <c r="G41" s="309">
        <f t="shared" si="10"/>
        <v>6808</v>
      </c>
      <c r="H41" s="309">
        <f t="shared" si="11"/>
        <v>7885.35</v>
      </c>
      <c r="I41" s="274">
        <f t="shared" si="12"/>
        <v>0.86337321742218165</v>
      </c>
      <c r="J41" s="274">
        <v>0.32</v>
      </c>
      <c r="L41" s="286"/>
    </row>
    <row r="42" spans="2:12" ht="28.5" hidden="1" customHeight="1" x14ac:dyDescent="0.25">
      <c r="B42" s="307" t="s">
        <v>356</v>
      </c>
      <c r="C42" s="307" t="s">
        <v>33</v>
      </c>
      <c r="D42" s="306">
        <f t="shared" si="7"/>
        <v>15.93</v>
      </c>
      <c r="E42" s="190">
        <f t="shared" si="8"/>
        <v>200</v>
      </c>
      <c r="F42" s="190">
        <f t="shared" si="9"/>
        <v>60</v>
      </c>
      <c r="G42" s="309">
        <f t="shared" si="10"/>
        <v>7400</v>
      </c>
      <c r="H42" s="309">
        <f t="shared" si="11"/>
        <v>10513.8</v>
      </c>
      <c r="I42" s="274">
        <f t="shared" si="12"/>
        <v>0.70383686202895246</v>
      </c>
      <c r="J42" s="274">
        <v>0.4</v>
      </c>
      <c r="L42" s="286"/>
    </row>
    <row r="43" spans="2:12" ht="28.5" hidden="1" customHeight="1" x14ac:dyDescent="0.25">
      <c r="B43" s="307" t="s">
        <v>354</v>
      </c>
      <c r="C43" s="307" t="s">
        <v>33</v>
      </c>
      <c r="D43" s="306">
        <f t="shared" si="7"/>
        <v>16.5</v>
      </c>
      <c r="E43" s="190">
        <f t="shared" si="8"/>
        <v>119</v>
      </c>
      <c r="F43" s="190">
        <f t="shared" si="9"/>
        <v>60</v>
      </c>
      <c r="G43" s="309">
        <f t="shared" si="10"/>
        <v>4403</v>
      </c>
      <c r="H43" s="309">
        <f t="shared" si="11"/>
        <v>10890</v>
      </c>
      <c r="I43" s="274">
        <f t="shared" si="12"/>
        <v>0.40431588613406794</v>
      </c>
      <c r="J43" s="274">
        <v>0.67</v>
      </c>
      <c r="L43" s="286"/>
    </row>
    <row r="44" spans="2:12" ht="24" hidden="1" customHeight="1" x14ac:dyDescent="0.25">
      <c r="B44" s="271"/>
      <c r="C44" s="271"/>
      <c r="D44" s="305"/>
      <c r="E44" s="271"/>
      <c r="F44" s="271"/>
      <c r="G44" s="271"/>
      <c r="H44" s="271"/>
    </row>
    <row r="45" spans="2:12" ht="30" hidden="1" customHeight="1" x14ac:dyDescent="0.25">
      <c r="B45" s="271"/>
      <c r="C45" s="271"/>
      <c r="D45" s="295" t="s">
        <v>13</v>
      </c>
      <c r="E45" s="310">
        <f>+SUM(E38:E43)</f>
        <v>2225</v>
      </c>
      <c r="F45" s="310">
        <f t="shared" ref="F45" si="13">+SUM(F38:F43)</f>
        <v>640</v>
      </c>
      <c r="G45" s="311">
        <f>+SUM(G38:G43)</f>
        <v>82325</v>
      </c>
      <c r="H45" s="311">
        <f>+SUM(H38:H43)</f>
        <v>140306.65000000002</v>
      </c>
      <c r="I45" s="287">
        <f>+G45/H45</f>
        <v>0.58675052109076786</v>
      </c>
      <c r="J45" s="287">
        <v>0.37</v>
      </c>
    </row>
    <row r="46" spans="2:12" ht="24" customHeight="1" x14ac:dyDescent="0.25">
      <c r="B46" s="271"/>
      <c r="C46" s="271"/>
      <c r="D46" s="305"/>
      <c r="E46" s="271"/>
      <c r="F46" s="271"/>
      <c r="G46" s="271"/>
    </row>
    <row r="47" spans="2:12" ht="24" customHeight="1" x14ac:dyDescent="0.25"/>
    <row r="48" spans="2:12" ht="24" customHeight="1" x14ac:dyDescent="0.25"/>
    <row r="49" ht="24" customHeight="1" x14ac:dyDescent="0.25"/>
    <row r="50" ht="24" customHeight="1" x14ac:dyDescent="0.25"/>
    <row r="51" ht="24" customHeight="1" x14ac:dyDescent="0.25"/>
  </sheetData>
  <sheetProtection algorithmName="SHA-512" hashValue="8WX9bagAfTdn3UChXBZ0XKAyfYH7f+G0ERhPh+FYeoh55UEpmJEdGrX+3Snnm3BSQ8BMian9UQGdLRqoO31exA==" saltValue="6Y8gAEpSwSfuetULTG2N1A==" spinCount="100000" sheet="1" objects="1" scenarios="1"/>
  <autoFilter ref="B5:K34"/>
  <mergeCells count="4">
    <mergeCell ref="K32:K33"/>
    <mergeCell ref="K28:K29"/>
    <mergeCell ref="K24:K25"/>
    <mergeCell ref="K17:K18"/>
  </mergeCells>
  <pageMargins left="0.7" right="0.7" top="0.75" bottom="0.75" header="0.3" footer="0.3"/>
  <pageSetup paperSize="9" orientation="portrait" r:id="rId1"/>
  <ignoredErrors>
    <ignoredError sqref="I3:K4 I15:I17 I14 I13 K13 I7:I12 I6 K6 K14 K7:K12 D39:D43 D38 K2 I2:J2" emptyCellReference="1"/>
    <ignoredError sqref="K15:K16" evalError="1" emptyCellReferenc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/>
  <dimension ref="A1:AA29"/>
  <sheetViews>
    <sheetView zoomScale="80" zoomScaleNormal="80" workbookViewId="0">
      <selection activeCell="D2" sqref="D2"/>
    </sheetView>
  </sheetViews>
  <sheetFormatPr defaultColWidth="11.42578125" defaultRowHeight="19.5" x14ac:dyDescent="0.3"/>
  <cols>
    <col min="1" max="1" width="13.5703125" style="260" customWidth="1"/>
    <col min="2" max="2" width="16.7109375" style="257" customWidth="1"/>
    <col min="3" max="16384" width="11.42578125" style="257"/>
  </cols>
  <sheetData>
    <row r="1" spans="1:27" s="254" customFormat="1" ht="51" customHeight="1" x14ac:dyDescent="0.25">
      <c r="A1" s="530" t="s">
        <v>330</v>
      </c>
      <c r="B1" s="531"/>
      <c r="C1" s="251" t="s">
        <v>132</v>
      </c>
      <c r="D1" s="251" t="s">
        <v>133</v>
      </c>
      <c r="E1" s="251" t="s">
        <v>134</v>
      </c>
      <c r="F1" s="251" t="s">
        <v>135</v>
      </c>
      <c r="G1" s="251" t="s">
        <v>136</v>
      </c>
      <c r="H1" s="251" t="s">
        <v>137</v>
      </c>
      <c r="I1" s="251" t="s">
        <v>138</v>
      </c>
      <c r="J1" s="251" t="s">
        <v>139</v>
      </c>
      <c r="K1" s="251" t="s">
        <v>140</v>
      </c>
      <c r="L1" s="251" t="s">
        <v>141</v>
      </c>
      <c r="M1" s="251" t="s">
        <v>142</v>
      </c>
      <c r="N1" s="251" t="s">
        <v>143</v>
      </c>
      <c r="O1" s="251" t="s">
        <v>144</v>
      </c>
      <c r="P1" s="251" t="s">
        <v>145</v>
      </c>
      <c r="Q1" s="251" t="s">
        <v>146</v>
      </c>
      <c r="R1" s="251" t="s">
        <v>147</v>
      </c>
      <c r="S1" s="251" t="s">
        <v>148</v>
      </c>
      <c r="T1" s="251" t="s">
        <v>149</v>
      </c>
      <c r="U1" s="252"/>
      <c r="V1" s="251"/>
      <c r="W1" s="253" t="s">
        <v>150</v>
      </c>
      <c r="X1" s="253" t="s">
        <v>178</v>
      </c>
      <c r="Z1" s="255"/>
      <c r="AA1" s="255"/>
    </row>
    <row r="2" spans="1:27" x14ac:dyDescent="0.3">
      <c r="A2" s="259" t="s">
        <v>331</v>
      </c>
      <c r="B2" s="258">
        <v>44928</v>
      </c>
      <c r="C2" s="256"/>
      <c r="D2" s="256">
        <f>2*9</f>
        <v>18</v>
      </c>
      <c r="E2" s="256"/>
      <c r="F2" s="256"/>
      <c r="G2" s="256"/>
      <c r="H2" s="256">
        <v>90</v>
      </c>
      <c r="I2" s="256">
        <f>6*9</f>
        <v>54</v>
      </c>
      <c r="J2" s="256"/>
      <c r="K2" s="256">
        <f>16*9</f>
        <v>144</v>
      </c>
      <c r="L2" s="256">
        <f>8*9</f>
        <v>72</v>
      </c>
      <c r="M2" s="256">
        <v>48</v>
      </c>
      <c r="N2" s="256"/>
      <c r="O2" s="256">
        <v>18</v>
      </c>
      <c r="P2" s="256"/>
      <c r="Q2" s="256"/>
      <c r="R2" s="256">
        <f>21*9</f>
        <v>189</v>
      </c>
      <c r="S2" s="256"/>
      <c r="T2" s="256"/>
    </row>
    <row r="3" spans="1:27" x14ac:dyDescent="0.3">
      <c r="A3" s="259" t="s">
        <v>332</v>
      </c>
      <c r="B3" s="258">
        <v>44929</v>
      </c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  <c r="T3" s="256"/>
    </row>
    <row r="4" spans="1:27" x14ac:dyDescent="0.3">
      <c r="A4" s="259" t="s">
        <v>333</v>
      </c>
      <c r="B4" s="258">
        <v>44930</v>
      </c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  <c r="T4" s="256"/>
    </row>
    <row r="5" spans="1:27" x14ac:dyDescent="0.3">
      <c r="A5" s="259" t="s">
        <v>334</v>
      </c>
      <c r="B5" s="258">
        <v>44931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256"/>
      <c r="N5" s="256"/>
      <c r="O5" s="256"/>
      <c r="P5" s="256"/>
      <c r="Q5" s="256"/>
      <c r="R5" s="256"/>
      <c r="S5" s="256"/>
      <c r="T5" s="256"/>
    </row>
    <row r="6" spans="1:27" x14ac:dyDescent="0.3">
      <c r="A6" s="259" t="s">
        <v>335</v>
      </c>
      <c r="B6" s="258">
        <v>44932</v>
      </c>
      <c r="C6" s="256"/>
      <c r="D6" s="256"/>
      <c r="E6" s="256"/>
      <c r="F6" s="256"/>
      <c r="G6" s="256"/>
      <c r="H6" s="256"/>
      <c r="I6" s="256"/>
      <c r="J6" s="256"/>
      <c r="K6" s="256"/>
      <c r="L6" s="256"/>
      <c r="M6" s="256"/>
      <c r="N6" s="256"/>
      <c r="O6" s="256"/>
      <c r="P6" s="256"/>
      <c r="Q6" s="256"/>
      <c r="R6" s="256"/>
      <c r="S6" s="256"/>
      <c r="T6" s="256"/>
    </row>
    <row r="7" spans="1:27" x14ac:dyDescent="0.3">
      <c r="A7" s="259" t="s">
        <v>336</v>
      </c>
      <c r="B7" s="258">
        <v>44933</v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6"/>
    </row>
    <row r="8" spans="1:27" x14ac:dyDescent="0.3">
      <c r="A8" s="259" t="s">
        <v>337</v>
      </c>
      <c r="B8" s="258">
        <v>44934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6"/>
      <c r="P8" s="256"/>
      <c r="Q8" s="256"/>
      <c r="R8" s="256"/>
      <c r="S8" s="256"/>
      <c r="T8" s="256"/>
    </row>
    <row r="9" spans="1:27" x14ac:dyDescent="0.3">
      <c r="A9" s="259"/>
      <c r="B9" s="256"/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56"/>
      <c r="T9" s="256"/>
    </row>
    <row r="10" spans="1:27" x14ac:dyDescent="0.3">
      <c r="A10" s="259"/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</row>
    <row r="11" spans="1:27" x14ac:dyDescent="0.3">
      <c r="A11" s="259"/>
      <c r="B11" s="256"/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6"/>
      <c r="P11" s="256"/>
      <c r="Q11" s="256"/>
      <c r="R11" s="256"/>
      <c r="S11" s="256"/>
      <c r="T11" s="256"/>
    </row>
    <row r="12" spans="1:27" x14ac:dyDescent="0.3">
      <c r="A12" s="259"/>
      <c r="B12" s="256"/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6"/>
      <c r="P12" s="256"/>
      <c r="Q12" s="256"/>
      <c r="R12" s="256"/>
      <c r="S12" s="256"/>
      <c r="T12" s="256"/>
    </row>
    <row r="13" spans="1:27" x14ac:dyDescent="0.3">
      <c r="A13" s="259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6"/>
      <c r="P13" s="256"/>
      <c r="Q13" s="256"/>
      <c r="R13" s="256"/>
      <c r="S13" s="256"/>
      <c r="T13" s="256"/>
    </row>
    <row r="14" spans="1:27" x14ac:dyDescent="0.3">
      <c r="A14" s="259"/>
      <c r="B14" s="256"/>
      <c r="C14" s="256"/>
      <c r="D14" s="256"/>
      <c r="E14" s="256"/>
      <c r="F14" s="256"/>
      <c r="G14" s="256"/>
      <c r="H14" s="256"/>
      <c r="I14" s="256"/>
      <c r="J14" s="256"/>
      <c r="K14" s="256"/>
      <c r="L14" s="256"/>
      <c r="M14" s="256"/>
      <c r="N14" s="256"/>
      <c r="O14" s="256"/>
      <c r="P14" s="256"/>
      <c r="Q14" s="256"/>
      <c r="R14" s="256"/>
      <c r="S14" s="256"/>
      <c r="T14" s="256"/>
    </row>
    <row r="15" spans="1:27" x14ac:dyDescent="0.3">
      <c r="A15" s="259"/>
      <c r="B15" s="256"/>
      <c r="C15" s="256"/>
      <c r="D15" s="256"/>
      <c r="E15" s="256"/>
      <c r="F15" s="256"/>
      <c r="G15" s="256"/>
      <c r="H15" s="256"/>
      <c r="I15" s="256"/>
      <c r="J15" s="256"/>
      <c r="K15" s="256"/>
      <c r="L15" s="256"/>
      <c r="M15" s="256"/>
      <c r="N15" s="256"/>
      <c r="O15" s="256"/>
      <c r="P15" s="256"/>
      <c r="Q15" s="256"/>
      <c r="R15" s="256"/>
      <c r="S15" s="256"/>
      <c r="T15" s="256"/>
    </row>
    <row r="16" spans="1:27" x14ac:dyDescent="0.3">
      <c r="A16" s="259"/>
      <c r="B16" s="256"/>
      <c r="C16" s="256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6"/>
      <c r="P16" s="256"/>
      <c r="Q16" s="256"/>
      <c r="R16" s="256"/>
      <c r="S16" s="256"/>
      <c r="T16" s="256"/>
    </row>
    <row r="17" spans="1:20" x14ac:dyDescent="0.3">
      <c r="A17" s="259"/>
      <c r="B17" s="256"/>
      <c r="C17" s="256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256"/>
      <c r="P17" s="256"/>
      <c r="Q17" s="256"/>
      <c r="R17" s="256"/>
      <c r="S17" s="256"/>
      <c r="T17" s="256"/>
    </row>
    <row r="18" spans="1:20" x14ac:dyDescent="0.3">
      <c r="A18" s="259"/>
      <c r="B18" s="256"/>
      <c r="C18" s="256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</row>
    <row r="19" spans="1:20" x14ac:dyDescent="0.3">
      <c r="A19" s="259"/>
      <c r="B19" s="256"/>
      <c r="C19" s="256"/>
      <c r="D19" s="256"/>
      <c r="E19" s="256"/>
      <c r="F19" s="256"/>
      <c r="G19" s="256"/>
      <c r="H19" s="256"/>
      <c r="I19" s="256"/>
      <c r="J19" s="256"/>
      <c r="K19" s="256"/>
      <c r="L19" s="256"/>
      <c r="M19" s="256"/>
      <c r="N19" s="256"/>
      <c r="O19" s="256"/>
      <c r="P19" s="256"/>
      <c r="Q19" s="256"/>
      <c r="R19" s="256"/>
      <c r="S19" s="256"/>
      <c r="T19" s="256"/>
    </row>
    <row r="20" spans="1:20" x14ac:dyDescent="0.3">
      <c r="A20" s="259"/>
      <c r="B20" s="256"/>
      <c r="C20" s="256"/>
      <c r="D20" s="256"/>
      <c r="E20" s="256"/>
      <c r="F20" s="256"/>
      <c r="G20" s="256"/>
      <c r="H20" s="256"/>
      <c r="I20" s="256"/>
      <c r="J20" s="256"/>
      <c r="K20" s="256"/>
      <c r="L20" s="256"/>
      <c r="M20" s="256"/>
      <c r="N20" s="256"/>
      <c r="O20" s="256"/>
      <c r="P20" s="256"/>
      <c r="Q20" s="256"/>
      <c r="R20" s="256"/>
      <c r="S20" s="256"/>
      <c r="T20" s="256"/>
    </row>
    <row r="21" spans="1:20" x14ac:dyDescent="0.3">
      <c r="A21" s="259"/>
      <c r="B21" s="256"/>
      <c r="C21" s="256"/>
      <c r="D21" s="256"/>
      <c r="E21" s="256"/>
      <c r="F21" s="256"/>
      <c r="G21" s="256"/>
      <c r="H21" s="256"/>
      <c r="I21" s="256"/>
      <c r="J21" s="256"/>
      <c r="K21" s="256"/>
      <c r="L21" s="256"/>
      <c r="M21" s="256"/>
      <c r="N21" s="256"/>
      <c r="O21" s="256"/>
      <c r="P21" s="256"/>
      <c r="Q21" s="256"/>
      <c r="R21" s="256"/>
      <c r="S21" s="256"/>
      <c r="T21" s="256"/>
    </row>
    <row r="22" spans="1:20" x14ac:dyDescent="0.3">
      <c r="A22" s="259"/>
      <c r="B22" s="256"/>
      <c r="C22" s="256"/>
      <c r="D22" s="256"/>
      <c r="E22" s="256"/>
      <c r="F22" s="256"/>
      <c r="G22" s="256"/>
      <c r="H22" s="256"/>
      <c r="I22" s="256"/>
      <c r="J22" s="256"/>
      <c r="K22" s="256"/>
      <c r="L22" s="256"/>
      <c r="M22" s="256"/>
      <c r="N22" s="256"/>
      <c r="O22" s="256"/>
      <c r="P22" s="256"/>
      <c r="Q22" s="256"/>
      <c r="R22" s="256"/>
      <c r="S22" s="256"/>
      <c r="T22" s="256"/>
    </row>
    <row r="23" spans="1:20" x14ac:dyDescent="0.3">
      <c r="A23" s="259"/>
      <c r="B23" s="256"/>
      <c r="C23" s="256"/>
      <c r="D23" s="256"/>
      <c r="E23" s="256"/>
      <c r="F23" s="256"/>
      <c r="G23" s="256"/>
      <c r="H23" s="256"/>
      <c r="I23" s="256"/>
      <c r="J23" s="256"/>
      <c r="K23" s="256"/>
      <c r="L23" s="256"/>
      <c r="M23" s="256"/>
      <c r="N23" s="256"/>
      <c r="O23" s="256"/>
      <c r="P23" s="256"/>
      <c r="Q23" s="256"/>
      <c r="R23" s="256"/>
      <c r="S23" s="256"/>
      <c r="T23" s="256"/>
    </row>
    <row r="24" spans="1:20" x14ac:dyDescent="0.3">
      <c r="A24" s="259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6"/>
      <c r="M24" s="256"/>
      <c r="N24" s="256"/>
      <c r="O24" s="256"/>
      <c r="P24" s="256"/>
      <c r="Q24" s="256"/>
      <c r="R24" s="256"/>
      <c r="S24" s="256"/>
      <c r="T24" s="256"/>
    </row>
    <row r="25" spans="1:20" x14ac:dyDescent="0.3">
      <c r="A25" s="259"/>
      <c r="B25" s="256"/>
      <c r="C25" s="256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6"/>
      <c r="P25" s="256"/>
      <c r="Q25" s="256"/>
      <c r="R25" s="256"/>
      <c r="S25" s="256"/>
      <c r="T25" s="256"/>
    </row>
    <row r="26" spans="1:20" x14ac:dyDescent="0.3">
      <c r="A26" s="259"/>
      <c r="B26" s="256"/>
      <c r="C26" s="256"/>
      <c r="D26" s="256"/>
      <c r="E26" s="256"/>
      <c r="F26" s="256"/>
      <c r="G26" s="256"/>
      <c r="H26" s="256"/>
      <c r="I26" s="256"/>
      <c r="J26" s="256"/>
      <c r="K26" s="256"/>
      <c r="L26" s="256"/>
      <c r="M26" s="256"/>
      <c r="N26" s="256"/>
      <c r="O26" s="256"/>
      <c r="P26" s="256"/>
      <c r="Q26" s="256"/>
      <c r="R26" s="256"/>
      <c r="S26" s="256"/>
      <c r="T26" s="256"/>
    </row>
    <row r="27" spans="1:20" x14ac:dyDescent="0.3">
      <c r="A27" s="259"/>
      <c r="B27" s="256"/>
      <c r="C27" s="256"/>
      <c r="D27" s="256"/>
      <c r="E27" s="256"/>
      <c r="F27" s="256"/>
      <c r="G27" s="256"/>
      <c r="H27" s="256"/>
      <c r="I27" s="256"/>
      <c r="J27" s="256"/>
      <c r="K27" s="256"/>
      <c r="L27" s="256"/>
      <c r="M27" s="256"/>
      <c r="N27" s="256"/>
      <c r="O27" s="256"/>
      <c r="P27" s="256"/>
      <c r="Q27" s="256"/>
      <c r="R27" s="256"/>
      <c r="S27" s="256"/>
      <c r="T27" s="256"/>
    </row>
    <row r="28" spans="1:20" x14ac:dyDescent="0.3">
      <c r="A28" s="259"/>
      <c r="B28" s="256"/>
      <c r="C28" s="256"/>
      <c r="D28" s="256"/>
      <c r="E28" s="256"/>
      <c r="F28" s="256"/>
      <c r="G28" s="256"/>
      <c r="H28" s="256"/>
      <c r="I28" s="256"/>
      <c r="J28" s="256"/>
      <c r="K28" s="256"/>
      <c r="L28" s="256"/>
      <c r="M28" s="256"/>
      <c r="N28" s="256"/>
      <c r="O28" s="256"/>
      <c r="P28" s="256"/>
      <c r="Q28" s="256"/>
      <c r="R28" s="256"/>
      <c r="S28" s="256"/>
      <c r="T28" s="256"/>
    </row>
    <row r="29" spans="1:20" x14ac:dyDescent="0.3">
      <c r="A29" s="259"/>
      <c r="B29" s="256"/>
      <c r="C29" s="256"/>
      <c r="D29" s="256"/>
      <c r="E29" s="256"/>
      <c r="F29" s="256"/>
      <c r="G29" s="256"/>
      <c r="H29" s="256"/>
      <c r="I29" s="256"/>
      <c r="J29" s="256"/>
      <c r="K29" s="256"/>
      <c r="L29" s="256"/>
      <c r="M29" s="256"/>
      <c r="N29" s="256"/>
      <c r="O29" s="256"/>
      <c r="P29" s="256"/>
      <c r="Q29" s="256"/>
      <c r="R29" s="256"/>
      <c r="S29" s="256"/>
      <c r="T29" s="256"/>
    </row>
  </sheetData>
  <mergeCells count="1">
    <mergeCell ref="A1:B1"/>
  </mergeCells>
  <conditionalFormatting sqref="C1:XFD1">
    <cfRule type="cellIs" dxfId="14001" priority="2" operator="equal">
      <formula>"."</formula>
    </cfRule>
  </conditionalFormatting>
  <conditionalFormatting sqref="C2:XFD29">
    <cfRule type="cellIs" dxfId="14000" priority="1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/>
  <dimension ref="E19"/>
  <sheetViews>
    <sheetView workbookViewId="0">
      <selection activeCell="E19" sqref="E19"/>
    </sheetView>
  </sheetViews>
  <sheetFormatPr defaultColWidth="11.42578125" defaultRowHeight="15" x14ac:dyDescent="0.25"/>
  <sheetData>
    <row r="19" spans="5:5" x14ac:dyDescent="0.25">
      <c r="E19" s="334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F173"/>
  <sheetViews>
    <sheetView zoomScale="18" zoomScaleNormal="18" zoomScaleSheetLayoutView="10" workbookViewId="0">
      <pane xSplit="11" ySplit="5" topLeftCell="S6" activePane="bottomRight" state="frozen"/>
      <selection pane="topRight" activeCell="L1" sqref="L1"/>
      <selection pane="bottomLeft" activeCell="A6" sqref="A6"/>
      <selection pane="bottomRight" activeCell="Z8" sqref="Z8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3" width="27.7109375" style="91" customWidth="1"/>
    <col min="24" max="24" width="27.5703125" style="91" customWidth="1"/>
    <col min="25" max="25" width="32" style="91" customWidth="1"/>
    <col min="26" max="26" width="40.7109375" style="91" customWidth="1"/>
    <col min="27" max="27" width="40" style="91" customWidth="1"/>
    <col min="28" max="28" width="41.42578125" style="91" hidden="1" customWidth="1"/>
    <col min="29" max="29" width="30.28515625" style="91" customWidth="1"/>
    <col min="30" max="30" width="30.140625" style="95" customWidth="1"/>
    <col min="31" max="32" width="27.42578125" style="155" hidden="1" customWidth="1"/>
    <col min="33" max="33" width="32.42578125" style="98" hidden="1" customWidth="1"/>
    <col min="34" max="34" width="36" style="98" hidden="1" customWidth="1"/>
    <col min="35" max="35" width="35.42578125" style="98" hidden="1" customWidth="1"/>
    <col min="36" max="36" width="27.7109375" style="183" hidden="1" customWidth="1"/>
    <col min="37" max="37" width="37.7109375" style="91" hidden="1" customWidth="1"/>
    <col min="38" max="38" width="29" style="91" hidden="1" customWidth="1"/>
    <col min="39" max="39" width="30.28515625" style="91" hidden="1" customWidth="1"/>
    <col min="40" max="41" width="9.140625" style="91" customWidth="1"/>
    <col min="42" max="42" width="37.7109375" style="91" customWidth="1"/>
    <col min="43" max="43" width="25" style="434" hidden="1" customWidth="1"/>
    <col min="44" max="44" width="64.7109375" style="91" hidden="1" customWidth="1"/>
    <col min="45" max="45" width="34" style="91" hidden="1" customWidth="1"/>
    <col min="46" max="46" width="20.42578125" style="91" hidden="1" customWidth="1"/>
    <col min="47" max="47" width="36.140625" style="91" hidden="1" customWidth="1"/>
    <col min="48" max="48" width="64" style="91" customWidth="1"/>
    <col min="49" max="56" width="20.42578125" style="91" customWidth="1"/>
    <col min="57" max="95" width="9.140625" style="91" customWidth="1"/>
    <col min="96" max="16384" width="11.42578125" style="91"/>
  </cols>
  <sheetData>
    <row r="1" spans="2:57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91" t="s">
        <v>357</v>
      </c>
      <c r="AC1" s="519" t="s">
        <v>182</v>
      </c>
      <c r="AD1" s="519"/>
      <c r="AS1" s="91" t="s">
        <v>182</v>
      </c>
    </row>
    <row r="2" spans="2:57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390"/>
      <c r="Z2" s="437"/>
      <c r="AA2" s="390"/>
      <c r="AB2" s="96"/>
      <c r="AC2" s="520">
        <f>+AH2/AG2</f>
        <v>0.74429698083994578</v>
      </c>
      <c r="AD2" s="520"/>
      <c r="AG2" s="183">
        <f>+SUBTOTAL(9,AG6:AG95)</f>
        <v>310020</v>
      </c>
      <c r="AH2" s="183">
        <f>+SUBTOTAL(9,AH6:AH95)</f>
        <v>230746.94999999998</v>
      </c>
      <c r="AS2" s="91">
        <v>0.59793648334624327</v>
      </c>
    </row>
    <row r="3" spans="2:57" ht="94.5" customHeight="1" x14ac:dyDescent="0.9">
      <c r="B3" s="458"/>
      <c r="C3" s="458"/>
      <c r="D3" s="458"/>
      <c r="E3" s="458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Y3" s="394"/>
      <c r="Z3" s="395" t="s">
        <v>17</v>
      </c>
      <c r="AA3" s="458"/>
      <c r="AB3" s="96"/>
      <c r="AC3" s="520"/>
      <c r="AD3" s="520"/>
      <c r="AG3" s="183"/>
      <c r="AH3" s="183"/>
      <c r="AP3" s="440">
        <v>8.75</v>
      </c>
    </row>
    <row r="4" spans="2:57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Z4" s="170">
        <f>+SUMIF($L$6:$L$78,Z3,$Z$6:$Z$78)</f>
        <v>4956</v>
      </c>
      <c r="AA4" s="144" t="s">
        <v>28</v>
      </c>
      <c r="AB4" s="145"/>
      <c r="AC4" s="524" t="str">
        <f ca="1">RIGHT(CELL("filename",A1),LEN(CELL("filename",A1))-FIND("]",CELL("filename",A1)))</f>
        <v>01-01-2026</v>
      </c>
      <c r="AD4" s="524"/>
      <c r="AE4" s="397">
        <f>+SUM(AE6:AE83)</f>
        <v>5167</v>
      </c>
      <c r="AF4" s="397"/>
      <c r="AG4" s="98"/>
      <c r="AH4" s="98"/>
      <c r="AI4" s="398">
        <v>8.75</v>
      </c>
      <c r="AP4" s="437">
        <f>+SUBTOTAL(9,AP6:AP79)</f>
        <v>-346.60000000000036</v>
      </c>
      <c r="AQ4" s="243"/>
      <c r="AS4" s="399">
        <v>46014</v>
      </c>
      <c r="AV4" s="441"/>
    </row>
    <row r="5" spans="2:57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163" t="s">
        <v>109</v>
      </c>
      <c r="Z5" s="150" t="s">
        <v>13</v>
      </c>
      <c r="AA5" s="150" t="s">
        <v>14</v>
      </c>
      <c r="AB5" s="153"/>
      <c r="AC5" s="153" t="s">
        <v>15</v>
      </c>
      <c r="AD5" s="154" t="s">
        <v>417</v>
      </c>
      <c r="AE5" s="156"/>
      <c r="AF5" s="156"/>
      <c r="AJ5" s="394"/>
      <c r="AK5" s="403"/>
      <c r="AP5" s="404" t="s">
        <v>415</v>
      </c>
      <c r="AQ5" s="243"/>
      <c r="AS5" s="232" t="s">
        <v>15</v>
      </c>
    </row>
    <row r="6" spans="2:57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439" t="str">
        <f>+G7</f>
        <v>NEGRONI-202942</v>
      </c>
      <c r="H6" s="106"/>
      <c r="I6" s="106"/>
      <c r="J6" s="107" t="s">
        <v>20</v>
      </c>
      <c r="K6" s="108" t="s">
        <v>23</v>
      </c>
      <c r="L6" s="100" t="s">
        <v>21</v>
      </c>
      <c r="M6" s="448">
        <v>100</v>
      </c>
      <c r="N6" s="448">
        <v>100</v>
      </c>
      <c r="O6" s="448">
        <v>50</v>
      </c>
      <c r="P6" s="448">
        <v>50</v>
      </c>
      <c r="Q6" s="448">
        <v>50</v>
      </c>
      <c r="R6" s="448"/>
      <c r="S6" s="448"/>
      <c r="T6" s="448"/>
      <c r="U6" s="448"/>
      <c r="V6" s="448"/>
      <c r="W6" s="448"/>
      <c r="X6" s="447">
        <f t="shared" ref="X6:X62" si="0">IF(AP7="","",SUM(M6:W6)-(-(AP7-SUM(M6:W6))/$AP$3)*SUM($M$2:$W$2))</f>
        <v>350</v>
      </c>
      <c r="Y6" s="533">
        <f>+X8</f>
        <v>0</v>
      </c>
      <c r="Z6" s="450">
        <f t="shared" ref="Z6:Z63" si="1">+SUM(L6:W6)</f>
        <v>350</v>
      </c>
      <c r="AA6" s="343">
        <f>+AB6+Z6</f>
        <v>5724</v>
      </c>
      <c r="AB6" s="343">
        <v>5374</v>
      </c>
      <c r="AC6" s="344"/>
      <c r="AD6" s="345"/>
      <c r="AE6" s="346"/>
      <c r="AF6" s="347">
        <f t="shared" ref="AF6:AF73" si="2">TRUNC(AE6)+(AE6-TRUNC(AE6))*60/100</f>
        <v>0</v>
      </c>
      <c r="AG6" s="341">
        <f t="shared" ref="AG6:AG73" si="3">+AE6*60</f>
        <v>0</v>
      </c>
      <c r="AH6" s="341"/>
      <c r="AI6" s="341"/>
      <c r="AJ6" s="348"/>
      <c r="AK6" s="349"/>
      <c r="AL6" s="341"/>
      <c r="AM6" s="341"/>
      <c r="AN6" s="341"/>
      <c r="AO6" s="341"/>
      <c r="AP6" s="350"/>
      <c r="AQ6" s="434"/>
      <c r="AS6" s="390"/>
      <c r="AU6" s="390"/>
    </row>
    <row r="7" spans="2:57" s="98" customFormat="1" ht="62.25" customHeight="1" x14ac:dyDescent="1.35">
      <c r="B7" s="351">
        <v>1</v>
      </c>
      <c r="C7" s="406">
        <f>+B7</f>
        <v>1</v>
      </c>
      <c r="D7" s="407" t="s">
        <v>427</v>
      </c>
      <c r="E7" s="111"/>
      <c r="F7" s="111" t="s">
        <v>428</v>
      </c>
      <c r="G7" s="106" t="s">
        <v>429</v>
      </c>
      <c r="H7" s="111"/>
      <c r="I7" s="111" t="s">
        <v>430</v>
      </c>
      <c r="J7" s="113">
        <v>48.06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214"/>
      <c r="X7" s="352">
        <f>+IF(H8="s",0,IF(Z7=0,0,IF(COUNTA(M7:W7)=AJ9+0.25,SUMIF($C:$C,B7,$Z:$Z)/AJ9+0.25,SUMIF($C:$C,B7,$Z:$Z)/(COUNTA(M7:W7)))))</f>
        <v>60.25</v>
      </c>
      <c r="Y7" s="534"/>
      <c r="Z7" s="353">
        <f t="shared" si="1"/>
        <v>525</v>
      </c>
      <c r="AA7" s="354">
        <f>+Z7+AB7</f>
        <v>5138</v>
      </c>
      <c r="AB7" s="354">
        <v>4613</v>
      </c>
      <c r="AC7" s="355">
        <f>+AA6-AA7</f>
        <v>586</v>
      </c>
      <c r="AD7" s="131">
        <f>+IF(((Z8+(Z9/2))*60)=0,"",(J7*Z7)/((Z8+(Z9/2))*60))</f>
        <v>0.87381818181818183</v>
      </c>
      <c r="AE7" s="347">
        <f>+Z8+Z9/2</f>
        <v>481.25</v>
      </c>
      <c r="AF7" s="347">
        <f t="shared" si="2"/>
        <v>481.15</v>
      </c>
      <c r="AG7" s="341">
        <f t="shared" si="3"/>
        <v>28875</v>
      </c>
      <c r="AH7" s="341">
        <f>+Z7*J7</f>
        <v>25231.5</v>
      </c>
      <c r="AI7" s="356">
        <f>+Z7-(AE7*K7/K9)</f>
        <v>0</v>
      </c>
      <c r="AJ7" s="348"/>
      <c r="AK7" s="349"/>
      <c r="AL7" s="341"/>
      <c r="AM7" s="341"/>
      <c r="AN7" s="341"/>
      <c r="AO7" s="341"/>
      <c r="AP7" s="339">
        <f t="shared" ref="AP7" si="4">IF(AQ7=0,"",AS7-(($AP$3*K7)+($AP$3*K7)*AQ7)+Z6)</f>
        <v>-201.5</v>
      </c>
      <c r="AQ7" s="434">
        <v>1.5</v>
      </c>
      <c r="AS7" s="390">
        <v>761</v>
      </c>
      <c r="AU7" s="390">
        <f>+AS7-AC7</f>
        <v>175</v>
      </c>
      <c r="AV7" s="535" t="s">
        <v>473</v>
      </c>
      <c r="AW7" s="535"/>
      <c r="AX7" s="535"/>
      <c r="AY7" s="535"/>
      <c r="AZ7" s="535"/>
      <c r="BA7" s="535"/>
      <c r="BB7" s="535"/>
      <c r="BC7" s="535"/>
      <c r="BD7" s="535"/>
      <c r="BE7" s="535"/>
    </row>
    <row r="8" spans="2:57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113">
        <f>+IFERROR(IF(K9=0,0,IF((LOOKUP(2,1/(M8:W8&lt;&gt;""),M8:W8)-K9)&lt;0,0,IF(K9=0,"",LOOKUP(2,1/(M8:W8&lt;&gt;""),M8:W8)-K9))),0)</f>
        <v>0</v>
      </c>
      <c r="H8" s="411"/>
      <c r="I8" s="113"/>
      <c r="J8" s="113">
        <v>1</v>
      </c>
      <c r="K8" s="114" t="s">
        <v>22</v>
      </c>
      <c r="L8" s="102" t="s">
        <v>18</v>
      </c>
      <c r="M8" s="448">
        <v>55</v>
      </c>
      <c r="N8" s="448">
        <v>55</v>
      </c>
      <c r="O8" s="448">
        <v>55</v>
      </c>
      <c r="P8" s="448">
        <v>55</v>
      </c>
      <c r="Q8" s="448">
        <v>55</v>
      </c>
      <c r="R8" s="448">
        <v>55</v>
      </c>
      <c r="S8" s="448">
        <v>55</v>
      </c>
      <c r="T8" s="448">
        <v>55</v>
      </c>
      <c r="U8" s="448">
        <v>55</v>
      </c>
      <c r="V8" s="448"/>
      <c r="W8" s="448"/>
      <c r="X8" s="358">
        <f>+IF(H8="l",IF(COUNTA(M7:W7)=AJ9+0.25,Z7-K7*AJ9,Z7-(K7*COUNTA(M7:W7))),IF(H8="s",0,IF(COUNTA(M7:W7)=AJ9+0.25,SUMIF($C:$C,B7,$Z:$Z)-K7*AJ9,SUMIF($C:$C,B7,$Z:$Z)-K7*COUNTA(M7:W7))))</f>
        <v>0</v>
      </c>
      <c r="Y8" s="534"/>
      <c r="Z8" s="359">
        <f t="shared" ref="Z8:Z9" si="5">+SUM(M8:W8)-U8*0.25</f>
        <v>481.25</v>
      </c>
      <c r="AA8" s="360"/>
      <c r="AB8" s="360"/>
      <c r="AC8" s="362"/>
      <c r="AD8" s="363"/>
      <c r="AE8" s="346"/>
      <c r="AF8" s="347">
        <f t="shared" si="2"/>
        <v>0</v>
      </c>
      <c r="AG8" s="341">
        <f t="shared" si="3"/>
        <v>0</v>
      </c>
      <c r="AH8" s="341"/>
      <c r="AI8" s="341"/>
      <c r="AJ8" s="348"/>
      <c r="AK8" s="349">
        <f>+IF(AJ9=7.75,SUM(M8:S8)+T8*0.75,IF(AJ9=8,SUM(M8:T8),IF(AJ9=7.25,SUM(M8:S8)+T8*0.25,IF(AJ9=8.25,SUM(M8:T8)+U8*0.25,IF(AJ9=8.75,SUM(M8:T8)+U8*0.75,0)))))</f>
        <v>481.25</v>
      </c>
      <c r="AL8" s="341">
        <f>+AK8-Z8</f>
        <v>0</v>
      </c>
      <c r="AM8" s="341"/>
      <c r="AN8" s="341"/>
      <c r="AO8" s="341"/>
      <c r="AP8" s="438"/>
      <c r="AQ8" s="434"/>
      <c r="AS8" s="390"/>
      <c r="AU8" s="390"/>
    </row>
    <row r="9" spans="2:57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444">
        <f>+SUMPRODUCT((M8:W8&lt;&gt;"")*(M8:W8&lt;&gt;0)*(M8:W8-K9))</f>
        <v>0</v>
      </c>
      <c r="H9" s="117"/>
      <c r="I9" s="442"/>
      <c r="J9" s="165">
        <f>+IF(K9="","",IF(K7=0,"",(K7*J7)/(K9*60)))</f>
        <v>0.87381818181818194</v>
      </c>
      <c r="K9" s="118">
        <v>55</v>
      </c>
      <c r="L9" s="104" t="s">
        <v>19</v>
      </c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451"/>
      <c r="Y9" s="365">
        <v>36.08</v>
      </c>
      <c r="Z9" s="366">
        <f t="shared" si="5"/>
        <v>0</v>
      </c>
      <c r="AA9" s="367"/>
      <c r="AB9" s="367"/>
      <c r="AC9" s="368">
        <f>+IFERROR(AC7/(K7*$AP$3),"")</f>
        <v>1.1161904761904762</v>
      </c>
      <c r="AD9" s="369"/>
      <c r="AE9" s="347"/>
      <c r="AF9" s="347">
        <f t="shared" si="2"/>
        <v>0</v>
      </c>
      <c r="AG9" s="341">
        <f t="shared" si="3"/>
        <v>0</v>
      </c>
      <c r="AH9" s="341"/>
      <c r="AI9" s="356"/>
      <c r="AJ9" s="370">
        <f>+$AI$4</f>
        <v>8.75</v>
      </c>
      <c r="AK9" s="349">
        <f>+IF(AJ9=7.75,SUM(M9:S9)+T9*0.75,IF(AJ9=8,SUM(M9:T9),IF(AJ9=7.25,SUM(M9:S9)+T9*0.25,IF(AJ9=8.25,SUM(M9:T9)+U9*0.25,IF(AJ9=8.75,SUM(M9:T9)+U9*0.75,0)))))</f>
        <v>0</v>
      </c>
      <c r="AL9" s="341">
        <f>+AK9-Z9</f>
        <v>0</v>
      </c>
      <c r="AM9" s="341"/>
      <c r="AN9" s="341"/>
      <c r="AO9" s="341"/>
      <c r="AP9" s="369"/>
      <c r="AQ9" s="434"/>
      <c r="AS9" s="390">
        <v>1.4495238095238094</v>
      </c>
      <c r="AU9" s="390"/>
    </row>
    <row r="10" spans="2:57" s="98" customFormat="1" ht="62.25" customHeight="1" thickTop="1" x14ac:dyDescent="0.9">
      <c r="B10" s="342">
        <f>+B11</f>
        <v>2</v>
      </c>
      <c r="C10" s="405"/>
      <c r="D10" s="106"/>
      <c r="E10" s="106"/>
      <c r="F10" s="106"/>
      <c r="G10" s="439" t="str">
        <f>+G11</f>
        <v>NEGRONI-202942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50</v>
      </c>
      <c r="N10" s="448">
        <v>100</v>
      </c>
      <c r="O10" s="448">
        <v>50</v>
      </c>
      <c r="P10" s="448">
        <v>50</v>
      </c>
      <c r="Q10" s="448">
        <v>100</v>
      </c>
      <c r="R10" s="448"/>
      <c r="S10" s="448"/>
      <c r="T10" s="448">
        <v>100</v>
      </c>
      <c r="U10" s="448"/>
      <c r="V10" s="448"/>
      <c r="W10" s="448"/>
      <c r="X10" s="447">
        <f t="shared" si="0"/>
        <v>450</v>
      </c>
      <c r="Y10" s="533">
        <f>+X12</f>
        <v>0</v>
      </c>
      <c r="Z10" s="450">
        <f t="shared" si="1"/>
        <v>450</v>
      </c>
      <c r="AA10" s="343">
        <f>+AB10+Z10</f>
        <v>4827</v>
      </c>
      <c r="AB10" s="343">
        <v>4377</v>
      </c>
      <c r="AC10" s="344"/>
      <c r="AD10" s="345"/>
      <c r="AE10" s="346"/>
      <c r="AF10" s="347">
        <f t="shared" si="2"/>
        <v>0</v>
      </c>
      <c r="AG10" s="341">
        <f t="shared" si="3"/>
        <v>0</v>
      </c>
      <c r="AH10" s="341"/>
      <c r="AI10" s="341"/>
      <c r="AJ10" s="348"/>
      <c r="AK10" s="349"/>
      <c r="AL10" s="341"/>
      <c r="AM10" s="341"/>
      <c r="AN10" s="341"/>
      <c r="AO10" s="341"/>
      <c r="AP10" s="350"/>
      <c r="AQ10" s="434"/>
      <c r="AS10" s="390"/>
      <c r="AU10" s="390"/>
    </row>
    <row r="11" spans="2:57" s="98" customFormat="1" ht="62.25" customHeight="1" x14ac:dyDescent="1.35">
      <c r="B11" s="351">
        <v>2</v>
      </c>
      <c r="C11" s="406">
        <f>+B11</f>
        <v>2</v>
      </c>
      <c r="D11" s="407" t="s">
        <v>427</v>
      </c>
      <c r="E11" s="111"/>
      <c r="F11" s="111" t="s">
        <v>428</v>
      </c>
      <c r="G11" s="106" t="s">
        <v>429</v>
      </c>
      <c r="H11" s="111"/>
      <c r="I11" s="111" t="s">
        <v>430</v>
      </c>
      <c r="J11" s="113">
        <v>48.06</v>
      </c>
      <c r="K11" s="130">
        <v>60</v>
      </c>
      <c r="L11" s="101" t="s">
        <v>17</v>
      </c>
      <c r="M11" s="214">
        <v>55</v>
      </c>
      <c r="N11" s="214">
        <v>60</v>
      </c>
      <c r="O11" s="214">
        <v>60</v>
      </c>
      <c r="P11" s="214">
        <v>60</v>
      </c>
      <c r="Q11" s="214">
        <v>60</v>
      </c>
      <c r="R11" s="214">
        <v>60</v>
      </c>
      <c r="S11" s="214">
        <v>60</v>
      </c>
      <c r="T11" s="214">
        <v>60</v>
      </c>
      <c r="U11" s="214">
        <v>50</v>
      </c>
      <c r="V11" s="214"/>
      <c r="W11" s="214"/>
      <c r="X11" s="352">
        <f>+IF(H12="s",0,IF(Z11=0,0,IF(COUNTA(M11:W11)=AJ13+0.25,SUMIF($C:$C,B11,$Z:$Z)/AJ13+0.25,SUMIF($C:$C,B11,$Z:$Z)/(COUNTA(M11:W11)))))</f>
        <v>60.25</v>
      </c>
      <c r="Y11" s="534"/>
      <c r="Z11" s="353">
        <f t="shared" si="1"/>
        <v>525</v>
      </c>
      <c r="AA11" s="354">
        <f>+Z11+AB11</f>
        <v>4161</v>
      </c>
      <c r="AB11" s="354">
        <v>3636</v>
      </c>
      <c r="AC11" s="355">
        <f>+AA10-AA11</f>
        <v>666</v>
      </c>
      <c r="AD11" s="131">
        <f>+IF(((Z12+(Z13/2))*60)=0,"",(J11*Z11)/((Z12+(Z13/2))*60))</f>
        <v>0.87381818181818183</v>
      </c>
      <c r="AE11" s="347">
        <f>+Z12+Z13/2</f>
        <v>481.25</v>
      </c>
      <c r="AF11" s="347">
        <f t="shared" si="2"/>
        <v>481.15</v>
      </c>
      <c r="AG11" s="341">
        <f t="shared" si="3"/>
        <v>28875</v>
      </c>
      <c r="AH11" s="341">
        <f>+Z11*J11</f>
        <v>25231.5</v>
      </c>
      <c r="AI11" s="356">
        <f>+Z11-(AE11*K11/K13)</f>
        <v>0</v>
      </c>
      <c r="AJ11" s="348"/>
      <c r="AK11" s="349"/>
      <c r="AL11" s="341"/>
      <c r="AM11" s="341"/>
      <c r="AN11" s="341"/>
      <c r="AO11" s="341"/>
      <c r="AP11" s="339">
        <f t="shared" ref="AP11" si="6">IF(AQ11=0,"",AS11-(($AP$3*K11)+($AP$3*K11)*AQ11)+Z10)</f>
        <v>-121.5</v>
      </c>
      <c r="AQ11" s="434">
        <v>1.5</v>
      </c>
      <c r="AS11" s="390">
        <v>741</v>
      </c>
      <c r="AU11" s="390">
        <f>+AS11-AC11</f>
        <v>75</v>
      </c>
      <c r="AV11" s="535" t="s">
        <v>473</v>
      </c>
      <c r="AW11" s="535"/>
      <c r="AX11" s="535"/>
      <c r="AY11" s="535"/>
      <c r="AZ11" s="535"/>
      <c r="BA11" s="535"/>
      <c r="BB11" s="535"/>
      <c r="BC11" s="535"/>
      <c r="BD11" s="535"/>
      <c r="BE11" s="535"/>
    </row>
    <row r="12" spans="2:57" s="98" customFormat="1" ht="62.25" customHeight="1" x14ac:dyDescent="0.9">
      <c r="B12" s="357">
        <f>+B11</f>
        <v>2</v>
      </c>
      <c r="C12" s="408"/>
      <c r="D12" s="184"/>
      <c r="E12" s="111">
        <f>+B11</f>
        <v>2</v>
      </c>
      <c r="F12" s="409"/>
      <c r="G12" s="113">
        <f>+IFERROR(IF(K13=0,0,IF((LOOKUP(2,1/(M12:W12&lt;&gt;""),M12:W12)-K13)&lt;0,0,IF(K13=0,"",LOOKUP(2,1/(M12:W12&lt;&gt;""),M12:W12)-K13))),0)</f>
        <v>0</v>
      </c>
      <c r="H12" s="411"/>
      <c r="I12" s="113"/>
      <c r="J12" s="113">
        <v>1</v>
      </c>
      <c r="K12" s="114" t="s">
        <v>22</v>
      </c>
      <c r="L12" s="102" t="s">
        <v>18</v>
      </c>
      <c r="M12" s="448">
        <v>55</v>
      </c>
      <c r="N12" s="448">
        <v>55</v>
      </c>
      <c r="O12" s="448">
        <v>55</v>
      </c>
      <c r="P12" s="448">
        <v>55</v>
      </c>
      <c r="Q12" s="448">
        <v>55</v>
      </c>
      <c r="R12" s="448">
        <v>55</v>
      </c>
      <c r="S12" s="448">
        <v>55</v>
      </c>
      <c r="T12" s="448">
        <v>55</v>
      </c>
      <c r="U12" s="448">
        <v>55</v>
      </c>
      <c r="V12" s="448"/>
      <c r="W12" s="448"/>
      <c r="X12" s="358">
        <f>+IF(H12="l",IF(COUNTA(M11:W11)=AJ13+0.25,Z11-K11*AJ13,Z11-(K11*COUNTA(M11:W11))),IF(H12="s",0,IF(COUNTA(M11:W11)=AJ13+0.25,SUMIF($C:$C,B11,$Z:$Z)-K11*AJ13,SUMIF($C:$C,B11,$Z:$Z)-K11*COUNTA(M11:W11))))</f>
        <v>0</v>
      </c>
      <c r="Y12" s="534"/>
      <c r="Z12" s="359">
        <f t="shared" ref="Z12:Z65" si="7">+SUM(M12:W12)-U12*0.25</f>
        <v>481.25</v>
      </c>
      <c r="AA12" s="360"/>
      <c r="AB12" s="360"/>
      <c r="AC12" s="362"/>
      <c r="AD12" s="363"/>
      <c r="AE12" s="346"/>
      <c r="AF12" s="347">
        <f t="shared" si="2"/>
        <v>0</v>
      </c>
      <c r="AG12" s="341">
        <f t="shared" si="3"/>
        <v>0</v>
      </c>
      <c r="AH12" s="341"/>
      <c r="AI12" s="341"/>
      <c r="AJ12" s="348"/>
      <c r="AK12" s="349">
        <f>+IF(AJ13=7.75,SUM(M12:S12)+T12*0.75,IF(AJ13=8,SUM(M12:T12),IF(AJ13=7.25,SUM(M12:S12)+T12*0.25,IF(AJ13=8.25,SUM(M12:T12)+U12*0.25,IF(AJ13=8.75,SUM(M12:T12)+U12*0.75,0)))))</f>
        <v>481.25</v>
      </c>
      <c r="AL12" s="341">
        <f>+AK12-Z12</f>
        <v>0</v>
      </c>
      <c r="AM12" s="341"/>
      <c r="AN12" s="341"/>
      <c r="AO12" s="341"/>
      <c r="AP12" s="438"/>
      <c r="AQ12" s="434"/>
      <c r="AS12" s="390"/>
      <c r="AU12" s="390"/>
    </row>
    <row r="13" spans="2:57" s="98" customFormat="1" ht="62.25" customHeight="1" thickBot="1" x14ac:dyDescent="0.95">
      <c r="B13" s="364">
        <f>+B11</f>
        <v>2</v>
      </c>
      <c r="C13" s="410"/>
      <c r="D13" s="174" t="s">
        <v>419</v>
      </c>
      <c r="E13" s="175">
        <f>+E12+100</f>
        <v>102</v>
      </c>
      <c r="F13" s="175"/>
      <c r="G13" s="444">
        <f>+SUMPRODUCT((M12:W12&lt;&gt;"")*(M12:W12&lt;&gt;0)*(M12:W12-K13))</f>
        <v>0</v>
      </c>
      <c r="H13" s="117"/>
      <c r="I13" s="442"/>
      <c r="J13" s="165">
        <f>+IF(K13="","",IF(K11=0,"",(K11*J11)/(K13*60)))</f>
        <v>0.87381818181818194</v>
      </c>
      <c r="K13" s="118">
        <v>55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451"/>
      <c r="Y13" s="365">
        <v>36.14</v>
      </c>
      <c r="Z13" s="366">
        <f t="shared" si="7"/>
        <v>0</v>
      </c>
      <c r="AA13" s="367"/>
      <c r="AB13" s="367"/>
      <c r="AC13" s="368">
        <f>+IFERROR(AC11/(K11*$AP$3),"")</f>
        <v>1.2685714285714285</v>
      </c>
      <c r="AD13" s="369"/>
      <c r="AE13" s="347"/>
      <c r="AF13" s="347">
        <f t="shared" si="2"/>
        <v>0</v>
      </c>
      <c r="AG13" s="341">
        <f t="shared" si="3"/>
        <v>0</v>
      </c>
      <c r="AH13" s="341"/>
      <c r="AI13" s="356"/>
      <c r="AJ13" s="370">
        <f>+$AI$4</f>
        <v>8.75</v>
      </c>
      <c r="AK13" s="349">
        <f>+IF(AJ13=7.75,SUM(M13:S13)+T13*0.75,IF(AJ13=8,SUM(M13:T13),IF(AJ13=7.25,SUM(M13:S13)+T13*0.25,IF(AJ13=8.25,SUM(M13:T13)+U13*0.25,IF(AJ13=8.75,SUM(M13:T13)+U13*0.75,0)))))</f>
        <v>0</v>
      </c>
      <c r="AL13" s="341">
        <f>+AK13-Z13</f>
        <v>0</v>
      </c>
      <c r="AM13" s="341"/>
      <c r="AN13" s="341"/>
      <c r="AO13" s="341"/>
      <c r="AP13" s="369"/>
      <c r="AQ13" s="434"/>
      <c r="AS13" s="390">
        <v>1.4114285714285715</v>
      </c>
      <c r="AU13" s="390"/>
    </row>
    <row r="14" spans="2:57" s="98" customFormat="1" ht="62.25" customHeight="1" thickTop="1" x14ac:dyDescent="0.9">
      <c r="B14" s="342">
        <f>+B15</f>
        <v>3</v>
      </c>
      <c r="C14" s="405"/>
      <c r="D14" s="106"/>
      <c r="E14" s="106"/>
      <c r="F14" s="106"/>
      <c r="G14" s="439">
        <f>+G15</f>
        <v>0</v>
      </c>
      <c r="H14" s="106"/>
      <c r="I14" s="106"/>
      <c r="J14" s="107" t="s">
        <v>20</v>
      </c>
      <c r="K14" s="108" t="s">
        <v>23</v>
      </c>
      <c r="L14" s="100" t="s">
        <v>21</v>
      </c>
      <c r="M14" s="453"/>
      <c r="N14" s="453"/>
      <c r="O14" s="453"/>
      <c r="P14" s="453"/>
      <c r="Q14" s="453"/>
      <c r="R14" s="453"/>
      <c r="S14" s="453"/>
      <c r="T14" s="453"/>
      <c r="U14" s="453"/>
      <c r="V14" s="453"/>
      <c r="W14" s="453"/>
      <c r="X14" s="447" t="str">
        <f t="shared" si="0"/>
        <v/>
      </c>
      <c r="Y14" s="533">
        <f>+X16</f>
        <v>0</v>
      </c>
      <c r="Z14" s="450">
        <f t="shared" si="1"/>
        <v>0</v>
      </c>
      <c r="AA14" s="343">
        <f>+AB14+Z14</f>
        <v>0</v>
      </c>
      <c r="AB14" s="343">
        <v>0</v>
      </c>
      <c r="AC14" s="344"/>
      <c r="AD14" s="345"/>
      <c r="AE14" s="346"/>
      <c r="AF14" s="347"/>
      <c r="AG14" s="341"/>
      <c r="AH14" s="341"/>
      <c r="AI14" s="341"/>
      <c r="AJ14" s="348"/>
      <c r="AK14" s="349"/>
      <c r="AL14" s="341"/>
      <c r="AM14" s="341"/>
      <c r="AN14" s="341"/>
      <c r="AO14" s="341"/>
      <c r="AP14" s="350"/>
      <c r="AQ14" s="434"/>
      <c r="AS14" s="390"/>
      <c r="AU14" s="390"/>
    </row>
    <row r="15" spans="2:57" s="98" customFormat="1" ht="62.25" customHeight="1" x14ac:dyDescent="1.35">
      <c r="B15" s="351">
        <v>3</v>
      </c>
      <c r="C15" s="406">
        <v>3</v>
      </c>
      <c r="D15" s="407"/>
      <c r="E15" s="111"/>
      <c r="F15" s="111"/>
      <c r="G15" s="106"/>
      <c r="H15" s="111"/>
      <c r="I15" s="111"/>
      <c r="J15" s="113"/>
      <c r="K15" s="130"/>
      <c r="L15" s="101" t="s">
        <v>17</v>
      </c>
      <c r="M15" s="454"/>
      <c r="N15" s="454"/>
      <c r="O15" s="454"/>
      <c r="P15" s="454"/>
      <c r="Q15" s="454"/>
      <c r="R15" s="454"/>
      <c r="S15" s="454"/>
      <c r="T15" s="454"/>
      <c r="U15" s="454"/>
      <c r="V15" s="454"/>
      <c r="W15" s="454"/>
      <c r="X15" s="352">
        <f>+IF(H16="s",0,IF(Z15=0,0,IF(COUNTA(M15:W15)=AJ17+0.25,SUMIF($C:$C,B15,$Z:$Z)/AJ17+0.25,SUMIF($C:$C,B15,$Z:$Z)/(COUNTA(M15:W15)))))</f>
        <v>0</v>
      </c>
      <c r="Y15" s="534"/>
      <c r="Z15" s="353">
        <f t="shared" si="1"/>
        <v>0</v>
      </c>
      <c r="AA15" s="354">
        <f>+Z15+AB15</f>
        <v>0</v>
      </c>
      <c r="AB15" s="354">
        <v>0</v>
      </c>
      <c r="AC15" s="355">
        <f>+AA14-AA15</f>
        <v>0</v>
      </c>
      <c r="AD15" s="131" t="str">
        <f>+IF(((Z16+(Z17/2))*60)=0,"",(J15*Z15)/((Z16+(Z17/2))*60))</f>
        <v/>
      </c>
      <c r="AE15" s="347"/>
      <c r="AF15" s="347"/>
      <c r="AG15" s="341"/>
      <c r="AH15" s="341"/>
      <c r="AI15" s="356"/>
      <c r="AJ15" s="348"/>
      <c r="AK15" s="349"/>
      <c r="AL15" s="341"/>
      <c r="AM15" s="341"/>
      <c r="AN15" s="341"/>
      <c r="AO15" s="341"/>
      <c r="AP15" s="339" t="str">
        <f t="shared" ref="AP15:AP51" si="8">IF(AQ15=0,"",AS15-(($AP$3*K15)+($AP$3*K15)*AQ15)+Z14)</f>
        <v/>
      </c>
      <c r="AQ15" s="434"/>
      <c r="AS15" s="390">
        <v>0</v>
      </c>
      <c r="AU15" s="390">
        <f t="shared" ref="AU15" si="9">+AS15-AC15</f>
        <v>0</v>
      </c>
      <c r="AV15" s="535"/>
      <c r="AW15" s="535"/>
      <c r="AX15" s="535"/>
      <c r="AY15" s="535"/>
      <c r="AZ15" s="535"/>
      <c r="BA15" s="535"/>
      <c r="BB15" s="535"/>
      <c r="BC15" s="535"/>
      <c r="BD15" s="535"/>
      <c r="BE15" s="535"/>
    </row>
    <row r="16" spans="2:57" s="98" customFormat="1" ht="62.25" customHeight="1" x14ac:dyDescent="0.9">
      <c r="B16" s="357">
        <f>+B15</f>
        <v>3</v>
      </c>
      <c r="C16" s="408"/>
      <c r="D16" s="184"/>
      <c r="E16" s="111">
        <f>+B15</f>
        <v>3</v>
      </c>
      <c r="F16" s="409"/>
      <c r="G16" s="113">
        <f>+IFERROR(IF(K17=0,0,IF((LOOKUP(2,1/(M16:W16&lt;&gt;""),M16:W16)-K17)&lt;0,0,IF(K17=0,"",LOOKUP(2,1/(M16:W16&lt;&gt;""),M16:W16)-K17))),0)</f>
        <v>0</v>
      </c>
      <c r="H16" s="411" t="s">
        <v>414</v>
      </c>
      <c r="I16" s="113"/>
      <c r="J16" s="113"/>
      <c r="K16" s="114" t="s">
        <v>22</v>
      </c>
      <c r="L16" s="102" t="s">
        <v>18</v>
      </c>
      <c r="M16" s="453"/>
      <c r="N16" s="453"/>
      <c r="O16" s="453"/>
      <c r="P16" s="453"/>
      <c r="Q16" s="453"/>
      <c r="R16" s="453"/>
      <c r="S16" s="453"/>
      <c r="T16" s="453"/>
      <c r="U16" s="453"/>
      <c r="V16" s="453"/>
      <c r="W16" s="453"/>
      <c r="X16" s="358">
        <f>+IF(H16="l",IF(COUNTA(M15:W15)=AJ17+0.25,Z15-K15*AJ17,Z15-(K15*COUNTA(M15:W15))),IF(H16="s",0,IF(COUNTA(M15:W15)=AJ17+0.25,SUMIF($C:$C,B15,$Z:$Z)-K15*AJ17,SUMIF($C:$C,B15,$Z:$Z)-K15*COUNTA(M15:W15))))</f>
        <v>0</v>
      </c>
      <c r="Y16" s="534"/>
      <c r="Z16" s="359">
        <f t="shared" si="7"/>
        <v>0</v>
      </c>
      <c r="AA16" s="360"/>
      <c r="AB16" s="360"/>
      <c r="AC16" s="362"/>
      <c r="AD16" s="363"/>
      <c r="AE16" s="346"/>
      <c r="AF16" s="347"/>
      <c r="AG16" s="341"/>
      <c r="AH16" s="341"/>
      <c r="AI16" s="341"/>
      <c r="AJ16" s="348"/>
      <c r="AK16" s="349"/>
      <c r="AL16" s="341"/>
      <c r="AM16" s="341"/>
      <c r="AN16" s="341"/>
      <c r="AO16" s="341"/>
      <c r="AP16" s="438"/>
      <c r="AQ16" s="434"/>
      <c r="AS16" s="390"/>
      <c r="AU16" s="390"/>
    </row>
    <row r="17" spans="2:57" s="98" customFormat="1" ht="62.25" customHeight="1" thickBot="1" x14ac:dyDescent="0.95">
      <c r="B17" s="364">
        <f>+B15</f>
        <v>3</v>
      </c>
      <c r="C17" s="410"/>
      <c r="D17" s="174"/>
      <c r="E17" s="175">
        <f>+E16+100</f>
        <v>103</v>
      </c>
      <c r="F17" s="175"/>
      <c r="G17" s="444">
        <f>+SUMPRODUCT((M16:W16&lt;&gt;"")*(M16:W16&lt;&gt;0)*(M16:W16-K17))</f>
        <v>0</v>
      </c>
      <c r="H17" s="117"/>
      <c r="I17" s="442"/>
      <c r="J17" s="165" t="str">
        <f>+IF(K17="","",IF(K15=0,"",(K15*J15)/(K17*60)))</f>
        <v/>
      </c>
      <c r="K17" s="118"/>
      <c r="L17" s="104" t="s">
        <v>19</v>
      </c>
      <c r="M17" s="455"/>
      <c r="N17" s="455"/>
      <c r="O17" s="455"/>
      <c r="P17" s="455"/>
      <c r="Q17" s="455"/>
      <c r="R17" s="455"/>
      <c r="S17" s="455"/>
      <c r="T17" s="455"/>
      <c r="U17" s="455"/>
      <c r="V17" s="455"/>
      <c r="W17" s="455"/>
      <c r="X17" s="451"/>
      <c r="Y17" s="371"/>
      <c r="Z17" s="366">
        <f t="shared" si="7"/>
        <v>0</v>
      </c>
      <c r="AA17" s="367"/>
      <c r="AB17" s="367"/>
      <c r="AC17" s="368" t="str">
        <f>+IFERROR(AC15/(K15*$AP$3),"")</f>
        <v/>
      </c>
      <c r="AD17" s="369"/>
      <c r="AE17" s="347"/>
      <c r="AF17" s="347"/>
      <c r="AG17" s="341"/>
      <c r="AH17" s="341"/>
      <c r="AI17" s="356"/>
      <c r="AJ17" s="370">
        <f>+$AI$4</f>
        <v>8.75</v>
      </c>
      <c r="AK17" s="349"/>
      <c r="AL17" s="341"/>
      <c r="AM17" s="341"/>
      <c r="AN17" s="341"/>
      <c r="AO17" s="341"/>
      <c r="AP17" s="369"/>
      <c r="AQ17" s="434"/>
      <c r="AS17" s="390" t="s">
        <v>416</v>
      </c>
      <c r="AU17" s="390"/>
    </row>
    <row r="18" spans="2:57" s="98" customFormat="1" ht="62.25" customHeight="1" thickTop="1" x14ac:dyDescent="0.9">
      <c r="B18" s="342">
        <f>+B19</f>
        <v>4</v>
      </c>
      <c r="C18" s="405"/>
      <c r="D18" s="106"/>
      <c r="E18" s="106"/>
      <c r="F18" s="106"/>
      <c r="G18" s="439" t="str">
        <f>+G19</f>
        <v>2215-518-800</v>
      </c>
      <c r="H18" s="106"/>
      <c r="I18" s="106"/>
      <c r="J18" s="107" t="s">
        <v>20</v>
      </c>
      <c r="K18" s="108" t="s">
        <v>23</v>
      </c>
      <c r="L18" s="100" t="s">
        <v>21</v>
      </c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7" t="str">
        <f t="shared" si="0"/>
        <v/>
      </c>
      <c r="Y18" s="533">
        <f>+X20</f>
        <v>0</v>
      </c>
      <c r="Z18" s="450">
        <f t="shared" si="1"/>
        <v>0</v>
      </c>
      <c r="AA18" s="343">
        <f>+AB18+Z18</f>
        <v>8547</v>
      </c>
      <c r="AB18" s="343">
        <v>8547</v>
      </c>
      <c r="AC18" s="344"/>
      <c r="AD18" s="345"/>
      <c r="AE18" s="346"/>
      <c r="AF18" s="347">
        <f t="shared" si="2"/>
        <v>0</v>
      </c>
      <c r="AG18" s="341">
        <f t="shared" si="3"/>
        <v>0</v>
      </c>
      <c r="AH18" s="341"/>
      <c r="AI18" s="341"/>
      <c r="AJ18" s="348"/>
      <c r="AK18" s="349"/>
      <c r="AL18" s="341"/>
      <c r="AM18" s="341"/>
      <c r="AN18" s="341"/>
      <c r="AO18" s="341"/>
      <c r="AP18" s="350"/>
      <c r="AQ18" s="434"/>
      <c r="AS18" s="390"/>
      <c r="AU18" s="390"/>
    </row>
    <row r="19" spans="2:57" s="98" customFormat="1" ht="62.25" customHeight="1" x14ac:dyDescent="0.9">
      <c r="B19" s="351">
        <v>4</v>
      </c>
      <c r="C19" s="406">
        <f>+B19</f>
        <v>4</v>
      </c>
      <c r="D19" s="407" t="s">
        <v>423</v>
      </c>
      <c r="E19" s="111"/>
      <c r="F19" s="111" t="s">
        <v>35</v>
      </c>
      <c r="G19" s="106" t="s">
        <v>424</v>
      </c>
      <c r="H19" s="111"/>
      <c r="I19" s="111" t="s">
        <v>33</v>
      </c>
      <c r="J19" s="113">
        <v>33.42</v>
      </c>
      <c r="K19" s="130">
        <v>61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352">
        <f>+IF(H20="s",0,IF(Z19=0,0,IF(COUNTA(M19:W19)=AJ21+0.25,SUMIF($C:$C,B19,$Z:$Z)/AJ21+0.25,SUMIF($C:$C,B19,$Z:$Z)/(COUNTA(M19:W19)))))</f>
        <v>0</v>
      </c>
      <c r="Y19" s="534"/>
      <c r="Z19" s="353">
        <f t="shared" si="1"/>
        <v>0</v>
      </c>
      <c r="AA19" s="354">
        <f>+Z19+AB19</f>
        <v>7764</v>
      </c>
      <c r="AB19" s="354">
        <v>7764</v>
      </c>
      <c r="AC19" s="355">
        <f>+AA18-AA19</f>
        <v>783</v>
      </c>
      <c r="AD19" s="131" t="str">
        <f>+IF(((Z20+(Z21/2))*60)=0,"",(J19*Z19)/((Z20+(Z21/2))*60))</f>
        <v/>
      </c>
      <c r="AE19" s="347">
        <f>+Z20+Z21/2</f>
        <v>0</v>
      </c>
      <c r="AF19" s="347">
        <f t="shared" si="2"/>
        <v>0</v>
      </c>
      <c r="AG19" s="341">
        <f t="shared" si="3"/>
        <v>0</v>
      </c>
      <c r="AH19" s="341">
        <f>+Z19*J19</f>
        <v>0</v>
      </c>
      <c r="AI19" s="356">
        <f>+Z19-(AE19*K19/K21)</f>
        <v>0</v>
      </c>
      <c r="AJ19" s="348"/>
      <c r="AK19" s="349"/>
      <c r="AL19" s="341"/>
      <c r="AM19" s="341"/>
      <c r="AN19" s="341"/>
      <c r="AO19" s="341"/>
      <c r="AP19" s="339" t="str">
        <f t="shared" si="8"/>
        <v/>
      </c>
      <c r="AQ19" s="434"/>
      <c r="AS19" s="390">
        <v>783</v>
      </c>
      <c r="AU19" s="390">
        <f t="shared" ref="AU19" si="10">+AS19-AC19</f>
        <v>0</v>
      </c>
    </row>
    <row r="20" spans="2:57" s="98" customFormat="1" ht="62.25" customHeight="1" x14ac:dyDescent="0.9">
      <c r="B20" s="357">
        <f>+B19</f>
        <v>4</v>
      </c>
      <c r="C20" s="408"/>
      <c r="D20" s="184"/>
      <c r="E20" s="111">
        <f>+B19</f>
        <v>4</v>
      </c>
      <c r="F20" s="409"/>
      <c r="G20" s="113">
        <f>+IFERROR(IF(K21=0,0,IF((LOOKUP(2,1/(M20:W20&lt;&gt;""),M20:W20)-K21)&lt;0,0,IF(K21=0,"",LOOKUP(2,1/(M20:W20&lt;&gt;""),M20:W20)-K21))),0)</f>
        <v>0</v>
      </c>
      <c r="H20" s="411"/>
      <c r="I20" s="113"/>
      <c r="J20" s="113">
        <v>0</v>
      </c>
      <c r="K20" s="114" t="s">
        <v>22</v>
      </c>
      <c r="L20" s="102" t="s">
        <v>18</v>
      </c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358">
        <f>+IF(H20="l",IF(COUNTA(M19:W19)=AJ21+0.25,Z19-K19*AJ21,Z19-(K19*COUNTA(M19:W19))),IF(H20="s",0,IF(COUNTA(M19:W19)=AJ21+0.25,SUMIF($C:$C,B19,$Z:$Z)-K19*AJ21,SUMIF($C:$C,B19,$Z:$Z)-K19*COUNTA(M19:W19))))</f>
        <v>0</v>
      </c>
      <c r="Y20" s="534"/>
      <c r="Z20" s="359">
        <f t="shared" si="7"/>
        <v>0</v>
      </c>
      <c r="AA20" s="360"/>
      <c r="AB20" s="360"/>
      <c r="AC20" s="362"/>
      <c r="AD20" s="363"/>
      <c r="AE20" s="346"/>
      <c r="AF20" s="347">
        <f t="shared" si="2"/>
        <v>0</v>
      </c>
      <c r="AG20" s="341">
        <f t="shared" si="3"/>
        <v>0</v>
      </c>
      <c r="AH20" s="341"/>
      <c r="AI20" s="341"/>
      <c r="AJ20" s="348"/>
      <c r="AK20" s="349">
        <f>+IF(AJ21=7.75,SUM(M20:S20)+T20*0.75,IF(AJ21=8,SUM(M20:T20),IF(AJ21=7.25,SUM(M20:S20)+T20*0.25,IF(AJ21=8.25,SUM(M20:T20)+U20*0.25,IF(AJ21=8.75,SUM(M20:T20)+U20*0.75,0)))))</f>
        <v>0</v>
      </c>
      <c r="AL20" s="341">
        <f>+AK20-Z20</f>
        <v>0</v>
      </c>
      <c r="AM20" s="341"/>
      <c r="AN20" s="341"/>
      <c r="AO20" s="341"/>
      <c r="AP20" s="438"/>
      <c r="AQ20" s="434"/>
      <c r="AS20" s="390"/>
      <c r="AU20" s="390"/>
    </row>
    <row r="21" spans="2:57" s="98" customFormat="1" ht="62.25" customHeight="1" thickBot="1" x14ac:dyDescent="0.95">
      <c r="B21" s="364">
        <f>+B19</f>
        <v>4</v>
      </c>
      <c r="C21" s="410"/>
      <c r="D21" s="174" t="s">
        <v>420</v>
      </c>
      <c r="E21" s="175">
        <f>+E20+100</f>
        <v>104</v>
      </c>
      <c r="F21" s="175"/>
      <c r="G21" s="444">
        <f>+SUMPRODUCT((M20:W20&lt;&gt;"")*(M20:W20&lt;&gt;0)*(M20:W20-K21))</f>
        <v>0</v>
      </c>
      <c r="H21" s="117"/>
      <c r="I21" s="442"/>
      <c r="J21" s="165">
        <f>+IF(K21="","",IF(K19=0,"",(K19*J19)/(K21*60)))</f>
        <v>0.8941315789473685</v>
      </c>
      <c r="K21" s="118">
        <v>38</v>
      </c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451"/>
      <c r="Y21" s="365">
        <v>24.63</v>
      </c>
      <c r="Z21" s="366">
        <f t="shared" si="7"/>
        <v>0</v>
      </c>
      <c r="AA21" s="367"/>
      <c r="AB21" s="367"/>
      <c r="AC21" s="368">
        <f>+IFERROR(AC19/(K19*$AP$3),"")</f>
        <v>1.4669789227166277</v>
      </c>
      <c r="AD21" s="369"/>
      <c r="AE21" s="347"/>
      <c r="AF21" s="347">
        <f t="shared" si="2"/>
        <v>0</v>
      </c>
      <c r="AG21" s="341">
        <f t="shared" si="3"/>
        <v>0</v>
      </c>
      <c r="AH21" s="341"/>
      <c r="AI21" s="356"/>
      <c r="AJ21" s="370">
        <f>+$AI$4</f>
        <v>8.75</v>
      </c>
      <c r="AK21" s="349">
        <f>+IF(AJ21=7.75,SUM(M21:S21)+T21*0.75,IF(AJ21=8,SUM(M21:T21),IF(AJ21=7.25,SUM(M21:S21)+T21*0.25,IF(AJ21=8.25,SUM(M21:T21)+U21*0.25,IF(AJ21=8.75,SUM(M21:T21)+U21*0.75,0)))))</f>
        <v>0</v>
      </c>
      <c r="AL21" s="341">
        <f>+AK21-Z21</f>
        <v>0</v>
      </c>
      <c r="AM21" s="341"/>
      <c r="AN21" s="341"/>
      <c r="AO21" s="341"/>
      <c r="AP21" s="369"/>
      <c r="AQ21" s="434"/>
      <c r="AS21" s="390">
        <v>1.4669789227166277</v>
      </c>
      <c r="AU21" s="390"/>
    </row>
    <row r="22" spans="2:57" s="98" customFormat="1" ht="62.25" customHeight="1" thickTop="1" x14ac:dyDescent="0.9">
      <c r="B22" s="342">
        <f>+B23</f>
        <v>5</v>
      </c>
      <c r="C22" s="405"/>
      <c r="D22" s="106"/>
      <c r="E22" s="106"/>
      <c r="F22" s="106"/>
      <c r="G22" s="439" t="str">
        <f>+G23</f>
        <v>ATENAS-203645</v>
      </c>
      <c r="H22" s="106"/>
      <c r="I22" s="111"/>
      <c r="J22" s="107" t="s">
        <v>20</v>
      </c>
      <c r="K22" s="108" t="s">
        <v>23</v>
      </c>
      <c r="L22" s="100" t="s">
        <v>21</v>
      </c>
      <c r="M22" s="448">
        <v>100</v>
      </c>
      <c r="N22" s="448">
        <v>50</v>
      </c>
      <c r="O22" s="448"/>
      <c r="P22" s="448"/>
      <c r="Q22" s="448"/>
      <c r="R22" s="448"/>
      <c r="S22" s="448"/>
      <c r="T22" s="448"/>
      <c r="U22" s="448"/>
      <c r="V22" s="448"/>
      <c r="W22" s="448"/>
      <c r="X22" s="447">
        <f t="shared" si="0"/>
        <v>150</v>
      </c>
      <c r="Y22" s="533">
        <f>+X24</f>
        <v>-108.25</v>
      </c>
      <c r="Z22" s="450">
        <f t="shared" si="1"/>
        <v>150</v>
      </c>
      <c r="AA22" s="343">
        <f>+AB22+Z22</f>
        <v>2096</v>
      </c>
      <c r="AB22" s="343">
        <v>1946</v>
      </c>
      <c r="AC22" s="344"/>
      <c r="AD22" s="345"/>
      <c r="AE22" s="346"/>
      <c r="AF22" s="347">
        <f t="shared" si="2"/>
        <v>0</v>
      </c>
      <c r="AG22" s="341">
        <f t="shared" si="3"/>
        <v>0</v>
      </c>
      <c r="AH22" s="341"/>
      <c r="AI22" s="341"/>
      <c r="AJ22" s="348"/>
      <c r="AK22" s="349"/>
      <c r="AL22" s="341"/>
      <c r="AM22" s="341"/>
      <c r="AN22" s="341"/>
      <c r="AO22" s="341"/>
      <c r="AP22" s="350"/>
      <c r="AQ22" s="434"/>
      <c r="AS22" s="390"/>
      <c r="AU22" s="390"/>
    </row>
    <row r="23" spans="2:57" s="98" customFormat="1" ht="62.25" customHeight="1" x14ac:dyDescent="0.9">
      <c r="B23" s="351">
        <v>5</v>
      </c>
      <c r="C23" s="406">
        <f>+B23</f>
        <v>5</v>
      </c>
      <c r="D23" s="407" t="s">
        <v>433</v>
      </c>
      <c r="E23" s="111"/>
      <c r="F23" s="111" t="s">
        <v>428</v>
      </c>
      <c r="G23" s="106" t="s">
        <v>434</v>
      </c>
      <c r="H23" s="111"/>
      <c r="I23" s="111" t="s">
        <v>33</v>
      </c>
      <c r="J23" s="113">
        <v>61</v>
      </c>
      <c r="K23" s="130">
        <v>47</v>
      </c>
      <c r="L23" s="101" t="s">
        <v>17</v>
      </c>
      <c r="M23" s="214">
        <v>40</v>
      </c>
      <c r="N23" s="214">
        <v>40</v>
      </c>
      <c r="O23" s="214">
        <v>40</v>
      </c>
      <c r="P23" s="214">
        <v>28</v>
      </c>
      <c r="Q23" s="214">
        <v>40</v>
      </c>
      <c r="R23" s="214">
        <v>40</v>
      </c>
      <c r="S23" s="214">
        <v>18</v>
      </c>
      <c r="T23" s="214">
        <v>40</v>
      </c>
      <c r="U23" s="214">
        <v>17</v>
      </c>
      <c r="V23" s="214"/>
      <c r="W23" s="214"/>
      <c r="X23" s="352">
        <f>+IF(H24="s",0,IF(Z23=0,0,IF(COUNTA(M23:W23)=AJ25+0.25,SUMIF($C:$C,B23,$Z:$Z)/AJ25+0.25,SUMIF($C:$C,B23,$Z:$Z)/(COUNTA(M23:W23)))))</f>
        <v>34.878571428571426</v>
      </c>
      <c r="Y23" s="534"/>
      <c r="Z23" s="353">
        <f t="shared" si="1"/>
        <v>303</v>
      </c>
      <c r="AA23" s="354">
        <f>+Z23+AB23</f>
        <v>1287</v>
      </c>
      <c r="AB23" s="354">
        <v>984</v>
      </c>
      <c r="AC23" s="355">
        <f>+AA22-AA23</f>
        <v>809</v>
      </c>
      <c r="AD23" s="131">
        <f>+IF(((Z24+(Z25/2))*60)=0,"",(J23*Z23)/((Z24+(Z25/2))*60))</f>
        <v>0.62867346938775515</v>
      </c>
      <c r="AE23" s="347">
        <f>+Z24+Z25/2</f>
        <v>490</v>
      </c>
      <c r="AF23" s="347">
        <f t="shared" si="2"/>
        <v>490</v>
      </c>
      <c r="AG23" s="341">
        <f t="shared" si="3"/>
        <v>29400</v>
      </c>
      <c r="AH23" s="341">
        <f>+Z23*J23</f>
        <v>18483</v>
      </c>
      <c r="AI23" s="356">
        <f>+Z23-(AE23*K23/K25)</f>
        <v>-108.25</v>
      </c>
      <c r="AJ23" s="348"/>
      <c r="AK23" s="349"/>
      <c r="AL23" s="341"/>
      <c r="AM23" s="341"/>
      <c r="AN23" s="341"/>
      <c r="AO23" s="341"/>
      <c r="AP23" s="339">
        <f t="shared" si="8"/>
        <v>42.75</v>
      </c>
      <c r="AQ23" s="434">
        <v>1.6</v>
      </c>
      <c r="AS23" s="390">
        <v>962</v>
      </c>
      <c r="AU23" s="390">
        <f t="shared" ref="AU23" si="11">+AS23-AC23</f>
        <v>153</v>
      </c>
    </row>
    <row r="24" spans="2:57" s="98" customFormat="1" ht="62.25" customHeight="1" x14ac:dyDescent="0.9">
      <c r="B24" s="357">
        <f>B23</f>
        <v>5</v>
      </c>
      <c r="C24" s="408"/>
      <c r="D24" s="184"/>
      <c r="E24" s="111">
        <f>+B23</f>
        <v>5</v>
      </c>
      <c r="F24" s="412"/>
      <c r="G24" s="113">
        <f>+IFERROR(IF(K25=0,0,IF((LOOKUP(2,1/(M24:W24&lt;&gt;""),M24:W24)-K25)&lt;0,0,IF(K25=0,"",LOOKUP(2,1/(M24:W24&lt;&gt;""),M24:W24)-K25))),0)</f>
        <v>0</v>
      </c>
      <c r="H24" s="411"/>
      <c r="I24" s="113"/>
      <c r="J24" s="113">
        <v>1</v>
      </c>
      <c r="K24" s="114" t="s">
        <v>22</v>
      </c>
      <c r="L24" s="102" t="s">
        <v>18</v>
      </c>
      <c r="M24" s="448">
        <v>56</v>
      </c>
      <c r="N24" s="448">
        <v>56</v>
      </c>
      <c r="O24" s="448">
        <v>56</v>
      </c>
      <c r="P24" s="448">
        <v>56</v>
      </c>
      <c r="Q24" s="448">
        <v>56</v>
      </c>
      <c r="R24" s="448">
        <v>56</v>
      </c>
      <c r="S24" s="448">
        <v>56</v>
      </c>
      <c r="T24" s="448">
        <v>56</v>
      </c>
      <c r="U24" s="448">
        <v>56</v>
      </c>
      <c r="V24" s="448"/>
      <c r="W24" s="448"/>
      <c r="X24" s="358">
        <f>+IF(H24="l",IF(COUNTA(M23:W23)=AJ25+0.25,Z23-K23*AJ25,Z23-(K23*COUNTA(M23:W23))),IF(H24="s",0,IF(COUNTA(M23:W23)=AJ25+0.25,SUMIF($C:$C,B23,$Z:$Z)-K23*AJ25,SUMIF($C:$C,B23,$Z:$Z)-K23*COUNTA(M23:W23))))</f>
        <v>-108.25</v>
      </c>
      <c r="Y24" s="534"/>
      <c r="Z24" s="359">
        <f t="shared" si="7"/>
        <v>490</v>
      </c>
      <c r="AA24" s="360"/>
      <c r="AB24" s="360"/>
      <c r="AC24" s="362"/>
      <c r="AD24" s="363"/>
      <c r="AE24" s="346"/>
      <c r="AF24" s="347">
        <f t="shared" si="2"/>
        <v>0</v>
      </c>
      <c r="AG24" s="341">
        <f t="shared" si="3"/>
        <v>0</v>
      </c>
      <c r="AH24" s="341"/>
      <c r="AI24" s="356"/>
      <c r="AJ24" s="348"/>
      <c r="AK24" s="349">
        <f>+IF(AJ25=7.75,SUM(M24:S24)+T24*0.75,IF(AJ25=8,SUM(M24:T24),IF(AJ25=7.25,SUM(M24:S24)+T24*0.25,IF(AJ25=8.25,SUM(M24:T24)+U24*0.25,IF(AJ25=8.75,SUM(M24:T24)+U24*0.75,0)))))</f>
        <v>490</v>
      </c>
      <c r="AL24" s="341">
        <f>+AK24-Z24</f>
        <v>0</v>
      </c>
      <c r="AM24" s="341"/>
      <c r="AN24" s="341"/>
      <c r="AO24" s="341"/>
      <c r="AP24" s="438"/>
      <c r="AQ24" s="434"/>
      <c r="AS24" s="390"/>
      <c r="AU24" s="390"/>
    </row>
    <row r="25" spans="2:57" s="98" customFormat="1" ht="62.25" customHeight="1" thickBot="1" x14ac:dyDescent="0.95">
      <c r="B25" s="364">
        <f>B23</f>
        <v>5</v>
      </c>
      <c r="C25" s="410"/>
      <c r="D25" s="174" t="s">
        <v>380</v>
      </c>
      <c r="E25" s="175">
        <f>+E24+100</f>
        <v>105</v>
      </c>
      <c r="F25" s="175"/>
      <c r="G25" s="444">
        <f>+SUMPRODUCT((M24:W24&lt;&gt;"")*(M24:W24&lt;&gt;0)*(M24:W24-K25))</f>
        <v>0</v>
      </c>
      <c r="H25" s="117"/>
      <c r="I25" s="442"/>
      <c r="J25" s="165">
        <f>+IF(K25="","",IF(K23=0,"",(K23*J23)/(K25*60)))</f>
        <v>0.85327380952380949</v>
      </c>
      <c r="K25" s="118">
        <v>56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451"/>
      <c r="Y25" s="371">
        <f>42.26+IF(COUNTA(M23:W23)=$AI$4+0.25,$AI$4-(Z23/K23),COUNTA(M23:W23)-(Z23/K23))</f>
        <v>44.563191489361699</v>
      </c>
      <c r="Z25" s="366">
        <f t="shared" si="7"/>
        <v>0</v>
      </c>
      <c r="AA25" s="367"/>
      <c r="AB25" s="367"/>
      <c r="AC25" s="368">
        <f>+IFERROR(AC23/(K23*$AP$3),"")</f>
        <v>1.9671732522796352</v>
      </c>
      <c r="AD25" s="369"/>
      <c r="AE25" s="347"/>
      <c r="AF25" s="347">
        <f t="shared" si="2"/>
        <v>0</v>
      </c>
      <c r="AG25" s="341">
        <f t="shared" si="3"/>
        <v>0</v>
      </c>
      <c r="AH25" s="341"/>
      <c r="AI25" s="356"/>
      <c r="AJ25" s="370">
        <f>+$AI$4</f>
        <v>8.75</v>
      </c>
      <c r="AK25" s="349">
        <f>+IF(AJ25=7.75,SUM(M25:S25)+T25*0.75,IF(AJ25=8,SUM(M25:T25),IF(AJ25=7.25,SUM(M25:S25)+T25*0.25,IF(AJ25=8.25,SUM(M25:T25)+U25*0.25,IF(AJ25=8.75,SUM(M25:T25)+U25*0.75,0)))))</f>
        <v>0</v>
      </c>
      <c r="AL25" s="341">
        <f>+AK25-Z25</f>
        <v>0</v>
      </c>
      <c r="AM25" s="341"/>
      <c r="AN25" s="341"/>
      <c r="AO25" s="341"/>
      <c r="AP25" s="369"/>
      <c r="AQ25" s="434"/>
      <c r="AS25" s="390">
        <v>2.339209726443769</v>
      </c>
      <c r="AU25" s="390"/>
    </row>
    <row r="26" spans="2:57" s="98" customFormat="1" ht="62.25" customHeight="1" thickTop="1" x14ac:dyDescent="0.9">
      <c r="B26" s="342">
        <f>+B27</f>
        <v>6</v>
      </c>
      <c r="C26" s="405"/>
      <c r="D26" s="106"/>
      <c r="E26" s="106"/>
      <c r="F26" s="106"/>
      <c r="G26" s="439" t="str">
        <f>+G27</f>
        <v>2076-780-803</v>
      </c>
      <c r="H26" s="106"/>
      <c r="I26" s="111"/>
      <c r="J26" s="107" t="s">
        <v>20</v>
      </c>
      <c r="K26" s="108">
        <v>0</v>
      </c>
      <c r="L26" s="100" t="s">
        <v>21</v>
      </c>
      <c r="M26" s="448"/>
      <c r="N26" s="448"/>
      <c r="O26" s="448">
        <v>80</v>
      </c>
      <c r="P26" s="448">
        <v>80</v>
      </c>
      <c r="Q26" s="448">
        <v>80</v>
      </c>
      <c r="R26" s="448">
        <v>80</v>
      </c>
      <c r="S26" s="448">
        <v>80</v>
      </c>
      <c r="T26" s="448">
        <v>80</v>
      </c>
      <c r="U26" s="448"/>
      <c r="V26" s="448"/>
      <c r="W26" s="448"/>
      <c r="X26" s="447">
        <f t="shared" si="0"/>
        <v>480</v>
      </c>
      <c r="Y26" s="533">
        <f>+X28</f>
        <v>-23.5</v>
      </c>
      <c r="Z26" s="450">
        <f t="shared" si="1"/>
        <v>480</v>
      </c>
      <c r="AA26" s="343">
        <f>+AB26+Z26</f>
        <v>2641</v>
      </c>
      <c r="AB26" s="343">
        <v>2161</v>
      </c>
      <c r="AC26" s="344"/>
      <c r="AD26" s="345"/>
      <c r="AE26" s="346"/>
      <c r="AF26" s="347">
        <f t="shared" si="2"/>
        <v>0</v>
      </c>
      <c r="AG26" s="341">
        <f t="shared" si="3"/>
        <v>0</v>
      </c>
      <c r="AH26" s="341"/>
      <c r="AI26" s="341"/>
      <c r="AJ26" s="348"/>
      <c r="AK26" s="349"/>
      <c r="AL26" s="341"/>
      <c r="AM26" s="341"/>
      <c r="AN26" s="341"/>
      <c r="AO26" s="341"/>
      <c r="AP26" s="350"/>
      <c r="AQ26" s="434"/>
      <c r="AS26" s="390"/>
      <c r="AU26" s="390"/>
    </row>
    <row r="27" spans="2:57" s="98" customFormat="1" ht="62.25" customHeight="1" x14ac:dyDescent="1.35">
      <c r="B27" s="351">
        <v>6</v>
      </c>
      <c r="C27" s="406">
        <f>+B27</f>
        <v>6</v>
      </c>
      <c r="D27" s="407" t="s">
        <v>436</v>
      </c>
      <c r="E27" s="111"/>
      <c r="F27" s="111" t="s">
        <v>35</v>
      </c>
      <c r="G27" s="106" t="s">
        <v>435</v>
      </c>
      <c r="H27" s="111"/>
      <c r="I27" s="111" t="s">
        <v>38</v>
      </c>
      <c r="J27" s="113">
        <v>38.729999999999997</v>
      </c>
      <c r="K27" s="130">
        <v>58</v>
      </c>
      <c r="L27" s="101" t="s">
        <v>17</v>
      </c>
      <c r="M27" s="214">
        <v>40</v>
      </c>
      <c r="N27" s="214">
        <v>57</v>
      </c>
      <c r="O27" s="214">
        <v>58</v>
      </c>
      <c r="P27" s="214">
        <v>58</v>
      </c>
      <c r="Q27" s="214">
        <v>58</v>
      </c>
      <c r="R27" s="214">
        <v>58</v>
      </c>
      <c r="S27" s="214">
        <v>57</v>
      </c>
      <c r="T27" s="214">
        <v>58</v>
      </c>
      <c r="U27" s="214">
        <v>40</v>
      </c>
      <c r="V27" s="214"/>
      <c r="W27" s="214"/>
      <c r="X27" s="352">
        <f>+IF(H28="s",0,IF(Z27=0,0,IF(COUNTA(M27:W27)=AJ29+0.25,SUMIF($C:$C,B27,$Z:$Z)/AJ29+0.25,SUMIF($C:$C,B27,$Z:$Z)/(COUNTA(M27:W27)))))</f>
        <v>55.564285714285717</v>
      </c>
      <c r="Y27" s="534"/>
      <c r="Z27" s="353">
        <f t="shared" si="1"/>
        <v>484</v>
      </c>
      <c r="AA27" s="354">
        <f>+Z27+AB27</f>
        <v>1918</v>
      </c>
      <c r="AB27" s="354">
        <v>1434</v>
      </c>
      <c r="AC27" s="355">
        <f>+AA26-AA27</f>
        <v>723</v>
      </c>
      <c r="AD27" s="131">
        <f>+IF(((Z28+(Z29/2))*60)=0,"",(J27*Z27)/((Z28+(Z29/2))*60))</f>
        <v>0.83479492317969273</v>
      </c>
      <c r="AE27" s="347">
        <f>+Z28+Z29/2</f>
        <v>374.25</v>
      </c>
      <c r="AF27" s="347">
        <f t="shared" si="2"/>
        <v>374.15</v>
      </c>
      <c r="AG27" s="341">
        <f t="shared" si="3"/>
        <v>22455</v>
      </c>
      <c r="AH27" s="341">
        <f>+Z27*J27</f>
        <v>18745.32</v>
      </c>
      <c r="AI27" s="356">
        <f>+Z27-(AE27*K27/K29)</f>
        <v>-32.821428571428555</v>
      </c>
      <c r="AJ27" s="348"/>
      <c r="AK27" s="349"/>
      <c r="AL27" s="341"/>
      <c r="AM27" s="341"/>
      <c r="AN27" s="341"/>
      <c r="AO27" s="341"/>
      <c r="AP27" s="339">
        <f t="shared" si="8"/>
        <v>-61.75</v>
      </c>
      <c r="AQ27" s="434">
        <v>1.5</v>
      </c>
      <c r="AS27" s="390">
        <v>727</v>
      </c>
      <c r="AU27" s="390">
        <f t="shared" ref="AU27" si="12">+AS27-AC27</f>
        <v>4</v>
      </c>
      <c r="AV27" s="535" t="s">
        <v>473</v>
      </c>
      <c r="AW27" s="535"/>
      <c r="AX27" s="535"/>
      <c r="AY27" s="535"/>
      <c r="AZ27" s="535"/>
      <c r="BA27" s="535"/>
      <c r="BB27" s="535"/>
      <c r="BC27" s="535"/>
      <c r="BD27" s="535"/>
      <c r="BE27" s="535"/>
    </row>
    <row r="28" spans="2:57" s="98" customFormat="1" ht="62.25" customHeight="1" x14ac:dyDescent="0.9">
      <c r="B28" s="357">
        <f>B27</f>
        <v>6</v>
      </c>
      <c r="C28" s="408"/>
      <c r="D28" s="184"/>
      <c r="E28" s="111">
        <f>+B27</f>
        <v>6</v>
      </c>
      <c r="F28" s="409"/>
      <c r="G28" s="113">
        <f>+IFERROR(IF(K29=0,0,IF((LOOKUP(2,1/(M28:W28&lt;&gt;""),M28:W28)-K29)&lt;0,0,IF(K29=0,"",LOOKUP(2,1/(M28:W28&lt;&gt;""),M28:W28)-K29))),0)</f>
        <v>1</v>
      </c>
      <c r="H28" s="411" t="s">
        <v>413</v>
      </c>
      <c r="I28" s="113"/>
      <c r="J28" s="113">
        <v>0</v>
      </c>
      <c r="K28" s="114" t="s">
        <v>22</v>
      </c>
      <c r="L28" s="102" t="s">
        <v>18</v>
      </c>
      <c r="M28" s="448">
        <v>41</v>
      </c>
      <c r="N28" s="448">
        <v>43</v>
      </c>
      <c r="O28" s="448">
        <v>43</v>
      </c>
      <c r="P28" s="448">
        <v>43</v>
      </c>
      <c r="Q28" s="448">
        <v>43</v>
      </c>
      <c r="R28" s="448">
        <v>43</v>
      </c>
      <c r="S28" s="448">
        <v>43</v>
      </c>
      <c r="T28" s="448">
        <v>43</v>
      </c>
      <c r="U28" s="448">
        <v>43</v>
      </c>
      <c r="V28" s="448"/>
      <c r="W28" s="448"/>
      <c r="X28" s="358">
        <f>+IF(H28="l",IF(COUNTA(M27:W27)=AJ29+0.25,Z27-K27*AJ29,Z27-(K27*COUNTA(M27:W27))),IF(H28="s",0,IF(COUNTA(M27:W27)=AJ29+0.25,SUMIF($C:$C,B27,$Z:$Z)-K27*AJ29,SUMIF($C:$C,B27,$Z:$Z)-K27*COUNTA(M27:W27))))</f>
        <v>-23.5</v>
      </c>
      <c r="Y28" s="534"/>
      <c r="Z28" s="359">
        <f t="shared" si="7"/>
        <v>374.25</v>
      </c>
      <c r="AA28" s="360"/>
      <c r="AB28" s="360"/>
      <c r="AC28" s="362"/>
      <c r="AD28" s="363"/>
      <c r="AE28" s="346"/>
      <c r="AF28" s="347">
        <f t="shared" si="2"/>
        <v>0</v>
      </c>
      <c r="AG28" s="341">
        <f t="shared" si="3"/>
        <v>0</v>
      </c>
      <c r="AH28" s="341"/>
      <c r="AI28" s="356"/>
      <c r="AJ28" s="348"/>
      <c r="AK28" s="349">
        <f>+IF(AJ29=7.75,SUM(M28:S28)+T28*0.75,IF(AJ29=8,SUM(M28:T28),IF(AJ29=7.25,SUM(M28:S28)+T28*0.25,IF(AJ29=8.25,SUM(M28:T28)+U28*0.25,IF(AJ29=8.75,SUM(M28:T28)+U28*0.75,0)))))</f>
        <v>374.25</v>
      </c>
      <c r="AL28" s="341">
        <f>+AK28-Z28</f>
        <v>0</v>
      </c>
      <c r="AM28" s="341"/>
      <c r="AN28" s="341"/>
      <c r="AO28" s="341"/>
      <c r="AP28" s="438"/>
      <c r="AQ28" s="434"/>
      <c r="AS28" s="390"/>
      <c r="AU28" s="390"/>
    </row>
    <row r="29" spans="2:57" s="98" customFormat="1" ht="62.25" customHeight="1" thickBot="1" x14ac:dyDescent="0.95">
      <c r="B29" s="364">
        <f>B27</f>
        <v>6</v>
      </c>
      <c r="C29" s="410"/>
      <c r="D29" s="174" t="s">
        <v>366</v>
      </c>
      <c r="E29" s="175">
        <f>+E28+100</f>
        <v>106</v>
      </c>
      <c r="F29" s="175"/>
      <c r="G29" s="444">
        <f>+SUMPRODUCT((M28:W28&lt;&gt;"")*(M28:W28&lt;&gt;0)*(M28:W28-K29))</f>
        <v>7</v>
      </c>
      <c r="H29" s="117"/>
      <c r="I29" s="442"/>
      <c r="J29" s="165">
        <f>+IF(K29="","",IF(K27=0,"",(K27*J27)/(K29*60)))</f>
        <v>0.89140476190476181</v>
      </c>
      <c r="K29" s="118">
        <v>42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451"/>
      <c r="Y29" s="371">
        <f>18.42+IF(COUNTA(M27:W27)=$AI$4+0.25,$AI$4-(Z27/K27),COUNTA(M27:W27)-(Z27/K27))</f>
        <v>18.825172413793105</v>
      </c>
      <c r="Z29" s="366">
        <f t="shared" si="7"/>
        <v>0</v>
      </c>
      <c r="AA29" s="367"/>
      <c r="AB29" s="367"/>
      <c r="AC29" s="368">
        <f>+IFERROR(AC27/(K27*$AP$3),"")</f>
        <v>1.4246305418719212</v>
      </c>
      <c r="AD29" s="369"/>
      <c r="AE29" s="347"/>
      <c r="AF29" s="347">
        <f t="shared" si="2"/>
        <v>0</v>
      </c>
      <c r="AG29" s="341">
        <f t="shared" si="3"/>
        <v>0</v>
      </c>
      <c r="AH29" s="341"/>
      <c r="AI29" s="356"/>
      <c r="AJ29" s="370">
        <f>+$AI$4</f>
        <v>8.75</v>
      </c>
      <c r="AK29" s="349">
        <f>+IF(AJ29=7.75,SUM(M29:S29)+T29*0.75,IF(AJ29=8,SUM(M29:T29),IF(AJ29=7.25,SUM(M29:S29)+T29*0.25,IF(AJ29=8.25,SUM(M29:T29)+U29*0.25,IF(AJ29=8.75,SUM(M29:T29)+U29*0.75,0)))))</f>
        <v>0</v>
      </c>
      <c r="AL29" s="341">
        <f>+AK29-Z29</f>
        <v>0</v>
      </c>
      <c r="AM29" s="341"/>
      <c r="AN29" s="341"/>
      <c r="AO29" s="341"/>
      <c r="AP29" s="369"/>
      <c r="AQ29" s="434"/>
      <c r="AS29" s="390">
        <v>1.4576441102756892</v>
      </c>
      <c r="AU29" s="390"/>
    </row>
    <row r="30" spans="2:57" s="98" customFormat="1" ht="62.25" customHeight="1" thickTop="1" x14ac:dyDescent="0.9">
      <c r="B30" s="342">
        <f>+B31</f>
        <v>7</v>
      </c>
      <c r="C30" s="405"/>
      <c r="D30" s="106"/>
      <c r="E30" s="106"/>
      <c r="F30" s="106"/>
      <c r="G30" s="439" t="str">
        <f>+G31</f>
        <v>2070-397-802</v>
      </c>
      <c r="H30" s="106"/>
      <c r="I30" s="106"/>
      <c r="J30" s="107" t="s">
        <v>20</v>
      </c>
      <c r="K30" s="108" t="s">
        <v>23</v>
      </c>
      <c r="L30" s="100" t="s">
        <v>21</v>
      </c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7" t="str">
        <f t="shared" si="0"/>
        <v/>
      </c>
      <c r="Y30" s="533">
        <f>+X32</f>
        <v>0</v>
      </c>
      <c r="Z30" s="450">
        <f t="shared" si="1"/>
        <v>0</v>
      </c>
      <c r="AA30" s="343">
        <f>+AB30+Z30</f>
        <v>3511</v>
      </c>
      <c r="AB30" s="343">
        <v>3511</v>
      </c>
      <c r="AC30" s="344"/>
      <c r="AD30" s="345"/>
      <c r="AE30" s="346"/>
      <c r="AF30" s="347">
        <f t="shared" si="2"/>
        <v>0</v>
      </c>
      <c r="AG30" s="341">
        <f t="shared" si="3"/>
        <v>0</v>
      </c>
      <c r="AH30" s="341"/>
      <c r="AI30" s="341"/>
      <c r="AJ30" s="348"/>
      <c r="AK30" s="349"/>
      <c r="AL30" s="341"/>
      <c r="AM30" s="341"/>
      <c r="AN30" s="341"/>
      <c r="AO30" s="341"/>
      <c r="AP30" s="350"/>
      <c r="AQ30" s="434"/>
      <c r="AS30" s="390"/>
      <c r="AU30" s="390"/>
    </row>
    <row r="31" spans="2:57" s="98" customFormat="1" ht="62.25" customHeight="1" x14ac:dyDescent="1.35">
      <c r="B31" s="351">
        <v>7</v>
      </c>
      <c r="C31" s="406">
        <f>+B31</f>
        <v>7</v>
      </c>
      <c r="D31" s="407" t="s">
        <v>425</v>
      </c>
      <c r="E31" s="111"/>
      <c r="F31" s="111" t="s">
        <v>35</v>
      </c>
      <c r="G31" s="106" t="s">
        <v>426</v>
      </c>
      <c r="H31" s="111"/>
      <c r="I31" s="111" t="s">
        <v>38</v>
      </c>
      <c r="J31" s="113">
        <v>39.299999999999997</v>
      </c>
      <c r="K31" s="130">
        <v>60</v>
      </c>
      <c r="L31" s="101" t="s">
        <v>17</v>
      </c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352">
        <f>+IF(H32="s",0,IF(Z31=0,0,IF(COUNTA(M31:W31)=AJ33+0.25,SUMIF($C:$C,B31,$Z:$Z)/AJ33+0.25,SUMIF($C:$C,B31,$Z:$Z)/(COUNTA(M31:W31)))))</f>
        <v>0</v>
      </c>
      <c r="Y31" s="534"/>
      <c r="Z31" s="353">
        <f t="shared" si="1"/>
        <v>0</v>
      </c>
      <c r="AA31" s="354">
        <f>+Z31+AB31</f>
        <v>3502</v>
      </c>
      <c r="AB31" s="354">
        <v>3502</v>
      </c>
      <c r="AC31" s="355">
        <f>+AA30-AA31</f>
        <v>9</v>
      </c>
      <c r="AD31" s="131" t="str">
        <f>+IF(((Z32+(Z33/2))*60)=0,"",(J31*Z31)/((Z32+(Z33/2))*60))</f>
        <v/>
      </c>
      <c r="AE31" s="347">
        <f>+Z32+Z33/2</f>
        <v>0</v>
      </c>
      <c r="AF31" s="347">
        <f t="shared" si="2"/>
        <v>0</v>
      </c>
      <c r="AG31" s="341">
        <f t="shared" si="3"/>
        <v>0</v>
      </c>
      <c r="AH31" s="341">
        <f>+Z31*J31</f>
        <v>0</v>
      </c>
      <c r="AI31" s="356">
        <f>+Z31-(AE31*K31/K33)</f>
        <v>0</v>
      </c>
      <c r="AJ31" s="348"/>
      <c r="AK31" s="349"/>
      <c r="AL31" s="341"/>
      <c r="AM31" s="341"/>
      <c r="AN31" s="341"/>
      <c r="AO31" s="341"/>
      <c r="AP31" s="339" t="str">
        <f t="shared" si="8"/>
        <v/>
      </c>
      <c r="AQ31" s="434"/>
      <c r="AS31" s="390">
        <v>9</v>
      </c>
      <c r="AU31" s="390">
        <f t="shared" ref="AU31" si="13">+AS31-AC31</f>
        <v>0</v>
      </c>
      <c r="AV31" s="535"/>
      <c r="AW31" s="535"/>
      <c r="AX31" s="535"/>
      <c r="AY31" s="535"/>
      <c r="AZ31" s="535"/>
      <c r="BA31" s="535"/>
      <c r="BB31" s="535"/>
      <c r="BC31" s="535"/>
      <c r="BD31" s="535"/>
      <c r="BE31" s="535"/>
    </row>
    <row r="32" spans="2:57" s="98" customFormat="1" ht="62.25" customHeight="1" x14ac:dyDescent="0.9">
      <c r="B32" s="357">
        <f>B31</f>
        <v>7</v>
      </c>
      <c r="C32" s="408"/>
      <c r="D32" s="184"/>
      <c r="E32" s="111">
        <f>+B31</f>
        <v>7</v>
      </c>
      <c r="F32" s="409"/>
      <c r="G32" s="113">
        <f>+IFERROR(IF(K33=0,0,IF((LOOKUP(2,1/(M32:W32&lt;&gt;""),M32:W32)-K33)&lt;0,0,IF(K33=0,"",LOOKUP(2,1/(M32:W32&lt;&gt;""),M32:W32)-K33))),0)</f>
        <v>0</v>
      </c>
      <c r="H32" s="411" t="s">
        <v>414</v>
      </c>
      <c r="I32" s="113"/>
      <c r="J32" s="113">
        <v>0</v>
      </c>
      <c r="K32" s="114" t="s">
        <v>22</v>
      </c>
      <c r="L32" s="102" t="s">
        <v>18</v>
      </c>
      <c r="M32" s="448"/>
      <c r="N32" s="448"/>
      <c r="O32" s="448"/>
      <c r="P32" s="448"/>
      <c r="Q32" s="448"/>
      <c r="R32" s="448"/>
      <c r="S32" s="448"/>
      <c r="T32" s="448"/>
      <c r="U32" s="448"/>
      <c r="V32" s="448"/>
      <c r="W32" s="448"/>
      <c r="X32" s="358">
        <f>+IF(H32="l",IF(COUNTA(M31:W31)=AJ33+0.25,Z31-K31*AJ33,Z31-(K31*COUNTA(M31:W31))),IF(H32="s",0,IF(COUNTA(M31:W31)=AJ33+0.25,SUMIF($C:$C,B31,$Z:$Z)-K31*AJ33,SUMIF($C:$C,B31,$Z:$Z)-K31*COUNTA(M31:W31))))</f>
        <v>0</v>
      </c>
      <c r="Y32" s="534"/>
      <c r="Z32" s="359">
        <f t="shared" si="7"/>
        <v>0</v>
      </c>
      <c r="AA32" s="360"/>
      <c r="AB32" s="360"/>
      <c r="AC32" s="362"/>
      <c r="AD32" s="363"/>
      <c r="AE32" s="346"/>
      <c r="AF32" s="347">
        <f t="shared" si="2"/>
        <v>0</v>
      </c>
      <c r="AG32" s="341">
        <f t="shared" si="3"/>
        <v>0</v>
      </c>
      <c r="AH32" s="341"/>
      <c r="AI32" s="341"/>
      <c r="AJ32" s="348"/>
      <c r="AK32" s="349">
        <f>+IF(AJ33=7.75,SUM(M32:S32)+T32*0.75,IF(AJ33=8,SUM(M32:T32),IF(AJ33=7.25,SUM(M32:S32)+T32*0.25,IF(AJ33=8.25,SUM(M32:T32)+U32*0.25,IF(AJ33=8.75,SUM(M32:T32)+U32*0.75,0)))))</f>
        <v>0</v>
      </c>
      <c r="AL32" s="341">
        <f>+AK32-Z32</f>
        <v>0</v>
      </c>
      <c r="AM32" s="341"/>
      <c r="AN32" s="341"/>
      <c r="AO32" s="341"/>
      <c r="AP32" s="438"/>
      <c r="AQ32" s="434"/>
      <c r="AS32" s="390"/>
      <c r="AU32" s="390"/>
    </row>
    <row r="33" spans="2:57" s="98" customFormat="1" ht="62.25" customHeight="1" thickBot="1" x14ac:dyDescent="0.95">
      <c r="B33" s="372">
        <f>B31</f>
        <v>7</v>
      </c>
      <c r="C33" s="410"/>
      <c r="D33" s="174" t="s">
        <v>93</v>
      </c>
      <c r="E33" s="175">
        <f>+E32+100</f>
        <v>107</v>
      </c>
      <c r="F33" s="175"/>
      <c r="G33" s="444">
        <f>+SUMPRODUCT((M32:W32&lt;&gt;"")*(M32:W32&lt;&gt;0)*(M32:W32-K33))</f>
        <v>0</v>
      </c>
      <c r="H33" s="117"/>
      <c r="I33" s="442"/>
      <c r="J33" s="165">
        <f>+IF(K33="","",IF(K31=0,"",(K31*J31)/(K33*60)))</f>
        <v>0.93571428571428572</v>
      </c>
      <c r="K33" s="118">
        <v>42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451"/>
      <c r="Y33" s="371">
        <f>45.44+IF(COUNTA(M31:W31)=$AI$4+0.25,$AI$4-(Z31/K31),COUNTA(M31:W31)-(Z31/K31))</f>
        <v>45.44</v>
      </c>
      <c r="Z33" s="366">
        <f t="shared" si="7"/>
        <v>0</v>
      </c>
      <c r="AA33" s="367"/>
      <c r="AB33" s="367"/>
      <c r="AC33" s="368">
        <f>+IFERROR(AC31/(K31*$AP$3),"")</f>
        <v>1.7142857142857144E-2</v>
      </c>
      <c r="AD33" s="369"/>
      <c r="AE33" s="347"/>
      <c r="AF33" s="347">
        <f t="shared" si="2"/>
        <v>0</v>
      </c>
      <c r="AG33" s="341">
        <f t="shared" si="3"/>
        <v>0</v>
      </c>
      <c r="AH33" s="341"/>
      <c r="AI33" s="356"/>
      <c r="AJ33" s="370">
        <f>+$AI$4</f>
        <v>8.75</v>
      </c>
      <c r="AK33" s="349">
        <f>+IF(AJ33=7.75,SUM(M33:S33)+T33*0.75,IF(AJ33=8,SUM(M33:T33),IF(AJ33=7.25,SUM(M33:S33)+T33*0.25,IF(AJ33=8.25,SUM(M33:T33)+U33*0.25,IF(AJ33=8.75,SUM(M33:T33)+U33*0.75,0)))))</f>
        <v>0</v>
      </c>
      <c r="AL33" s="341">
        <f>+AK33-Z33</f>
        <v>0</v>
      </c>
      <c r="AM33" s="341"/>
      <c r="AN33" s="341"/>
      <c r="AO33" s="341"/>
      <c r="AP33" s="369"/>
      <c r="AQ33" s="434"/>
      <c r="AS33" s="390">
        <v>1.7142857142857144E-2</v>
      </c>
      <c r="AU33" s="390"/>
    </row>
    <row r="34" spans="2:57" s="98" customFormat="1" ht="62.25" customHeight="1" thickTop="1" x14ac:dyDescent="0.9">
      <c r="B34" s="342">
        <f>+B35</f>
        <v>7</v>
      </c>
      <c r="C34" s="405"/>
      <c r="D34" s="106"/>
      <c r="E34" s="106"/>
      <c r="F34" s="106"/>
      <c r="G34" s="439" t="str">
        <f>+G35</f>
        <v>2076-780-803</v>
      </c>
      <c r="H34" s="106"/>
      <c r="I34" s="106"/>
      <c r="J34" s="107" t="s">
        <v>20</v>
      </c>
      <c r="K34" s="108" t="s">
        <v>23</v>
      </c>
      <c r="L34" s="100" t="s">
        <v>21</v>
      </c>
      <c r="M34" s="448">
        <v>40</v>
      </c>
      <c r="N34" s="448">
        <v>80</v>
      </c>
      <c r="O34" s="448">
        <v>80</v>
      </c>
      <c r="P34" s="448">
        <v>80</v>
      </c>
      <c r="Q34" s="448">
        <v>80</v>
      </c>
      <c r="R34" s="448">
        <v>80</v>
      </c>
      <c r="S34" s="448"/>
      <c r="T34" s="448"/>
      <c r="U34" s="448"/>
      <c r="V34" s="448"/>
      <c r="W34" s="448"/>
      <c r="X34" s="447">
        <f t="shared" si="0"/>
        <v>440</v>
      </c>
      <c r="Y34" s="533">
        <f>+X36</f>
        <v>-103.5</v>
      </c>
      <c r="Z34" s="450">
        <f t="shared" si="1"/>
        <v>440</v>
      </c>
      <c r="AA34" s="343">
        <f>+AB34+Z34</f>
        <v>2401</v>
      </c>
      <c r="AB34" s="343">
        <v>1961</v>
      </c>
      <c r="AC34" s="344"/>
      <c r="AD34" s="345"/>
      <c r="AE34" s="346"/>
      <c r="AF34" s="347">
        <f t="shared" si="2"/>
        <v>0</v>
      </c>
      <c r="AG34" s="341">
        <f t="shared" si="3"/>
        <v>0</v>
      </c>
      <c r="AH34" s="341"/>
      <c r="AI34" s="341"/>
      <c r="AJ34" s="348"/>
      <c r="AK34" s="349"/>
      <c r="AL34" s="341"/>
      <c r="AM34" s="341"/>
      <c r="AN34" s="341"/>
      <c r="AO34" s="341"/>
      <c r="AP34" s="350"/>
      <c r="AQ34" s="434"/>
      <c r="AS34" s="390"/>
      <c r="AU34" s="390"/>
    </row>
    <row r="35" spans="2:57" s="98" customFormat="1" ht="62.25" customHeight="1" x14ac:dyDescent="1.35">
      <c r="B35" s="351">
        <v>7</v>
      </c>
      <c r="C35" s="406">
        <f>+B35</f>
        <v>7</v>
      </c>
      <c r="D35" s="407" t="s">
        <v>436</v>
      </c>
      <c r="E35" s="111"/>
      <c r="F35" s="111" t="s">
        <v>35</v>
      </c>
      <c r="G35" s="106" t="s">
        <v>435</v>
      </c>
      <c r="H35" s="111"/>
      <c r="I35" s="111" t="s">
        <v>38</v>
      </c>
      <c r="J35" s="113">
        <v>38.729999999999997</v>
      </c>
      <c r="K35" s="130">
        <v>58</v>
      </c>
      <c r="L35" s="101" t="s">
        <v>17</v>
      </c>
      <c r="M35" s="214">
        <v>57</v>
      </c>
      <c r="N35" s="214">
        <v>60</v>
      </c>
      <c r="O35" s="214">
        <v>50</v>
      </c>
      <c r="P35" s="214">
        <v>55</v>
      </c>
      <c r="Q35" s="214">
        <v>51</v>
      </c>
      <c r="R35" s="214">
        <v>55</v>
      </c>
      <c r="S35" s="214">
        <v>34</v>
      </c>
      <c r="T35" s="214">
        <v>42</v>
      </c>
      <c r="U35" s="214">
        <v>0</v>
      </c>
      <c r="V35" s="214"/>
      <c r="W35" s="214"/>
      <c r="X35" s="352">
        <f>+IF(H36="s",0,IF(Z35=0,0,IF(COUNTA(M35:W35)=AJ37+0.25,SUMIF($C:$C,B35,$Z:$Z)/AJ37+0.25,SUMIF($C:$C,B35,$Z:$Z)/(COUNTA(M35:W35)))))</f>
        <v>46.421428571428571</v>
      </c>
      <c r="Y35" s="534"/>
      <c r="Z35" s="353">
        <f t="shared" si="1"/>
        <v>404</v>
      </c>
      <c r="AA35" s="354">
        <f>+Z35+AB35</f>
        <v>1554</v>
      </c>
      <c r="AB35" s="354">
        <v>1150</v>
      </c>
      <c r="AC35" s="355">
        <f>+AA34-AA35</f>
        <v>847</v>
      </c>
      <c r="AD35" s="131">
        <f>+IF(((Z36+(Z37/2))*60)=0,"",(J35*Z35)/((Z36+(Z37/2))*60))</f>
        <v>0.69495536309127237</v>
      </c>
      <c r="AE35" s="347">
        <f>+Z36+Z37/2</f>
        <v>375.25</v>
      </c>
      <c r="AF35" s="347">
        <f t="shared" si="2"/>
        <v>375.15</v>
      </c>
      <c r="AG35" s="341">
        <f t="shared" si="3"/>
        <v>22515</v>
      </c>
      <c r="AH35" s="341">
        <f>+Z35*J35</f>
        <v>15646.919999999998</v>
      </c>
      <c r="AI35" s="356">
        <f>+Z35-(AE35*K35/K37)</f>
        <v>-114.20238095238096</v>
      </c>
      <c r="AJ35" s="348"/>
      <c r="AK35" s="349"/>
      <c r="AL35" s="341"/>
      <c r="AM35" s="341"/>
      <c r="AN35" s="341"/>
      <c r="AO35" s="341"/>
      <c r="AP35" s="339">
        <f>-440+Z34</f>
        <v>0</v>
      </c>
      <c r="AQ35" s="434">
        <v>1.5</v>
      </c>
      <c r="AS35" s="390">
        <v>811</v>
      </c>
      <c r="AU35" s="390">
        <f t="shared" ref="AU35" si="14">+AS35-AC35</f>
        <v>-36</v>
      </c>
      <c r="AV35" s="535"/>
      <c r="AW35" s="535"/>
      <c r="AX35" s="535"/>
      <c r="AY35" s="535"/>
      <c r="AZ35" s="535"/>
      <c r="BA35" s="535"/>
      <c r="BB35" s="535"/>
      <c r="BC35" s="535"/>
      <c r="BD35" s="535"/>
      <c r="BE35" s="535"/>
    </row>
    <row r="36" spans="2:57" s="98" customFormat="1" ht="62.25" customHeight="1" x14ac:dyDescent="0.9">
      <c r="B36" s="357">
        <f>B35</f>
        <v>7</v>
      </c>
      <c r="C36" s="408"/>
      <c r="D36" s="184"/>
      <c r="E36" s="111">
        <f>+B35</f>
        <v>7</v>
      </c>
      <c r="F36" s="409"/>
      <c r="G36" s="113">
        <f>+IFERROR(IF(K37=0,0,IF((LOOKUP(2,1/(M36:W36&lt;&gt;""),M36:W36)-K37)&lt;0,0,IF(K37=0,"",LOOKUP(2,1/(M36:W36&lt;&gt;""),M36:W36)-K37))),0)</f>
        <v>1</v>
      </c>
      <c r="H36" s="411" t="s">
        <v>413</v>
      </c>
      <c r="I36" s="113"/>
      <c r="J36" s="113">
        <v>1</v>
      </c>
      <c r="K36" s="114" t="s">
        <v>22</v>
      </c>
      <c r="L36" s="102" t="s">
        <v>18</v>
      </c>
      <c r="M36" s="448">
        <v>42</v>
      </c>
      <c r="N36" s="448">
        <v>43</v>
      </c>
      <c r="O36" s="448">
        <v>43</v>
      </c>
      <c r="P36" s="448">
        <v>43</v>
      </c>
      <c r="Q36" s="448">
        <v>43</v>
      </c>
      <c r="R36" s="448">
        <v>43</v>
      </c>
      <c r="S36" s="448">
        <v>43</v>
      </c>
      <c r="T36" s="448">
        <v>43</v>
      </c>
      <c r="U36" s="448">
        <v>43</v>
      </c>
      <c r="V36" s="448"/>
      <c r="W36" s="448"/>
      <c r="X36" s="358">
        <f>+IF(H36="l",IF(COUNTA(M35:W35)=AJ37+0.25,Z35-K35*AJ37,Z35-(K35*COUNTA(M35:W35))),IF(H36="s",0,IF(COUNTA(M35:W35)=AJ37+0.25,SUMIF($C:$C,B35,$Z:$Z)-K35*AJ37,SUMIF($C:$C,B35,$Z:$Z)-K35*COUNTA(M35:W35))))</f>
        <v>-103.5</v>
      </c>
      <c r="Y36" s="534"/>
      <c r="Z36" s="359">
        <f t="shared" si="7"/>
        <v>375.25</v>
      </c>
      <c r="AA36" s="360"/>
      <c r="AB36" s="360"/>
      <c r="AC36" s="362"/>
      <c r="AD36" s="363"/>
      <c r="AE36" s="346"/>
      <c r="AF36" s="347">
        <f t="shared" si="2"/>
        <v>0</v>
      </c>
      <c r="AG36" s="341">
        <f t="shared" si="3"/>
        <v>0</v>
      </c>
      <c r="AH36" s="341"/>
      <c r="AI36" s="341"/>
      <c r="AJ36" s="348"/>
      <c r="AK36" s="349">
        <f>+IF(AJ37=7.75,SUM(M36:S36)+T36*0.75,IF(AJ37=8,SUM(M36:T36),IF(AJ37=7.25,SUM(M36:S36)+T36*0.25,IF(AJ37=8.25,SUM(M36:T36)+U36*0.25,IF(AJ37=8.75,SUM(M36:T36)+U36*0.75,0)))))</f>
        <v>375.25</v>
      </c>
      <c r="AL36" s="341">
        <f>+AK36-Z36</f>
        <v>0</v>
      </c>
      <c r="AM36" s="341"/>
      <c r="AN36" s="341"/>
      <c r="AO36" s="341"/>
      <c r="AP36" s="438"/>
      <c r="AQ36" s="434"/>
      <c r="AS36" s="390"/>
      <c r="AU36" s="390"/>
    </row>
    <row r="37" spans="2:57" s="98" customFormat="1" ht="62.25" customHeight="1" thickBot="1" x14ac:dyDescent="0.95">
      <c r="B37" s="372">
        <f>B35</f>
        <v>7</v>
      </c>
      <c r="C37" s="410"/>
      <c r="D37" s="174" t="s">
        <v>93</v>
      </c>
      <c r="E37" s="175">
        <f>+E36+100</f>
        <v>107</v>
      </c>
      <c r="F37" s="175"/>
      <c r="G37" s="444">
        <f>+SUMPRODUCT((M36:W36&lt;&gt;"")*(M36:W36&lt;&gt;0)*(M36:W36-K37))</f>
        <v>8</v>
      </c>
      <c r="H37" s="117"/>
      <c r="I37" s="442"/>
      <c r="J37" s="165">
        <f>+IF(K37="","",IF(K35=0,"",(K35*J35)/(K37*60)))</f>
        <v>0.89140476190476181</v>
      </c>
      <c r="K37" s="118">
        <v>42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451"/>
      <c r="Y37" s="371">
        <f>22.04+IF(COUNTA(M35:W35)=$AI$4+0.25,$AI$4-(Z35/K35),COUNTA(M35:W35)-(Z35/K35))</f>
        <v>23.82448275862069</v>
      </c>
      <c r="Z37" s="366">
        <f t="shared" si="7"/>
        <v>0</v>
      </c>
      <c r="AA37" s="367"/>
      <c r="AB37" s="367"/>
      <c r="AC37" s="368">
        <f>+IFERROR(AC35/(K35*$AP$3),"")</f>
        <v>1.6689655172413793</v>
      </c>
      <c r="AD37" s="369"/>
      <c r="AE37" s="347"/>
      <c r="AF37" s="347">
        <f t="shared" si="2"/>
        <v>0</v>
      </c>
      <c r="AG37" s="341">
        <f t="shared" si="3"/>
        <v>0</v>
      </c>
      <c r="AH37" s="341"/>
      <c r="AI37" s="356"/>
      <c r="AJ37" s="370">
        <f>+$AI$4</f>
        <v>8.75</v>
      </c>
      <c r="AK37" s="349">
        <f>+IF(AJ37=7.75,SUM(M37:S37)+T37*0.75,IF(AJ37=8,SUM(M37:T37),IF(AJ37=7.25,SUM(M37:S37)+T37*0.25,IF(AJ37=8.25,SUM(M37:T37)+U37*0.25,IF(AJ37=8.75,SUM(M37:T37)+U37*0.75,0)))))</f>
        <v>0</v>
      </c>
      <c r="AL37" s="341">
        <f>+AK37-Z37</f>
        <v>0</v>
      </c>
      <c r="AM37" s="341"/>
      <c r="AN37" s="341"/>
      <c r="AO37" s="341"/>
      <c r="AP37" s="369"/>
      <c r="AQ37" s="434"/>
      <c r="AS37" s="390">
        <v>1.6260651629072682</v>
      </c>
      <c r="AU37" s="390"/>
    </row>
    <row r="38" spans="2:57" s="98" customFormat="1" ht="62.25" customHeight="1" thickTop="1" x14ac:dyDescent="0.9">
      <c r="B38" s="342">
        <f>+B39</f>
        <v>8</v>
      </c>
      <c r="C38" s="405"/>
      <c r="D38" s="106"/>
      <c r="E38" s="106"/>
      <c r="F38" s="106"/>
      <c r="G38" s="439" t="str">
        <f>+G39</f>
        <v>2158-755-712</v>
      </c>
      <c r="H38" s="106"/>
      <c r="I38" s="106"/>
      <c r="J38" s="107" t="s">
        <v>20</v>
      </c>
      <c r="K38" s="108" t="s">
        <v>23</v>
      </c>
      <c r="L38" s="100" t="s">
        <v>21</v>
      </c>
      <c r="M38" s="448">
        <v>120</v>
      </c>
      <c r="N38" s="448">
        <v>60</v>
      </c>
      <c r="O38" s="448"/>
      <c r="P38" s="448"/>
      <c r="Q38" s="448"/>
      <c r="R38" s="448"/>
      <c r="S38" s="448"/>
      <c r="T38" s="448"/>
      <c r="U38" s="448"/>
      <c r="V38" s="448"/>
      <c r="W38" s="448"/>
      <c r="X38" s="447">
        <f t="shared" si="0"/>
        <v>180</v>
      </c>
      <c r="Y38" s="533">
        <f>+X40</f>
        <v>-270</v>
      </c>
      <c r="Z38" s="450">
        <f t="shared" si="1"/>
        <v>180</v>
      </c>
      <c r="AA38" s="343">
        <f>+AB38+Z38</f>
        <v>1201</v>
      </c>
      <c r="AB38" s="343">
        <v>1021</v>
      </c>
      <c r="AC38" s="344"/>
      <c r="AD38" s="345"/>
      <c r="AE38" s="346"/>
      <c r="AF38" s="347">
        <f t="shared" si="2"/>
        <v>0</v>
      </c>
      <c r="AG38" s="341">
        <f t="shared" si="3"/>
        <v>0</v>
      </c>
      <c r="AH38" s="341"/>
      <c r="AI38" s="341"/>
      <c r="AJ38" s="348"/>
      <c r="AK38" s="349"/>
      <c r="AL38" s="341"/>
      <c r="AM38" s="341"/>
      <c r="AN38" s="341"/>
      <c r="AO38" s="341"/>
      <c r="AP38" s="350"/>
      <c r="AQ38" s="434"/>
      <c r="AS38" s="390"/>
      <c r="AU38" s="390"/>
    </row>
    <row r="39" spans="2:57" s="98" customFormat="1" ht="62.25" customHeight="1" x14ac:dyDescent="0.9">
      <c r="B39" s="351">
        <v>8</v>
      </c>
      <c r="C39" s="406">
        <f>+B39</f>
        <v>8</v>
      </c>
      <c r="D39" s="407" t="s">
        <v>431</v>
      </c>
      <c r="E39" s="111"/>
      <c r="F39" s="111" t="s">
        <v>35</v>
      </c>
      <c r="G39" s="106" t="s">
        <v>432</v>
      </c>
      <c r="H39" s="111"/>
      <c r="I39" s="111" t="s">
        <v>33</v>
      </c>
      <c r="J39" s="113">
        <v>51.42</v>
      </c>
      <c r="K39" s="130">
        <v>52</v>
      </c>
      <c r="L39" s="101" t="s">
        <v>17</v>
      </c>
      <c r="M39" s="214">
        <v>0</v>
      </c>
      <c r="N39" s="214">
        <v>0</v>
      </c>
      <c r="O39" s="214">
        <v>20</v>
      </c>
      <c r="P39" s="214">
        <v>25</v>
      </c>
      <c r="Q39" s="214">
        <v>30</v>
      </c>
      <c r="R39" s="214">
        <v>30</v>
      </c>
      <c r="S39" s="214">
        <v>30</v>
      </c>
      <c r="T39" s="214">
        <v>30</v>
      </c>
      <c r="U39" s="214">
        <v>20</v>
      </c>
      <c r="V39" s="214"/>
      <c r="W39" s="214"/>
      <c r="X39" s="352">
        <f>+IF(H40="s",0,IF(Z39=0,0,IF(COUNTA(M39:W39)=AJ41+0.25,SUMIF($C:$C,B39,$Z:$Z)/AJ41+0.25,SUMIF($C:$C,B39,$Z:$Z)/(COUNTA(M39:W39)))))</f>
        <v>21.392857142857142</v>
      </c>
      <c r="Y39" s="534"/>
      <c r="Z39" s="353">
        <f t="shared" si="1"/>
        <v>185</v>
      </c>
      <c r="AA39" s="354">
        <f>+Z39+AB39</f>
        <v>185</v>
      </c>
      <c r="AB39" s="354">
        <v>0</v>
      </c>
      <c r="AC39" s="355">
        <f>+AA38-AA39</f>
        <v>1016</v>
      </c>
      <c r="AD39" s="131">
        <f>+IF(((Z40+(Z41/2))*60)=0,"",(J39*Z39)/((Z40+(Z41/2))*60))</f>
        <v>0.36238857142857145</v>
      </c>
      <c r="AE39" s="347">
        <f>+Z40+Z41/2</f>
        <v>437.5</v>
      </c>
      <c r="AF39" s="347">
        <f t="shared" si="2"/>
        <v>437.3</v>
      </c>
      <c r="AG39" s="341">
        <f t="shared" si="3"/>
        <v>26250</v>
      </c>
      <c r="AH39" s="341">
        <f>+Z39*J39</f>
        <v>9512.7000000000007</v>
      </c>
      <c r="AI39" s="356">
        <f>+Z39-(AE39*K39/K41)</f>
        <v>-261.07843137254901</v>
      </c>
      <c r="AJ39" s="348"/>
      <c r="AK39" s="349"/>
      <c r="AL39" s="341"/>
      <c r="AM39" s="341"/>
      <c r="AN39" s="341"/>
      <c r="AO39" s="341"/>
      <c r="AP39" s="339">
        <f t="shared" si="8"/>
        <v>36.199999999999818</v>
      </c>
      <c r="AQ39" s="434">
        <v>1.56</v>
      </c>
      <c r="AS39" s="390">
        <v>1021</v>
      </c>
      <c r="AU39" s="390">
        <f t="shared" ref="AU39" si="15">+AS39-AC39</f>
        <v>5</v>
      </c>
    </row>
    <row r="40" spans="2:57" s="98" customFormat="1" ht="62.25" customHeight="1" x14ac:dyDescent="0.9">
      <c r="B40" s="357">
        <f>+B39</f>
        <v>8</v>
      </c>
      <c r="C40" s="408"/>
      <c r="D40" s="184"/>
      <c r="E40" s="111">
        <f>+B39</f>
        <v>8</v>
      </c>
      <c r="F40" s="409"/>
      <c r="G40" s="113">
        <f>+IFERROR(IF(K41=0,0,IF((LOOKUP(2,1/(M40:W40&lt;&gt;""),M40:W40)-K41)&lt;0,0,IF(K41=0,"",LOOKUP(2,1/(M40:W40&lt;&gt;""),M40:W40)-K41))),0)</f>
        <v>0</v>
      </c>
      <c r="H40" s="411" t="s">
        <v>412</v>
      </c>
      <c r="I40" s="113"/>
      <c r="J40" s="113">
        <v>1</v>
      </c>
      <c r="K40" s="114" t="s">
        <v>22</v>
      </c>
      <c r="L40" s="102" t="s">
        <v>18</v>
      </c>
      <c r="M40" s="448">
        <v>50</v>
      </c>
      <c r="N40" s="448">
        <v>50</v>
      </c>
      <c r="O40" s="448">
        <v>50</v>
      </c>
      <c r="P40" s="448">
        <v>50</v>
      </c>
      <c r="Q40" s="448">
        <v>50</v>
      </c>
      <c r="R40" s="448">
        <v>50</v>
      </c>
      <c r="S40" s="448">
        <v>50</v>
      </c>
      <c r="T40" s="448">
        <v>50</v>
      </c>
      <c r="U40" s="448">
        <v>50</v>
      </c>
      <c r="V40" s="448"/>
      <c r="W40" s="448"/>
      <c r="X40" s="358">
        <f>+IF(H40="l",IF(COUNTA(M39:W39)=AJ41+0.25,Z39-K39*AJ41,Z39-(K39*COUNTA(M39:W39))),IF(H40="s",0,IF(COUNTA(M39:W39)=AJ41+0.25,SUMIF($C:$C,B39,$Z:$Z)-K39*AJ41,SUMIF($C:$C,B39,$Z:$Z)-K39*COUNTA(M39:W39))))</f>
        <v>-270</v>
      </c>
      <c r="Y40" s="534"/>
      <c r="Z40" s="359">
        <f t="shared" si="7"/>
        <v>437.5</v>
      </c>
      <c r="AA40" s="360"/>
      <c r="AB40" s="360"/>
      <c r="AC40" s="362"/>
      <c r="AD40" s="363"/>
      <c r="AE40" s="346"/>
      <c r="AF40" s="347">
        <f t="shared" si="2"/>
        <v>0</v>
      </c>
      <c r="AG40" s="341">
        <f t="shared" si="3"/>
        <v>0</v>
      </c>
      <c r="AH40" s="341"/>
      <c r="AI40" s="341"/>
      <c r="AJ40" s="348"/>
      <c r="AK40" s="349">
        <f>+IF(AJ41=7.75,SUM(M40:S40)+T40*0.75,IF(AJ41=8,SUM(M40:T40),IF(AJ41=7.25,SUM(M40:S40)+T40*0.25,IF(AJ41=8.25,SUM(M40:T40)+U40*0.25,IF(AJ41=8.75,SUM(M40:T40)+U40*0.75,0)))))</f>
        <v>437.5</v>
      </c>
      <c r="AL40" s="341">
        <f>+AK40-Z40</f>
        <v>0</v>
      </c>
      <c r="AM40" s="341"/>
      <c r="AN40" s="341"/>
      <c r="AO40" s="341"/>
      <c r="AP40" s="438"/>
      <c r="AQ40" s="434"/>
      <c r="AS40" s="390"/>
      <c r="AU40" s="390"/>
    </row>
    <row r="41" spans="2:57" s="98" customFormat="1" ht="62.25" customHeight="1" thickBot="1" x14ac:dyDescent="0.95">
      <c r="B41" s="364">
        <f>+B39</f>
        <v>8</v>
      </c>
      <c r="C41" s="410"/>
      <c r="D41" s="174" t="s">
        <v>373</v>
      </c>
      <c r="E41" s="175">
        <f>+E40+100</f>
        <v>108</v>
      </c>
      <c r="F41" s="175"/>
      <c r="G41" s="444">
        <f>+SUMPRODUCT((M40:W40&lt;&gt;"")*(M40:W40&lt;&gt;0)*(M40:W40-K41))</f>
        <v>-9</v>
      </c>
      <c r="H41" s="117"/>
      <c r="I41" s="442"/>
      <c r="J41" s="165">
        <f>+IF(K41="","",IF(K39=0,"",(K39*J39)/(K41*60)))</f>
        <v>0.87380392156862752</v>
      </c>
      <c r="K41" s="118">
        <v>51</v>
      </c>
      <c r="L41" s="104" t="s">
        <v>422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451"/>
      <c r="Y41" s="371">
        <f>9.3667+IF(COUNTA(M39:W39)=$AI$4+0.25,$AI$4-(Z39/K39),COUNTA(M39:W39)-(Z39/K39))</f>
        <v>14.559007692307691</v>
      </c>
      <c r="Z41" s="366">
        <f t="shared" si="7"/>
        <v>0</v>
      </c>
      <c r="AA41" s="367"/>
      <c r="AB41" s="367"/>
      <c r="AC41" s="368">
        <f>+IFERROR(AC39/(K39*$AP$3),"")</f>
        <v>2.232967032967033</v>
      </c>
      <c r="AD41" s="369"/>
      <c r="AE41" s="347"/>
      <c r="AF41" s="347">
        <f t="shared" si="2"/>
        <v>0</v>
      </c>
      <c r="AG41" s="341">
        <f t="shared" si="3"/>
        <v>0</v>
      </c>
      <c r="AH41" s="341"/>
      <c r="AI41" s="356"/>
      <c r="AJ41" s="370">
        <f>+$AI$4</f>
        <v>8.75</v>
      </c>
      <c r="AK41" s="349">
        <f>+IF(AJ41=7.75,SUM(M41:S41)+T41*0.75,IF(AJ41=8,SUM(M41:T41),IF(AJ41=7.25,SUM(M41:S41)+T41*0.25,IF(AJ41=8.25,SUM(M41:T41)+U41*0.25,IF(AJ41=8.75,SUM(M41:T41)+U41*0.75,0)))))</f>
        <v>0</v>
      </c>
      <c r="AL41" s="341">
        <f>+AK41-Z41</f>
        <v>0</v>
      </c>
      <c r="AM41" s="341"/>
      <c r="AN41" s="341"/>
      <c r="AO41" s="341"/>
      <c r="AP41" s="369"/>
      <c r="AQ41" s="434"/>
      <c r="AS41" s="390">
        <v>2.243956043956044</v>
      </c>
      <c r="AU41" s="390"/>
    </row>
    <row r="42" spans="2:57" s="98" customFormat="1" ht="62.25" customHeight="1" thickTop="1" x14ac:dyDescent="0.9">
      <c r="B42" s="342">
        <f>+B43</f>
        <v>11</v>
      </c>
      <c r="C42" s="405"/>
      <c r="D42" s="106"/>
      <c r="E42" s="106"/>
      <c r="F42" s="106"/>
      <c r="G42" s="439" t="str">
        <f>+G43</f>
        <v>2070-397-802</v>
      </c>
      <c r="H42" s="106"/>
      <c r="I42" s="106"/>
      <c r="J42" s="107" t="s">
        <v>20</v>
      </c>
      <c r="K42" s="108" t="s">
        <v>23</v>
      </c>
      <c r="L42" s="100" t="s">
        <v>21</v>
      </c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7" t="str">
        <f t="shared" si="0"/>
        <v/>
      </c>
      <c r="Y42" s="533">
        <f>+X44</f>
        <v>0</v>
      </c>
      <c r="Z42" s="450">
        <f t="shared" si="1"/>
        <v>0</v>
      </c>
      <c r="AA42" s="343">
        <f>+AB42+Z42</f>
        <v>3601</v>
      </c>
      <c r="AB42" s="343">
        <v>3601</v>
      </c>
      <c r="AC42" s="344"/>
      <c r="AD42" s="345"/>
      <c r="AE42" s="346"/>
      <c r="AF42" s="347">
        <f t="shared" si="2"/>
        <v>0</v>
      </c>
      <c r="AG42" s="341">
        <f t="shared" si="3"/>
        <v>0</v>
      </c>
      <c r="AH42" s="341"/>
      <c r="AI42" s="341"/>
      <c r="AJ42" s="348"/>
      <c r="AK42" s="349"/>
      <c r="AL42" s="341"/>
      <c r="AM42" s="341"/>
      <c r="AN42" s="341"/>
      <c r="AO42" s="341"/>
      <c r="AP42" s="350"/>
      <c r="AQ42" s="434"/>
      <c r="AS42" s="390"/>
      <c r="AU42" s="390"/>
    </row>
    <row r="43" spans="2:57" s="98" customFormat="1" ht="62.25" customHeight="1" x14ac:dyDescent="1.35">
      <c r="B43" s="351">
        <v>11</v>
      </c>
      <c r="C43" s="406">
        <f>+B43</f>
        <v>11</v>
      </c>
      <c r="D43" s="407" t="s">
        <v>425</v>
      </c>
      <c r="E43" s="111"/>
      <c r="F43" s="111" t="s">
        <v>35</v>
      </c>
      <c r="G43" s="106" t="s">
        <v>426</v>
      </c>
      <c r="H43" s="111"/>
      <c r="I43" s="111" t="s">
        <v>38</v>
      </c>
      <c r="J43" s="113">
        <v>39.299999999999997</v>
      </c>
      <c r="K43" s="130">
        <v>60</v>
      </c>
      <c r="L43" s="101" t="s">
        <v>17</v>
      </c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352">
        <f>+IF(H44="s",0,IF(Z43=0,0,IF(COUNTA(M43:W43)=AJ45+0.25,SUMIF($C:$C,B43,$Z:$Z)/AJ45+0.25,SUMIF($C:$C,B43,$Z:$Z)/(COUNTA(M43:W43)))))</f>
        <v>0</v>
      </c>
      <c r="Y43" s="534"/>
      <c r="Z43" s="353">
        <f t="shared" si="1"/>
        <v>0</v>
      </c>
      <c r="AA43" s="354">
        <f>+Z43+AB43</f>
        <v>3595</v>
      </c>
      <c r="AB43" s="354">
        <v>3595</v>
      </c>
      <c r="AC43" s="355">
        <f>+AA42-AA43</f>
        <v>6</v>
      </c>
      <c r="AD43" s="131" t="str">
        <f>+IF(((Z44+(Z45/2))*60)=0,"",(J43*Z43)/((Z44+(Z45/2))*60))</f>
        <v/>
      </c>
      <c r="AE43" s="347">
        <f>+Z44+Z45/2</f>
        <v>0</v>
      </c>
      <c r="AF43" s="347">
        <f t="shared" si="2"/>
        <v>0</v>
      </c>
      <c r="AG43" s="341">
        <f t="shared" si="3"/>
        <v>0</v>
      </c>
      <c r="AH43" s="341">
        <f>+Z43*J43</f>
        <v>0</v>
      </c>
      <c r="AI43" s="356">
        <f>+Z43-(AE43*K43/K45)</f>
        <v>0</v>
      </c>
      <c r="AJ43" s="348"/>
      <c r="AK43" s="349"/>
      <c r="AL43" s="341"/>
      <c r="AM43" s="341"/>
      <c r="AN43" s="341"/>
      <c r="AO43" s="341"/>
      <c r="AP43" s="339" t="str">
        <f t="shared" si="8"/>
        <v/>
      </c>
      <c r="AQ43" s="434"/>
      <c r="AS43" s="390">
        <v>6</v>
      </c>
      <c r="AU43" s="390">
        <f t="shared" ref="AU43" si="16">+AS43-AC43</f>
        <v>0</v>
      </c>
      <c r="AV43" s="535"/>
      <c r="AW43" s="535"/>
      <c r="AX43" s="535"/>
      <c r="AY43" s="535"/>
      <c r="AZ43" s="535"/>
      <c r="BA43" s="535"/>
      <c r="BB43" s="535"/>
      <c r="BC43" s="535"/>
      <c r="BD43" s="535"/>
      <c r="BE43" s="535"/>
    </row>
    <row r="44" spans="2:57" s="98" customFormat="1" ht="62.25" customHeight="1" x14ac:dyDescent="0.9">
      <c r="B44" s="357">
        <f>+B43</f>
        <v>11</v>
      </c>
      <c r="C44" s="408"/>
      <c r="D44" s="184"/>
      <c r="E44" s="111">
        <f>+B43</f>
        <v>11</v>
      </c>
      <c r="F44" s="412"/>
      <c r="G44" s="113">
        <f>+IFERROR(IF(K45=0,0,IF((LOOKUP(2,1/(M44:W44&lt;&gt;""),M44:W44)-K45)&lt;0,0,IF(K45=0,"",LOOKUP(2,1/(M44:W44&lt;&gt;""),M44:W44)-K45))),0)</f>
        <v>0</v>
      </c>
      <c r="H44" s="411" t="s">
        <v>414</v>
      </c>
      <c r="I44" s="113"/>
      <c r="J44" s="113"/>
      <c r="K44" s="114" t="s">
        <v>22</v>
      </c>
      <c r="L44" s="102" t="s">
        <v>18</v>
      </c>
      <c r="M44" s="448"/>
      <c r="N44" s="448"/>
      <c r="O44" s="448"/>
      <c r="P44" s="448"/>
      <c r="Q44" s="448"/>
      <c r="R44" s="448"/>
      <c r="S44" s="448"/>
      <c r="T44" s="448"/>
      <c r="U44" s="448"/>
      <c r="V44" s="448"/>
      <c r="W44" s="448"/>
      <c r="X44" s="358">
        <f>+IF(H44="l",IF(COUNTA(M43:W43)=AJ45+0.25,Z43-K43*AJ45,Z43-(K43*COUNTA(M43:W43))),IF(H44="s",0,IF(COUNTA(M43:W43)=AJ45+0.25,SUMIF($C:$C,B43,$Z:$Z)-K43*AJ45,SUMIF($C:$C,B43,$Z:$Z)-K43*COUNTA(M43:W43))))</f>
        <v>0</v>
      </c>
      <c r="Y44" s="534"/>
      <c r="Z44" s="359">
        <f t="shared" si="7"/>
        <v>0</v>
      </c>
      <c r="AA44" s="360"/>
      <c r="AB44" s="360"/>
      <c r="AC44" s="362"/>
      <c r="AD44" s="363"/>
      <c r="AE44" s="346"/>
      <c r="AF44" s="347">
        <f t="shared" si="2"/>
        <v>0</v>
      </c>
      <c r="AG44" s="341">
        <f t="shared" si="3"/>
        <v>0</v>
      </c>
      <c r="AH44" s="341"/>
      <c r="AI44" s="341"/>
      <c r="AJ44" s="348"/>
      <c r="AK44" s="349">
        <f>+IF(AJ45=7.75,SUM(M44:S44)+T44*0.75,IF(AJ45=8,SUM(M44:T44),IF(AJ45=7.25,SUM(M44:S44)+T44*0.25,IF(AJ45=8.25,SUM(M44:T44)+U44*0.25,IF(AJ45=8.75,SUM(M44:T44)+U44*0.75,0)))))</f>
        <v>0</v>
      </c>
      <c r="AL44" s="341">
        <f>+AK44-Z44</f>
        <v>0</v>
      </c>
      <c r="AM44" s="341"/>
      <c r="AN44" s="341"/>
      <c r="AO44" s="341"/>
      <c r="AP44" s="438"/>
      <c r="AQ44" s="434"/>
      <c r="AS44" s="390"/>
      <c r="AU44" s="390"/>
    </row>
    <row r="45" spans="2:57" s="98" customFormat="1" ht="62.25" customHeight="1" thickBot="1" x14ac:dyDescent="0.95">
      <c r="B45" s="364">
        <f>+B43</f>
        <v>11</v>
      </c>
      <c r="C45" s="410"/>
      <c r="D45" s="174" t="s">
        <v>418</v>
      </c>
      <c r="E45" s="175">
        <f>+E44+100</f>
        <v>111</v>
      </c>
      <c r="F45" s="175"/>
      <c r="G45" s="444">
        <f>+SUMPRODUCT((M44:W44&lt;&gt;"")*(M44:W44&lt;&gt;0)*(M44:W44-K45))</f>
        <v>0</v>
      </c>
      <c r="H45" s="117"/>
      <c r="I45" s="442"/>
      <c r="J45" s="165">
        <f>+IF(K45="","",IF(K43=0,"",(K43*J43)/(K45*60)))</f>
        <v>0.93571428571428572</v>
      </c>
      <c r="K45" s="118">
        <v>42</v>
      </c>
      <c r="L45" s="104" t="s">
        <v>422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451"/>
      <c r="Y45" s="371">
        <f>42.08+IF(COUNTA(M43:W43)=$AI$4+0.25,$AI$4-(Z43/K43),COUNTA(M43:W43)-(Z43/K43))</f>
        <v>42.08</v>
      </c>
      <c r="Z45" s="366">
        <f t="shared" si="7"/>
        <v>0</v>
      </c>
      <c r="AA45" s="367"/>
      <c r="AB45" s="367"/>
      <c r="AC45" s="368">
        <f>+IFERROR(AC43/(K43*$AP$3),"")</f>
        <v>1.1428571428571429E-2</v>
      </c>
      <c r="AD45" s="369"/>
      <c r="AE45" s="347"/>
      <c r="AF45" s="347">
        <f t="shared" si="2"/>
        <v>0</v>
      </c>
      <c r="AG45" s="341">
        <f t="shared" si="3"/>
        <v>0</v>
      </c>
      <c r="AH45" s="341"/>
      <c r="AI45" s="356"/>
      <c r="AJ45" s="370">
        <f>+$AI$4</f>
        <v>8.75</v>
      </c>
      <c r="AK45" s="349">
        <f>+IF(AJ45=7.75,SUM(M45:S45)+T45*0.75,IF(AJ45=8,SUM(M45:T45),IF(AJ45=7.25,SUM(M45:S45)+T45*0.25,IF(AJ45=8.25,SUM(M45:T45)+U45*0.25,IF(AJ45=8.75,SUM(M45:T45)+U45*0.75,0)))))</f>
        <v>0</v>
      </c>
      <c r="AL45" s="341">
        <f>+AK45-Z45</f>
        <v>0</v>
      </c>
      <c r="AM45" s="341"/>
      <c r="AN45" s="341"/>
      <c r="AO45" s="341"/>
      <c r="AP45" s="369"/>
      <c r="AQ45" s="434"/>
      <c r="AS45" s="390">
        <v>1.1428571428571429E-2</v>
      </c>
      <c r="AU45" s="390"/>
    </row>
    <row r="46" spans="2:57" s="98" customFormat="1" ht="62.25" customHeight="1" thickTop="1" x14ac:dyDescent="0.9">
      <c r="B46" s="342">
        <f>+B47</f>
        <v>11</v>
      </c>
      <c r="C46" s="405"/>
      <c r="D46" s="106"/>
      <c r="E46" s="106"/>
      <c r="F46" s="106"/>
      <c r="G46" s="439" t="str">
        <f>+G47</f>
        <v>2076-780-803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120</v>
      </c>
      <c r="N46" s="448">
        <v>80</v>
      </c>
      <c r="O46" s="448">
        <v>80</v>
      </c>
      <c r="P46" s="448">
        <v>80</v>
      </c>
      <c r="Q46" s="448">
        <v>40</v>
      </c>
      <c r="R46" s="448"/>
      <c r="S46" s="448"/>
      <c r="T46" s="448"/>
      <c r="U46" s="448"/>
      <c r="V46" s="448"/>
      <c r="W46" s="448"/>
      <c r="X46" s="447">
        <f t="shared" si="0"/>
        <v>400</v>
      </c>
      <c r="Y46" s="533">
        <f>+X48</f>
        <v>-168.5</v>
      </c>
      <c r="Z46" s="450">
        <f t="shared" si="1"/>
        <v>400</v>
      </c>
      <c r="AA46" s="343">
        <f>+AB46+Z46</f>
        <v>1921</v>
      </c>
      <c r="AB46" s="343">
        <v>1521</v>
      </c>
      <c r="AC46" s="344"/>
      <c r="AD46" s="345"/>
      <c r="AE46" s="346"/>
      <c r="AF46" s="347">
        <f t="shared" si="2"/>
        <v>0</v>
      </c>
      <c r="AG46" s="341">
        <f t="shared" si="3"/>
        <v>0</v>
      </c>
      <c r="AH46" s="341"/>
      <c r="AI46" s="341"/>
      <c r="AJ46" s="348"/>
      <c r="AK46" s="349"/>
      <c r="AL46" s="341"/>
      <c r="AM46" s="341"/>
      <c r="AN46" s="341"/>
      <c r="AO46" s="341"/>
      <c r="AP46" s="350"/>
      <c r="AQ46" s="434"/>
      <c r="AS46" s="390"/>
      <c r="AU46" s="390"/>
    </row>
    <row r="47" spans="2:57" s="98" customFormat="1" ht="62.25" customHeight="1" x14ac:dyDescent="1.35">
      <c r="B47" s="351">
        <v>11</v>
      </c>
      <c r="C47" s="406">
        <f>+B47</f>
        <v>11</v>
      </c>
      <c r="D47" s="407" t="s">
        <v>436</v>
      </c>
      <c r="E47" s="111"/>
      <c r="F47" s="111" t="s">
        <v>35</v>
      </c>
      <c r="G47" s="106" t="s">
        <v>435</v>
      </c>
      <c r="H47" s="111"/>
      <c r="I47" s="111" t="s">
        <v>38</v>
      </c>
      <c r="J47" s="113">
        <v>38.729999999999997</v>
      </c>
      <c r="K47" s="130">
        <v>58</v>
      </c>
      <c r="L47" s="101" t="s">
        <v>17</v>
      </c>
      <c r="M47" s="214">
        <v>0</v>
      </c>
      <c r="N47" s="214">
        <v>0</v>
      </c>
      <c r="O47" s="214">
        <v>50</v>
      </c>
      <c r="P47" s="214">
        <v>50</v>
      </c>
      <c r="Q47" s="214">
        <v>50</v>
      </c>
      <c r="R47" s="214">
        <v>50</v>
      </c>
      <c r="S47" s="214">
        <v>50</v>
      </c>
      <c r="T47" s="214">
        <v>50</v>
      </c>
      <c r="U47" s="214">
        <v>39</v>
      </c>
      <c r="V47" s="214"/>
      <c r="W47" s="214"/>
      <c r="X47" s="352">
        <f>+IF(H48="s",0,IF(Z47=0,0,IF(COUNTA(M47:W47)=AJ49+0.25,SUMIF($C:$C,B47,$Z:$Z)/AJ49+0.25,SUMIF($C:$C,B47,$Z:$Z)/(COUNTA(M47:W47)))))</f>
        <v>38.99285714285714</v>
      </c>
      <c r="Y47" s="534"/>
      <c r="Z47" s="353">
        <f t="shared" si="1"/>
        <v>339</v>
      </c>
      <c r="AA47" s="354">
        <f>+Z47+AB47</f>
        <v>1143</v>
      </c>
      <c r="AB47" s="354">
        <v>804</v>
      </c>
      <c r="AC47" s="355">
        <f>+AA46-AA47</f>
        <v>778</v>
      </c>
      <c r="AD47" s="131">
        <f>+IF(((Z48+(Z49/2))*60)=0,"",(J47*Z47)/((Z48+(Z49/2))*60))</f>
        <v>0.57947567030784508</v>
      </c>
      <c r="AE47" s="347">
        <f>+Z48+Z49/2</f>
        <v>377.625</v>
      </c>
      <c r="AF47" s="347">
        <f t="shared" si="2"/>
        <v>377.375</v>
      </c>
      <c r="AG47" s="341">
        <f t="shared" si="3"/>
        <v>22657.5</v>
      </c>
      <c r="AH47" s="341">
        <f>+Z47*J47</f>
        <v>13129.47</v>
      </c>
      <c r="AI47" s="356">
        <f>+Z47-(AE47*K47/K49)</f>
        <v>-182.48214285714289</v>
      </c>
      <c r="AJ47" s="348"/>
      <c r="AK47" s="349"/>
      <c r="AL47" s="341"/>
      <c r="AM47" s="341"/>
      <c r="AN47" s="341"/>
      <c r="AO47" s="341"/>
      <c r="AP47" s="339">
        <f t="shared" si="8"/>
        <v>-151.75</v>
      </c>
      <c r="AQ47" s="434">
        <v>1.5</v>
      </c>
      <c r="AS47" s="390">
        <v>717</v>
      </c>
      <c r="AU47" s="390">
        <f t="shared" ref="AU47" si="17">+AS47-AC47</f>
        <v>-61</v>
      </c>
      <c r="AV47" s="535" t="s">
        <v>473</v>
      </c>
      <c r="AW47" s="535"/>
      <c r="AX47" s="535"/>
      <c r="AY47" s="535"/>
      <c r="AZ47" s="535"/>
      <c r="BA47" s="535"/>
      <c r="BB47" s="535"/>
      <c r="BC47" s="535"/>
      <c r="BD47" s="535"/>
      <c r="BE47" s="535"/>
    </row>
    <row r="48" spans="2:57" s="98" customFormat="1" ht="62.25" customHeight="1" x14ac:dyDescent="0.9">
      <c r="B48" s="357">
        <f>+B47</f>
        <v>11</v>
      </c>
      <c r="C48" s="408"/>
      <c r="D48" s="184"/>
      <c r="E48" s="111">
        <f>+B47</f>
        <v>11</v>
      </c>
      <c r="F48" s="412"/>
      <c r="G48" s="113">
        <f>+IFERROR(IF(K49=0,0,IF((LOOKUP(2,1/(M48:W48&lt;&gt;""),M48:W48)-K49)&lt;0,0,IF(K49=0,"",LOOKUP(2,1/(M48:W48&lt;&gt;""),M48:W48)-K49))),0)</f>
        <v>1</v>
      </c>
      <c r="H48" s="411" t="s">
        <v>412</v>
      </c>
      <c r="I48" s="113"/>
      <c r="J48" s="113">
        <v>1</v>
      </c>
      <c r="K48" s="114" t="s">
        <v>22</v>
      </c>
      <c r="L48" s="102" t="s">
        <v>18</v>
      </c>
      <c r="M48" s="448">
        <v>41</v>
      </c>
      <c r="N48" s="448">
        <v>42</v>
      </c>
      <c r="O48" s="448">
        <v>43</v>
      </c>
      <c r="P48" s="448">
        <v>43</v>
      </c>
      <c r="Q48" s="448">
        <v>43</v>
      </c>
      <c r="R48" s="448">
        <v>43</v>
      </c>
      <c r="S48" s="448">
        <v>43</v>
      </c>
      <c r="T48" s="448">
        <v>43</v>
      </c>
      <c r="U48" s="448">
        <v>43</v>
      </c>
      <c r="V48" s="448"/>
      <c r="W48" s="448"/>
      <c r="X48" s="358">
        <f>+IF(H48="l",IF(COUNTA(M47:W47)=AJ49+0.25,Z47-K47*AJ49,Z47-(K47*COUNTA(M47:W47))),IF(H48="s",0,IF(COUNTA(M47:W47)=AJ49+0.25,SUMIF($C:$C,B47,$Z:$Z)-K47*AJ49,SUMIF($C:$C,B47,$Z:$Z)-K47*COUNTA(M47:W47))))</f>
        <v>-168.5</v>
      </c>
      <c r="Y48" s="534"/>
      <c r="Z48" s="359">
        <f t="shared" si="7"/>
        <v>373.25</v>
      </c>
      <c r="AA48" s="360"/>
      <c r="AB48" s="360"/>
      <c r="AC48" s="362"/>
      <c r="AD48" s="363"/>
      <c r="AE48" s="346"/>
      <c r="AF48" s="347">
        <f t="shared" si="2"/>
        <v>0</v>
      </c>
      <c r="AG48" s="341">
        <f t="shared" si="3"/>
        <v>0</v>
      </c>
      <c r="AH48" s="341"/>
      <c r="AI48" s="341"/>
      <c r="AJ48" s="348"/>
      <c r="AK48" s="349">
        <f>+IF(AJ49=7.75,SUM(M48:S48)+T48*0.75,IF(AJ49=8,SUM(M48:T48),IF(AJ49=7.25,SUM(M48:S48)+T48*0.25,IF(AJ49=8.25,SUM(M48:T48)+U48*0.25,IF(AJ49=8.75,SUM(M48:T48)+U48*0.75,0)))))</f>
        <v>373.25</v>
      </c>
      <c r="AL48" s="341">
        <f>+AK48-Z48</f>
        <v>0</v>
      </c>
      <c r="AM48" s="341"/>
      <c r="AN48" s="341"/>
      <c r="AO48" s="341"/>
      <c r="AP48" s="438"/>
      <c r="AQ48" s="434"/>
      <c r="AS48" s="390"/>
      <c r="AU48" s="390"/>
    </row>
    <row r="49" spans="2:57" s="98" customFormat="1" ht="62.25" customHeight="1" thickBot="1" x14ac:dyDescent="0.95">
      <c r="B49" s="364">
        <f>+B47</f>
        <v>11</v>
      </c>
      <c r="C49" s="410"/>
      <c r="D49" s="174" t="s">
        <v>418</v>
      </c>
      <c r="E49" s="175">
        <f>+E48+100</f>
        <v>111</v>
      </c>
      <c r="F49" s="175"/>
      <c r="G49" s="444">
        <f>+SUMPRODUCT((M48:W48&lt;&gt;"")*(M48:W48&lt;&gt;0)*(M48:W48-K49))</f>
        <v>6</v>
      </c>
      <c r="H49" s="117"/>
      <c r="I49" s="442"/>
      <c r="J49" s="165">
        <f>+IF(K49="","",IF(K47=0,"",(K47*J47)/(K49*60)))</f>
        <v>0.89140476190476181</v>
      </c>
      <c r="K49" s="118">
        <v>42</v>
      </c>
      <c r="L49" s="104" t="s">
        <v>422</v>
      </c>
      <c r="M49" s="216">
        <v>1</v>
      </c>
      <c r="N49" s="216">
        <v>1</v>
      </c>
      <c r="O49" s="216">
        <v>1</v>
      </c>
      <c r="P49" s="216">
        <v>1</v>
      </c>
      <c r="Q49" s="216">
        <v>1</v>
      </c>
      <c r="R49" s="216">
        <v>1</v>
      </c>
      <c r="S49" s="216">
        <v>1</v>
      </c>
      <c r="T49" s="216">
        <v>1</v>
      </c>
      <c r="U49" s="216">
        <v>1</v>
      </c>
      <c r="V49" s="216"/>
      <c r="W49" s="216"/>
      <c r="X49" s="451"/>
      <c r="Y49" s="371">
        <f>19.25+IF(COUNTA(M47:W47)=$AI$4+0.25,$AI$4-(Z47/K47),COUNTA(M47:W47)-(Z47/K47))</f>
        <v>22.155172413793103</v>
      </c>
      <c r="Z49" s="366">
        <f t="shared" si="7"/>
        <v>8.75</v>
      </c>
      <c r="AA49" s="367"/>
      <c r="AB49" s="367"/>
      <c r="AC49" s="368">
        <f>+IFERROR(AC47/(K47*$AP$3),"")</f>
        <v>1.5330049261083745</v>
      </c>
      <c r="AD49" s="369"/>
      <c r="AE49" s="347"/>
      <c r="AF49" s="347">
        <f t="shared" si="2"/>
        <v>0</v>
      </c>
      <c r="AG49" s="341">
        <f t="shared" si="3"/>
        <v>0</v>
      </c>
      <c r="AH49" s="341"/>
      <c r="AI49" s="356"/>
      <c r="AJ49" s="370">
        <f>+$AI$4</f>
        <v>8.75</v>
      </c>
      <c r="AK49" s="349">
        <f>+IF(AJ49=7.75,SUM(M49:S49)+T49*0.75,IF(AJ49=8,SUM(M49:T49),IF(AJ49=7.25,SUM(M49:S49)+T49*0.25,IF(AJ49=8.25,SUM(M49:T49)+U49*0.25,IF(AJ49=8.75,SUM(M49:T49)+U49*0.75,0)))))</f>
        <v>8.75</v>
      </c>
      <c r="AL49" s="341">
        <f>+AK49-Z49</f>
        <v>0</v>
      </c>
      <c r="AM49" s="341"/>
      <c r="AN49" s="341"/>
      <c r="AO49" s="341"/>
      <c r="AP49" s="369"/>
      <c r="AQ49" s="434"/>
      <c r="AS49" s="390">
        <v>1.437593984962406</v>
      </c>
      <c r="AU49" s="390"/>
    </row>
    <row r="50" spans="2:57" s="98" customFormat="1" ht="62.25" customHeight="1" thickTop="1" x14ac:dyDescent="0.9">
      <c r="B50" s="342">
        <f>+B51</f>
        <v>12</v>
      </c>
      <c r="C50" s="405"/>
      <c r="D50" s="106"/>
      <c r="E50" s="106"/>
      <c r="F50" s="106"/>
      <c r="G50" s="439">
        <f>+G51</f>
        <v>0</v>
      </c>
      <c r="H50" s="106"/>
      <c r="I50" s="106"/>
      <c r="J50" s="107" t="s">
        <v>20</v>
      </c>
      <c r="K50" s="108" t="s">
        <v>23</v>
      </c>
      <c r="L50" s="100" t="s">
        <v>21</v>
      </c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47" t="str">
        <f t="shared" si="0"/>
        <v/>
      </c>
      <c r="Y50" s="533">
        <f>+X52</f>
        <v>0</v>
      </c>
      <c r="Z50" s="450">
        <f t="shared" si="1"/>
        <v>0</v>
      </c>
      <c r="AA50" s="343">
        <f>+AB50+Z50</f>
        <v>0</v>
      </c>
      <c r="AB50" s="343">
        <v>0</v>
      </c>
      <c r="AC50" s="344"/>
      <c r="AD50" s="345"/>
      <c r="AE50" s="346"/>
      <c r="AF50" s="347"/>
      <c r="AG50" s="341"/>
      <c r="AH50" s="341"/>
      <c r="AI50" s="341"/>
      <c r="AJ50" s="348"/>
      <c r="AK50" s="349"/>
      <c r="AL50" s="341"/>
      <c r="AM50" s="341"/>
      <c r="AN50" s="341"/>
      <c r="AO50" s="341"/>
      <c r="AP50" s="350"/>
      <c r="AQ50" s="434"/>
      <c r="AS50" s="390"/>
      <c r="AU50" s="390"/>
    </row>
    <row r="51" spans="2:57" s="98" customFormat="1" ht="62.25" customHeight="1" x14ac:dyDescent="0.9">
      <c r="B51" s="351">
        <v>12</v>
      </c>
      <c r="C51" s="406">
        <v>12</v>
      </c>
      <c r="D51" s="407"/>
      <c r="E51" s="111"/>
      <c r="F51" s="111"/>
      <c r="G51" s="106"/>
      <c r="H51" s="111"/>
      <c r="I51" s="111"/>
      <c r="J51" s="113"/>
      <c r="K51" s="130"/>
      <c r="L51" s="101" t="s">
        <v>17</v>
      </c>
      <c r="M51" s="454"/>
      <c r="N51" s="454"/>
      <c r="O51" s="454"/>
      <c r="P51" s="454"/>
      <c r="Q51" s="454"/>
      <c r="R51" s="454"/>
      <c r="S51" s="454"/>
      <c r="T51" s="454"/>
      <c r="U51" s="454"/>
      <c r="V51" s="454"/>
      <c r="W51" s="454"/>
      <c r="X51" s="352">
        <f>+IF(H52="s",0,IF(Z51=0,0,IF(COUNTA(M51:W51)=AJ53+0.25,SUMIF($C:$C,B51,$Z:$Z)/AJ53+0.25,SUMIF($C:$C,B51,$Z:$Z)/(COUNTA(M51:W51)))))</f>
        <v>0</v>
      </c>
      <c r="Y51" s="534"/>
      <c r="Z51" s="353">
        <f t="shared" si="1"/>
        <v>0</v>
      </c>
      <c r="AA51" s="354">
        <f>+Z51+AB51</f>
        <v>0</v>
      </c>
      <c r="AB51" s="354">
        <v>0</v>
      </c>
      <c r="AC51" s="355">
        <f>+AA50-AA51</f>
        <v>0</v>
      </c>
      <c r="AD51" s="131" t="str">
        <f>+IF(((Z52+(Z53/2))*60)=0,"",(J51*Z51)/((Z52+(Z53/2))*60))</f>
        <v/>
      </c>
      <c r="AE51" s="347"/>
      <c r="AF51" s="347"/>
      <c r="AG51" s="341"/>
      <c r="AH51" s="341"/>
      <c r="AI51" s="356"/>
      <c r="AJ51" s="348"/>
      <c r="AK51" s="349"/>
      <c r="AL51" s="341"/>
      <c r="AM51" s="341"/>
      <c r="AN51" s="341"/>
      <c r="AO51" s="341"/>
      <c r="AP51" s="339" t="str">
        <f t="shared" si="8"/>
        <v/>
      </c>
      <c r="AQ51" s="434"/>
      <c r="AS51" s="390">
        <v>0</v>
      </c>
      <c r="AU51" s="390">
        <f t="shared" ref="AU51" si="18">+AS51-AC51</f>
        <v>0</v>
      </c>
    </row>
    <row r="52" spans="2:57" s="98" customFormat="1" ht="62.25" customHeight="1" x14ac:dyDescent="0.9">
      <c r="B52" s="357">
        <f>+B51</f>
        <v>12</v>
      </c>
      <c r="C52" s="408"/>
      <c r="D52" s="184"/>
      <c r="E52" s="111">
        <f>+B51</f>
        <v>12</v>
      </c>
      <c r="F52" s="409"/>
      <c r="G52" s="113">
        <f>+IFERROR(IF(K53=0,0,IF((LOOKUP(2,1/(M52:W52&lt;&gt;""),M52:W52)-K53)&lt;0,0,IF(K53=0,"",LOOKUP(2,1/(M52:W52&lt;&gt;""),M52:W52)-K53))),0)</f>
        <v>0</v>
      </c>
      <c r="H52" s="411"/>
      <c r="I52" s="113"/>
      <c r="J52" s="113"/>
      <c r="K52" s="114" t="s">
        <v>22</v>
      </c>
      <c r="L52" s="102" t="s">
        <v>18</v>
      </c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358">
        <f>+IF(H52="l",IF(COUNTA(M51:W51)=AJ53+0.25,Z51-K51*AJ53,Z51-(K51*COUNTA(M51:W51))),IF(H52="s",0,IF(COUNTA(M51:W51)=AJ53+0.25,SUMIF($C:$C,B51,$Z:$Z)-K51*AJ53,SUMIF($C:$C,B51,$Z:$Z)-K51*COUNTA(M51:W51))))</f>
        <v>0</v>
      </c>
      <c r="Y52" s="534"/>
      <c r="Z52" s="359">
        <f t="shared" si="7"/>
        <v>0</v>
      </c>
      <c r="AA52" s="360"/>
      <c r="AB52" s="360"/>
      <c r="AC52" s="362"/>
      <c r="AD52" s="363"/>
      <c r="AE52" s="346"/>
      <c r="AF52" s="347"/>
      <c r="AG52" s="341"/>
      <c r="AH52" s="341"/>
      <c r="AI52" s="341"/>
      <c r="AJ52" s="348"/>
      <c r="AK52" s="349"/>
      <c r="AL52" s="341"/>
      <c r="AM52" s="341"/>
      <c r="AN52" s="341"/>
      <c r="AO52" s="341"/>
      <c r="AP52" s="438"/>
      <c r="AQ52" s="434"/>
      <c r="AS52" s="390"/>
      <c r="AU52" s="390"/>
    </row>
    <row r="53" spans="2:57" s="98" customFormat="1" ht="62.25" customHeight="1" thickBot="1" x14ac:dyDescent="0.95">
      <c r="B53" s="364">
        <f>+B51</f>
        <v>12</v>
      </c>
      <c r="C53" s="410"/>
      <c r="D53" s="174"/>
      <c r="E53" s="175">
        <f>+E52+100</f>
        <v>112</v>
      </c>
      <c r="F53" s="175"/>
      <c r="G53" s="444">
        <f>+SUMPRODUCT((M52:W52&lt;&gt;"")*(M52:W52&lt;&gt;0)*(M52:W52-K53))</f>
        <v>0</v>
      </c>
      <c r="H53" s="117"/>
      <c r="I53" s="442"/>
      <c r="J53" s="165" t="str">
        <f>+IF(K53="","",IF(K51=0,"",(K51*J51)/(K53*60)))</f>
        <v/>
      </c>
      <c r="K53" s="118"/>
      <c r="L53" s="104" t="s">
        <v>19</v>
      </c>
      <c r="M53" s="455"/>
      <c r="N53" s="455"/>
      <c r="O53" s="455"/>
      <c r="P53" s="455"/>
      <c r="Q53" s="455"/>
      <c r="R53" s="455"/>
      <c r="S53" s="455"/>
      <c r="T53" s="455"/>
      <c r="U53" s="455"/>
      <c r="V53" s="455"/>
      <c r="W53" s="455"/>
      <c r="X53" s="451"/>
      <c r="Y53" s="371"/>
      <c r="Z53" s="366">
        <f t="shared" si="7"/>
        <v>0</v>
      </c>
      <c r="AA53" s="367"/>
      <c r="AB53" s="367"/>
      <c r="AC53" s="368" t="str">
        <f>+IFERROR(AC51/(K51*$AP$3),"")</f>
        <v/>
      </c>
      <c r="AD53" s="369"/>
      <c r="AE53" s="347"/>
      <c r="AF53" s="347"/>
      <c r="AG53" s="341"/>
      <c r="AH53" s="341"/>
      <c r="AI53" s="356"/>
      <c r="AJ53" s="370">
        <v>10.25</v>
      </c>
      <c r="AK53" s="349"/>
      <c r="AL53" s="341"/>
      <c r="AM53" s="341"/>
      <c r="AN53" s="341"/>
      <c r="AO53" s="341"/>
      <c r="AP53" s="369"/>
      <c r="AQ53" s="434"/>
      <c r="AS53" s="390" t="s">
        <v>416</v>
      </c>
      <c r="AU53" s="390"/>
    </row>
    <row r="54" spans="2:57" s="98" customFormat="1" ht="62.25" customHeight="1" thickTop="1" x14ac:dyDescent="0.9">
      <c r="B54" s="342">
        <f>+B55</f>
        <v>13</v>
      </c>
      <c r="C54" s="405"/>
      <c r="D54" s="106"/>
      <c r="E54" s="106"/>
      <c r="F54" s="106"/>
      <c r="G54" s="439" t="str">
        <f>+G55</f>
        <v>2158-755-712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60</v>
      </c>
      <c r="N54" s="448">
        <v>120</v>
      </c>
      <c r="O54" s="448">
        <v>60</v>
      </c>
      <c r="P54" s="448">
        <v>60</v>
      </c>
      <c r="Q54" s="448">
        <v>120</v>
      </c>
      <c r="R54" s="448"/>
      <c r="S54" s="448"/>
      <c r="T54" s="448"/>
      <c r="U54" s="448"/>
      <c r="V54" s="448"/>
      <c r="W54" s="448"/>
      <c r="X54" s="447">
        <f t="shared" si="0"/>
        <v>420</v>
      </c>
      <c r="Y54" s="533">
        <f>+X56</f>
        <v>-78</v>
      </c>
      <c r="Z54" s="450">
        <f t="shared" si="1"/>
        <v>420</v>
      </c>
      <c r="AA54" s="343">
        <f>+AB54+Z54</f>
        <v>3781</v>
      </c>
      <c r="AB54" s="343">
        <v>3361</v>
      </c>
      <c r="AC54" s="344"/>
      <c r="AD54" s="345"/>
      <c r="AE54" s="346"/>
      <c r="AF54" s="347">
        <f t="shared" si="2"/>
        <v>0</v>
      </c>
      <c r="AG54" s="341">
        <f t="shared" si="3"/>
        <v>0</v>
      </c>
      <c r="AH54" s="341"/>
      <c r="AI54" s="341"/>
      <c r="AJ54" s="348"/>
      <c r="AK54" s="349"/>
      <c r="AL54" s="341"/>
      <c r="AM54" s="341"/>
      <c r="AN54" s="341"/>
      <c r="AO54" s="341"/>
      <c r="AP54" s="350"/>
      <c r="AQ54" s="434"/>
      <c r="AS54" s="390"/>
      <c r="AU54" s="390"/>
    </row>
    <row r="55" spans="2:57" s="98" customFormat="1" ht="62.25" customHeight="1" x14ac:dyDescent="0.9">
      <c r="B55" s="351">
        <v>13</v>
      </c>
      <c r="C55" s="406">
        <f>+B55</f>
        <v>13</v>
      </c>
      <c r="D55" s="407" t="s">
        <v>431</v>
      </c>
      <c r="E55" s="111"/>
      <c r="F55" s="111" t="s">
        <v>35</v>
      </c>
      <c r="G55" s="106" t="s">
        <v>432</v>
      </c>
      <c r="H55" s="111"/>
      <c r="I55" s="111" t="s">
        <v>33</v>
      </c>
      <c r="J55" s="113">
        <v>51.42</v>
      </c>
      <c r="K55" s="130">
        <v>48</v>
      </c>
      <c r="L55" s="101" t="s">
        <v>17</v>
      </c>
      <c r="M55" s="214">
        <v>40</v>
      </c>
      <c r="N55" s="214">
        <v>45</v>
      </c>
      <c r="O55" s="214">
        <v>52</v>
      </c>
      <c r="P55" s="214">
        <v>52</v>
      </c>
      <c r="Q55" s="214">
        <v>24</v>
      </c>
      <c r="R55" s="214">
        <v>45</v>
      </c>
      <c r="S55" s="214">
        <v>22</v>
      </c>
      <c r="T55" s="214">
        <v>45</v>
      </c>
      <c r="U55" s="214">
        <v>17</v>
      </c>
      <c r="V55" s="214"/>
      <c r="W55" s="214"/>
      <c r="X55" s="352">
        <f>+IF(H56="s",0,IF(Z55=0,0,IF(COUNTA(M55:W55)=AJ57+0.25,SUMIF($C:$C,B55,$Z:$Z)/AJ57+0.25,SUMIF($C:$C,B55,$Z:$Z)/(COUNTA(M55:W55)))))</f>
        <v>39.335714285714289</v>
      </c>
      <c r="Y55" s="534"/>
      <c r="Z55" s="353">
        <f t="shared" si="1"/>
        <v>342</v>
      </c>
      <c r="AA55" s="354">
        <f>+Z55+AB55</f>
        <v>3033</v>
      </c>
      <c r="AB55" s="354">
        <v>2691</v>
      </c>
      <c r="AC55" s="355">
        <f>+AA54-AA55</f>
        <v>748</v>
      </c>
      <c r="AD55" s="131">
        <f>+IF(((Z56+(Z57/2))*60)=0,"",(J55*Z55)/((Z56+(Z57/2))*60))</f>
        <v>0.6978428571428571</v>
      </c>
      <c r="AE55" s="347">
        <f>+Z56+Z57/2</f>
        <v>420</v>
      </c>
      <c r="AF55" s="347">
        <f t="shared" si="2"/>
        <v>420</v>
      </c>
      <c r="AG55" s="341">
        <f t="shared" si="3"/>
        <v>25200</v>
      </c>
      <c r="AH55" s="341">
        <f>+Z55*J55</f>
        <v>17585.64</v>
      </c>
      <c r="AI55" s="356">
        <f>+Z55-(AE55*K55/K57)</f>
        <v>-78</v>
      </c>
      <c r="AJ55" s="348"/>
      <c r="AK55" s="349"/>
      <c r="AL55" s="341"/>
      <c r="AM55" s="341"/>
      <c r="AN55" s="341"/>
      <c r="AO55" s="341"/>
      <c r="AP55" s="339">
        <f t="shared" ref="AP55" si="19">IF(AQ55=0,"",AS55-(($AP$3*K55)+($AP$3*K55)*AQ55)+Z54)</f>
        <v>23.199999999999818</v>
      </c>
      <c r="AQ55" s="434">
        <v>1.54</v>
      </c>
      <c r="AS55" s="390">
        <v>670</v>
      </c>
      <c r="AU55" s="390">
        <f t="shared" ref="AU55" si="20">+AS55-AC55</f>
        <v>-78</v>
      </c>
    </row>
    <row r="56" spans="2:57" s="98" customFormat="1" ht="62.25" customHeight="1" x14ac:dyDescent="0.9">
      <c r="B56" s="357">
        <f>+B55</f>
        <v>13</v>
      </c>
      <c r="C56" s="408"/>
      <c r="D56" s="184"/>
      <c r="E56" s="111">
        <f>+B55</f>
        <v>13</v>
      </c>
      <c r="F56" s="412"/>
      <c r="G56" s="113">
        <f>+IFERROR(IF(K57=0,0,IF((LOOKUP(2,1/(M56:W56&lt;&gt;""),M56:W56)-K57)&lt;0,0,IF(K57=0,"",LOOKUP(2,1/(M56:W56&lt;&gt;""),M56:W56)-K57))),0)</f>
        <v>0</v>
      </c>
      <c r="H56" s="411"/>
      <c r="I56" s="113"/>
      <c r="J56" s="113">
        <v>1</v>
      </c>
      <c r="K56" s="114" t="s">
        <v>22</v>
      </c>
      <c r="L56" s="102" t="s">
        <v>18</v>
      </c>
      <c r="M56" s="448">
        <v>48</v>
      </c>
      <c r="N56" s="448">
        <v>48</v>
      </c>
      <c r="O56" s="448">
        <v>48</v>
      </c>
      <c r="P56" s="448">
        <v>48</v>
      </c>
      <c r="Q56" s="448">
        <v>48</v>
      </c>
      <c r="R56" s="448">
        <v>48</v>
      </c>
      <c r="S56" s="448">
        <v>48</v>
      </c>
      <c r="T56" s="448">
        <v>48</v>
      </c>
      <c r="U56" s="448">
        <v>48</v>
      </c>
      <c r="V56" s="448"/>
      <c r="W56" s="448"/>
      <c r="X56" s="358">
        <f>+IF(H56="l",IF(COUNTA(M55:W55)=AJ57+0.25,Z55-K55*AJ57,Z55-(K55*COUNTA(M55:W55))),IF(H56="s",0,IF(COUNTA(M55:W55)=AJ57+0.25,SUMIF($C:$C,B55,$Z:$Z)-K55*AJ57,SUMIF($C:$C,B55,$Z:$Z)-K55*COUNTA(M55:W55))))</f>
        <v>-78</v>
      </c>
      <c r="Y56" s="534"/>
      <c r="Z56" s="359">
        <f t="shared" si="7"/>
        <v>420</v>
      </c>
      <c r="AA56" s="360"/>
      <c r="AB56" s="360"/>
      <c r="AC56" s="362"/>
      <c r="AD56" s="363"/>
      <c r="AE56" s="346"/>
      <c r="AF56" s="347">
        <f t="shared" si="2"/>
        <v>0</v>
      </c>
      <c r="AG56" s="341">
        <f t="shared" si="3"/>
        <v>0</v>
      </c>
      <c r="AH56" s="341"/>
      <c r="AI56" s="341"/>
      <c r="AJ56" s="348"/>
      <c r="AK56" s="349">
        <f>+IF(AJ57=7.75,SUM(M56:S56)+T56*0.75,IF(AJ57=8,SUM(M56:T56),IF(AJ57=7.25,SUM(M56:S56)+T56*0.25,IF(AJ57=8.25,SUM(M56:T56)+U56*0.25,IF(AJ57=8.75,SUM(M56:T56)+U56*0.75,0)))))</f>
        <v>420</v>
      </c>
      <c r="AL56" s="341">
        <f>+AK56-Z56</f>
        <v>0</v>
      </c>
      <c r="AM56" s="341"/>
      <c r="AN56" s="341"/>
      <c r="AO56" s="341"/>
      <c r="AP56" s="438"/>
      <c r="AQ56" s="434"/>
      <c r="AS56" s="390"/>
      <c r="AU56" s="390"/>
    </row>
    <row r="57" spans="2:57" s="98" customFormat="1" ht="62.25" customHeight="1" thickBot="1" x14ac:dyDescent="0.95">
      <c r="B57" s="364">
        <f>+B55</f>
        <v>13</v>
      </c>
      <c r="C57" s="410"/>
      <c r="D57" s="174"/>
      <c r="E57" s="175">
        <f>+E56+100</f>
        <v>113</v>
      </c>
      <c r="F57" s="175"/>
      <c r="G57" s="444">
        <f>+SUMPRODUCT((M56:W56&lt;&gt;"")*(M56:W56&lt;&gt;0)*(M56:W56-K57))</f>
        <v>0</v>
      </c>
      <c r="H57" s="117"/>
      <c r="I57" s="442"/>
      <c r="J57" s="165">
        <f>+IF(K57="","",IF(K55=0,"",(K55*J55)/(K57*60)))</f>
        <v>0.85699999999999998</v>
      </c>
      <c r="K57" s="118">
        <v>48</v>
      </c>
      <c r="L57" s="104" t="s">
        <v>19</v>
      </c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451"/>
      <c r="Y57" s="365">
        <v>30.54</v>
      </c>
      <c r="Z57" s="366">
        <f t="shared" si="7"/>
        <v>0</v>
      </c>
      <c r="AA57" s="367"/>
      <c r="AB57" s="367"/>
      <c r="AC57" s="368">
        <f>+IFERROR(AC55/(K55*$AP$3),"")</f>
        <v>1.7809523809523808</v>
      </c>
      <c r="AD57" s="369"/>
      <c r="AE57" s="347"/>
      <c r="AF57" s="347">
        <f t="shared" si="2"/>
        <v>0</v>
      </c>
      <c r="AG57" s="341">
        <f t="shared" si="3"/>
        <v>0</v>
      </c>
      <c r="AH57" s="341"/>
      <c r="AI57" s="356"/>
      <c r="AJ57" s="370">
        <f>+$AI$4</f>
        <v>8.75</v>
      </c>
      <c r="AK57" s="349">
        <f>+IF(AJ57=7.75,SUM(M57:S57)+T57*0.75,IF(AJ57=8,SUM(M57:T57),IF(AJ57=7.25,SUM(M57:S57)+T57*0.25,IF(AJ57=8.25,SUM(M57:T57)+U57*0.25,IF(AJ57=8.75,SUM(M57:T57)+U57*0.75,0)))))</f>
        <v>0</v>
      </c>
      <c r="AL57" s="341">
        <f>+AK57-Z57</f>
        <v>0</v>
      </c>
      <c r="AM57" s="341"/>
      <c r="AN57" s="341"/>
      <c r="AO57" s="341"/>
      <c r="AP57" s="369"/>
      <c r="AQ57" s="434"/>
      <c r="AS57" s="390">
        <v>1.4725274725274726</v>
      </c>
      <c r="AU57" s="390"/>
    </row>
    <row r="58" spans="2:57" s="98" customFormat="1" ht="58.5" customHeight="1" thickTop="1" x14ac:dyDescent="0.9">
      <c r="B58" s="373">
        <f>+B59</f>
        <v>14</v>
      </c>
      <c r="C58" s="405"/>
      <c r="D58" s="106"/>
      <c r="E58" s="106"/>
      <c r="F58" s="106"/>
      <c r="G58" s="439" t="str">
        <f>+G59</f>
        <v>NEGRONI-202942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50</v>
      </c>
      <c r="N58" s="448">
        <v>100</v>
      </c>
      <c r="O58" s="448">
        <v>100</v>
      </c>
      <c r="P58" s="448">
        <v>100</v>
      </c>
      <c r="Q58" s="448">
        <v>100</v>
      </c>
      <c r="R58" s="448"/>
      <c r="S58" s="448">
        <v>50</v>
      </c>
      <c r="T58" s="448"/>
      <c r="U58" s="448"/>
      <c r="V58" s="448"/>
      <c r="W58" s="448"/>
      <c r="X58" s="447">
        <f t="shared" si="0"/>
        <v>500</v>
      </c>
      <c r="Y58" s="533">
        <f>+X60</f>
        <v>-94</v>
      </c>
      <c r="Z58" s="450">
        <f t="shared" si="1"/>
        <v>500</v>
      </c>
      <c r="AA58" s="343">
        <f>+AB58+Z58</f>
        <v>4950</v>
      </c>
      <c r="AB58" s="343">
        <v>4450</v>
      </c>
      <c r="AC58" s="344"/>
      <c r="AD58" s="345"/>
      <c r="AE58" s="346"/>
      <c r="AF58" s="347">
        <f t="shared" si="2"/>
        <v>0</v>
      </c>
      <c r="AG58" s="341">
        <f t="shared" si="3"/>
        <v>0</v>
      </c>
      <c r="AH58" s="341"/>
      <c r="AI58" s="341"/>
      <c r="AJ58" s="348"/>
      <c r="AK58" s="349"/>
      <c r="AL58" s="341"/>
      <c r="AM58" s="341"/>
      <c r="AN58" s="341"/>
      <c r="AO58" s="341"/>
      <c r="AP58" s="350"/>
      <c r="AQ58" s="434"/>
      <c r="AS58" s="390"/>
      <c r="AU58" s="390"/>
    </row>
    <row r="59" spans="2:57" s="98" customFormat="1" ht="58.5" customHeight="1" x14ac:dyDescent="0.9">
      <c r="B59" s="374">
        <v>14</v>
      </c>
      <c r="C59" s="406">
        <f>+B59</f>
        <v>14</v>
      </c>
      <c r="D59" s="407" t="s">
        <v>427</v>
      </c>
      <c r="E59" s="111"/>
      <c r="F59" s="111" t="s">
        <v>428</v>
      </c>
      <c r="G59" s="106" t="s">
        <v>429</v>
      </c>
      <c r="H59" s="111"/>
      <c r="I59" s="111" t="s">
        <v>430</v>
      </c>
      <c r="J59" s="113">
        <v>48.06</v>
      </c>
      <c r="K59" s="130">
        <v>60</v>
      </c>
      <c r="L59" s="101" t="s">
        <v>17</v>
      </c>
      <c r="M59" s="214">
        <v>60</v>
      </c>
      <c r="N59" s="214">
        <v>60</v>
      </c>
      <c r="O59" s="214">
        <v>60</v>
      </c>
      <c r="P59" s="214">
        <v>60</v>
      </c>
      <c r="Q59" s="214">
        <v>40</v>
      </c>
      <c r="R59" s="214">
        <v>50</v>
      </c>
      <c r="S59" s="214">
        <v>35</v>
      </c>
      <c r="T59" s="214">
        <v>47</v>
      </c>
      <c r="U59" s="214">
        <v>19</v>
      </c>
      <c r="V59" s="214"/>
      <c r="W59" s="214"/>
      <c r="X59" s="352">
        <f>+IF(H60="s",0,IF(Z59=0,0,IF(COUNTA(M59:W59)=AJ61+0.25,SUMIF($C:$C,B59,$Z:$Z)/AJ61+0.25,SUMIF($C:$C,B59,$Z:$Z)/(COUNTA(M59:W59)))))</f>
        <v>49.50714285714286</v>
      </c>
      <c r="Y59" s="534"/>
      <c r="Z59" s="353">
        <f t="shared" si="1"/>
        <v>431</v>
      </c>
      <c r="AA59" s="354">
        <f>+Z59+AB59</f>
        <v>4082</v>
      </c>
      <c r="AB59" s="354">
        <v>3651</v>
      </c>
      <c r="AC59" s="355">
        <f>+AA58-AA59</f>
        <v>868</v>
      </c>
      <c r="AD59" s="131">
        <f>+IF(((Z60+(Z61/2))*60)=0,"",(J59*Z59)/((Z60+(Z61/2))*60))</f>
        <v>0.73531629392971243</v>
      </c>
      <c r="AE59" s="347">
        <f>+Z60+Z61/2</f>
        <v>469.5</v>
      </c>
      <c r="AF59" s="347">
        <f t="shared" si="2"/>
        <v>469.3</v>
      </c>
      <c r="AG59" s="341">
        <f t="shared" si="3"/>
        <v>28170</v>
      </c>
      <c r="AH59" s="341">
        <f>+Z59*J59</f>
        <v>20713.86</v>
      </c>
      <c r="AI59" s="356">
        <f>+Z59-(AE59*K59/K61)</f>
        <v>-81.18181818181813</v>
      </c>
      <c r="AJ59" s="348"/>
      <c r="AK59" s="349"/>
      <c r="AL59" s="341"/>
      <c r="AM59" s="341"/>
      <c r="AN59" s="341"/>
      <c r="AO59" s="341"/>
      <c r="AP59" s="339">
        <f t="shared" ref="AP59" si="21">IF(AQ59=0,"",AS59-(($AP$3*K59)+($AP$3*K59)*AQ59)+Z58)</f>
        <v>0.15000000000009095</v>
      </c>
      <c r="AQ59" s="434">
        <v>1.474</v>
      </c>
      <c r="AS59" s="390">
        <v>799</v>
      </c>
      <c r="AU59" s="390">
        <f t="shared" ref="AU59" si="22">+AS59-AC59</f>
        <v>-69</v>
      </c>
    </row>
    <row r="60" spans="2:57" s="98" customFormat="1" ht="58.5" customHeight="1" x14ac:dyDescent="0.9">
      <c r="B60" s="357">
        <f>+B59</f>
        <v>14</v>
      </c>
      <c r="C60" s="408"/>
      <c r="D60" s="184"/>
      <c r="E60" s="111">
        <f>+B59</f>
        <v>14</v>
      </c>
      <c r="F60" s="409"/>
      <c r="G60" s="113">
        <f>+IFERROR(IF(K61=0,0,IF((LOOKUP(2,1/(M60:W60&lt;&gt;""),M60:W60)-K61)&lt;0,0,IF(K61=0,"",LOOKUP(2,1/(M60:W60&lt;&gt;""),M60:W60)-K61))),0)</f>
        <v>0</v>
      </c>
      <c r="H60" s="411"/>
      <c r="I60" s="113"/>
      <c r="J60" s="113">
        <v>1</v>
      </c>
      <c r="K60" s="114" t="s">
        <v>22</v>
      </c>
      <c r="L60" s="102" t="s">
        <v>18</v>
      </c>
      <c r="M60" s="448">
        <v>50</v>
      </c>
      <c r="N60" s="448">
        <v>53</v>
      </c>
      <c r="O60" s="448">
        <v>53</v>
      </c>
      <c r="P60" s="448">
        <v>53</v>
      </c>
      <c r="Q60" s="448">
        <v>53</v>
      </c>
      <c r="R60" s="448">
        <v>53</v>
      </c>
      <c r="S60" s="448">
        <v>53</v>
      </c>
      <c r="T60" s="448">
        <v>53</v>
      </c>
      <c r="U60" s="448">
        <v>53</v>
      </c>
      <c r="V60" s="448"/>
      <c r="W60" s="448"/>
      <c r="X60" s="358">
        <f>+IF(H60="l",IF(COUNTA(M59:W59)=AJ61+0.25,Z59-K59*AJ61,Z59-(K59*COUNTA(M59:W59))),IF(H60="s",0,IF(COUNTA(M59:W59)=AJ61+0.25,SUMIF($C:$C,B59,$Z:$Z)-K59*AJ61,SUMIF($C:$C,B59,$Z:$Z)-K59*COUNTA(M59:W59))))</f>
        <v>-94</v>
      </c>
      <c r="Y60" s="534"/>
      <c r="Z60" s="359">
        <f t="shared" si="7"/>
        <v>460.75</v>
      </c>
      <c r="AA60" s="360"/>
      <c r="AB60" s="360"/>
      <c r="AC60" s="362"/>
      <c r="AD60" s="363"/>
      <c r="AE60" s="346"/>
      <c r="AF60" s="347">
        <f t="shared" si="2"/>
        <v>0</v>
      </c>
      <c r="AG60" s="341">
        <f t="shared" si="3"/>
        <v>0</v>
      </c>
      <c r="AH60" s="341"/>
      <c r="AI60" s="341"/>
      <c r="AJ60" s="348"/>
      <c r="AK60" s="349">
        <f>+IF(AJ61=7.75,SUM(M60:S60)+T60*0.75,IF(AJ61=8,SUM(M60:T60),IF(AJ61=7.25,SUM(M60:S60)+T60*0.25,IF(AJ61=8.25,SUM(M60:T60)+U60*0.25,IF(AJ61=8.75,SUM(M60:T60)+U60*0.75,0)))))</f>
        <v>460.75</v>
      </c>
      <c r="AL60" s="341">
        <f>+AK60-Z60</f>
        <v>0</v>
      </c>
      <c r="AM60" s="341"/>
      <c r="AN60" s="341"/>
      <c r="AO60" s="341"/>
      <c r="AP60" s="438"/>
      <c r="AQ60" s="434"/>
      <c r="AS60" s="390"/>
      <c r="AU60" s="390"/>
    </row>
    <row r="61" spans="2:57" s="98" customFormat="1" ht="58.5" customHeight="1" thickBot="1" x14ac:dyDescent="0.95">
      <c r="B61" s="364">
        <f>+B59</f>
        <v>14</v>
      </c>
      <c r="C61" s="410"/>
      <c r="D61" s="174" t="s">
        <v>112</v>
      </c>
      <c r="E61" s="175">
        <f>+E60+100</f>
        <v>114</v>
      </c>
      <c r="F61" s="175"/>
      <c r="G61" s="444">
        <f>+SUMPRODUCT((M60:W60&lt;&gt;"")*(M60:W60&lt;&gt;0)*(M60:W60-K61))</f>
        <v>-21</v>
      </c>
      <c r="H61" s="117"/>
      <c r="I61" s="442"/>
      <c r="J61" s="165">
        <f>+IF(K61="","",IF(K59=0,"",(K59*J59)/(K61*60)))</f>
        <v>0.87381818181818194</v>
      </c>
      <c r="K61" s="118">
        <v>55</v>
      </c>
      <c r="L61" s="104" t="s">
        <v>19</v>
      </c>
      <c r="M61" s="216">
        <v>2</v>
      </c>
      <c r="N61" s="216">
        <v>2</v>
      </c>
      <c r="O61" s="216">
        <v>2</v>
      </c>
      <c r="P61" s="216">
        <v>2</v>
      </c>
      <c r="Q61" s="216">
        <v>2</v>
      </c>
      <c r="R61" s="216">
        <v>2</v>
      </c>
      <c r="S61" s="216">
        <v>2</v>
      </c>
      <c r="T61" s="216">
        <v>2</v>
      </c>
      <c r="U61" s="216">
        <v>2</v>
      </c>
      <c r="V61" s="216"/>
      <c r="W61" s="216"/>
      <c r="X61" s="451"/>
      <c r="Y61" s="365">
        <v>43.52</v>
      </c>
      <c r="Z61" s="366">
        <f t="shared" si="7"/>
        <v>17.5</v>
      </c>
      <c r="AA61" s="367"/>
      <c r="AB61" s="367"/>
      <c r="AC61" s="368">
        <f>+IFERROR(AC59/(K59*$AP$3),"")</f>
        <v>1.6533333333333333</v>
      </c>
      <c r="AD61" s="369"/>
      <c r="AE61" s="347"/>
      <c r="AF61" s="347">
        <f t="shared" si="2"/>
        <v>0</v>
      </c>
      <c r="AG61" s="341">
        <f t="shared" si="3"/>
        <v>0</v>
      </c>
      <c r="AH61" s="341"/>
      <c r="AI61" s="356"/>
      <c r="AJ61" s="370">
        <f>+$AI$4</f>
        <v>8.75</v>
      </c>
      <c r="AK61" s="349">
        <f>+IF(AJ61=7.75,SUM(M61:S61)+T61*0.75,IF(AJ61=8,SUM(M61:T61),IF(AJ61=7.25,SUM(M61:S61)+T61*0.25,IF(AJ61=8.25,SUM(M61:T61)+U61*0.25,IF(AJ61=8.75,SUM(M61:T61)+U61*0.75,0)))))</f>
        <v>17.5</v>
      </c>
      <c r="AL61" s="341">
        <f>+AK61-Z61</f>
        <v>0</v>
      </c>
      <c r="AM61" s="341"/>
      <c r="AN61" s="341"/>
      <c r="AO61" s="341"/>
      <c r="AP61" s="369"/>
      <c r="AQ61" s="434"/>
      <c r="AS61" s="390">
        <v>1.5219047619047619</v>
      </c>
      <c r="AU61" s="390"/>
    </row>
    <row r="62" spans="2:57" s="98" customFormat="1" ht="62.25" customHeight="1" thickTop="1" x14ac:dyDescent="0.9">
      <c r="B62" s="342">
        <f>+B63</f>
        <v>15</v>
      </c>
      <c r="C62" s="405"/>
      <c r="D62" s="106"/>
      <c r="E62" s="106"/>
      <c r="F62" s="106"/>
      <c r="G62" s="439" t="str">
        <f>+G63</f>
        <v>2076-780-803</v>
      </c>
      <c r="H62" s="106"/>
      <c r="I62" s="106"/>
      <c r="J62" s="107" t="s">
        <v>20</v>
      </c>
      <c r="K62" s="108" t="s">
        <v>23</v>
      </c>
      <c r="L62" s="100" t="s">
        <v>21</v>
      </c>
      <c r="M62" s="448">
        <v>80</v>
      </c>
      <c r="N62" s="448">
        <v>40</v>
      </c>
      <c r="O62" s="448">
        <v>40</v>
      </c>
      <c r="P62" s="448">
        <v>80</v>
      </c>
      <c r="Q62" s="448">
        <v>80</v>
      </c>
      <c r="R62" s="448">
        <v>80</v>
      </c>
      <c r="S62" s="448">
        <v>80</v>
      </c>
      <c r="T62" s="448"/>
      <c r="U62" s="448"/>
      <c r="V62" s="448"/>
      <c r="W62" s="448"/>
      <c r="X62" s="447">
        <f t="shared" si="0"/>
        <v>480</v>
      </c>
      <c r="Y62" s="533">
        <f>+X64</f>
        <v>0.5</v>
      </c>
      <c r="Z62" s="450">
        <f t="shared" si="1"/>
        <v>480</v>
      </c>
      <c r="AA62" s="343">
        <f>+AB62+Z62</f>
        <v>3158</v>
      </c>
      <c r="AB62" s="343">
        <v>2678</v>
      </c>
      <c r="AC62" s="344"/>
      <c r="AD62" s="345"/>
      <c r="AE62" s="346"/>
      <c r="AF62" s="347">
        <f t="shared" si="2"/>
        <v>0</v>
      </c>
      <c r="AG62" s="341">
        <f t="shared" si="3"/>
        <v>0</v>
      </c>
      <c r="AH62" s="341"/>
      <c r="AI62" s="341"/>
      <c r="AJ62" s="348"/>
      <c r="AK62" s="349"/>
      <c r="AL62" s="341"/>
      <c r="AM62" s="341"/>
      <c r="AN62" s="341"/>
      <c r="AO62" s="341"/>
      <c r="AP62" s="350"/>
      <c r="AQ62" s="434"/>
      <c r="AS62" s="390"/>
      <c r="AU62" s="390"/>
    </row>
    <row r="63" spans="2:57" s="98" customFormat="1" ht="62.25" customHeight="1" x14ac:dyDescent="1.35">
      <c r="B63" s="351">
        <v>15</v>
      </c>
      <c r="C63" s="406">
        <f>+B63</f>
        <v>15</v>
      </c>
      <c r="D63" s="407" t="s">
        <v>436</v>
      </c>
      <c r="E63" s="111"/>
      <c r="F63" s="111" t="s">
        <v>35</v>
      </c>
      <c r="G63" s="106" t="s">
        <v>435</v>
      </c>
      <c r="H63" s="111"/>
      <c r="I63" s="111" t="s">
        <v>38</v>
      </c>
      <c r="J63" s="113">
        <v>38.729999999999997</v>
      </c>
      <c r="K63" s="130">
        <v>58</v>
      </c>
      <c r="L63" s="101" t="s">
        <v>17</v>
      </c>
      <c r="M63" s="214">
        <v>57</v>
      </c>
      <c r="N63" s="214">
        <v>57</v>
      </c>
      <c r="O63" s="214">
        <v>60</v>
      </c>
      <c r="P63" s="214">
        <v>58</v>
      </c>
      <c r="Q63" s="214">
        <v>58</v>
      </c>
      <c r="R63" s="214">
        <v>58</v>
      </c>
      <c r="S63" s="214">
        <v>58</v>
      </c>
      <c r="T63" s="214">
        <v>58</v>
      </c>
      <c r="U63" s="214">
        <v>44</v>
      </c>
      <c r="V63" s="214"/>
      <c r="W63" s="214"/>
      <c r="X63" s="352">
        <f>+IF(H64="s",0,IF(Z63=0,0,IF(COUNTA(M63:W63)=AJ65+0.25,SUMIF($C:$C,B63,$Z:$Z)/AJ65+0.25,SUMIF($C:$C,B63,$Z:$Z)/(COUNTA(M63:W63)))))</f>
        <v>58.307142857142857</v>
      </c>
      <c r="Y63" s="534"/>
      <c r="Z63" s="353">
        <f t="shared" si="1"/>
        <v>508</v>
      </c>
      <c r="AA63" s="354">
        <f>+Z63+AB63</f>
        <v>2336</v>
      </c>
      <c r="AB63" s="354">
        <v>1828</v>
      </c>
      <c r="AC63" s="355">
        <f>+AA62-AA63</f>
        <v>822</v>
      </c>
      <c r="AD63" s="131">
        <f>+IF(((Z64+(Z65/2))*60)=0,"",(J63*Z63)/((Z64+(Z65/2))*60))</f>
        <v>0.87066445403252568</v>
      </c>
      <c r="AE63" s="347">
        <f>+Z64+Z65/2</f>
        <v>376.625</v>
      </c>
      <c r="AF63" s="347">
        <f t="shared" si="2"/>
        <v>376.375</v>
      </c>
      <c r="AG63" s="341">
        <f t="shared" si="3"/>
        <v>22597.5</v>
      </c>
      <c r="AH63" s="341">
        <f>+Z63*J63</f>
        <v>19674.84</v>
      </c>
      <c r="AI63" s="356">
        <f>+Z63-(AE63*K63/K65)</f>
        <v>-12.101190476190482</v>
      </c>
      <c r="AJ63" s="348"/>
      <c r="AK63" s="349"/>
      <c r="AL63" s="341"/>
      <c r="AM63" s="341"/>
      <c r="AN63" s="341"/>
      <c r="AO63" s="341"/>
      <c r="AP63" s="339">
        <f t="shared" ref="AP63" si="23">IF(AQ63=0,"",AS63-(($AP$3*K63)+($AP$3*K63)*AQ63)+Z62)</f>
        <v>20.650000000000091</v>
      </c>
      <c r="AQ63" s="434">
        <v>1.58</v>
      </c>
      <c r="AS63" s="390">
        <v>850</v>
      </c>
      <c r="AU63" s="390">
        <f t="shared" ref="AU63" si="24">+AS63-AC63</f>
        <v>28</v>
      </c>
      <c r="AV63" s="535"/>
      <c r="AW63" s="535"/>
      <c r="AX63" s="535"/>
      <c r="AY63" s="535"/>
      <c r="AZ63" s="535"/>
      <c r="BA63" s="535"/>
      <c r="BB63" s="535"/>
      <c r="BC63" s="535"/>
      <c r="BD63" s="535"/>
      <c r="BE63" s="535"/>
    </row>
    <row r="64" spans="2:57" s="98" customFormat="1" ht="62.25" customHeight="1" x14ac:dyDescent="0.9">
      <c r="B64" s="357">
        <f>+B63</f>
        <v>15</v>
      </c>
      <c r="C64" s="408"/>
      <c r="D64" s="184"/>
      <c r="E64" s="111">
        <f>+B63</f>
        <v>15</v>
      </c>
      <c r="F64" s="412"/>
      <c r="G64" s="113">
        <f>+IFERROR(IF(K65=0,0,IF((LOOKUP(2,1/(M64:W64&lt;&gt;""),M64:W64)-K65)&lt;0,0,IF(K65=0,"",LOOKUP(2,1/(M64:W64&lt;&gt;""),M64:W64)-K65))),0)</f>
        <v>1</v>
      </c>
      <c r="H64" s="411" t="s">
        <v>412</v>
      </c>
      <c r="I64" s="113"/>
      <c r="J64" s="113">
        <v>1</v>
      </c>
      <c r="K64" s="114" t="s">
        <v>22</v>
      </c>
      <c r="L64" s="102" t="s">
        <v>18</v>
      </c>
      <c r="M64" s="448">
        <v>39</v>
      </c>
      <c r="N64" s="448">
        <v>43</v>
      </c>
      <c r="O64" s="448">
        <v>43</v>
      </c>
      <c r="P64" s="448">
        <v>43</v>
      </c>
      <c r="Q64" s="448">
        <v>43</v>
      </c>
      <c r="R64" s="448">
        <v>43</v>
      </c>
      <c r="S64" s="448">
        <v>43</v>
      </c>
      <c r="T64" s="448">
        <v>43</v>
      </c>
      <c r="U64" s="448">
        <v>43</v>
      </c>
      <c r="V64" s="448"/>
      <c r="W64" s="448"/>
      <c r="X64" s="358">
        <f>+IF(H64="l",IF(COUNTA(M63:W63)=AJ65+0.25,Z63-K63*AJ65,Z63-(K63*COUNTA(M63:W63))),IF(H64="s",0,IF(COUNTA(M63:W63)=AJ65+0.25,SUMIF($C:$C,B63,$Z:$Z)-K63*AJ65,SUMIF($C:$C,B63,$Z:$Z)-K63*COUNTA(M63:W63))))</f>
        <v>0.5</v>
      </c>
      <c r="Y64" s="534"/>
      <c r="Z64" s="359">
        <f t="shared" si="7"/>
        <v>372.25</v>
      </c>
      <c r="AA64" s="360"/>
      <c r="AB64" s="360"/>
      <c r="AC64" s="362"/>
      <c r="AD64" s="363"/>
      <c r="AE64" s="346"/>
      <c r="AF64" s="347">
        <f t="shared" si="2"/>
        <v>0</v>
      </c>
      <c r="AG64" s="341">
        <f t="shared" si="3"/>
        <v>0</v>
      </c>
      <c r="AH64" s="341"/>
      <c r="AI64" s="341"/>
      <c r="AJ64" s="348"/>
      <c r="AK64" s="349">
        <f>+IF(AJ65=7.75,SUM(M64:S64)+T64*0.75,IF(AJ65=8,SUM(M64:T64),IF(AJ65=7.25,SUM(M64:S64)+T64*0.25,IF(AJ65=8.25,SUM(M64:T64)+U64*0.25,IF(AJ65=8.75,SUM(M64:T64)+U64*0.75,0)))))</f>
        <v>372.25</v>
      </c>
      <c r="AL64" s="341">
        <f>+AK64-Z64</f>
        <v>0</v>
      </c>
      <c r="AM64" s="341"/>
      <c r="AN64" s="341"/>
      <c r="AO64" s="341"/>
      <c r="AP64" s="438"/>
      <c r="AQ64" s="434"/>
      <c r="AS64" s="390"/>
      <c r="AU64" s="390"/>
    </row>
    <row r="65" spans="2:58" s="98" customFormat="1" ht="62.25" customHeight="1" thickBot="1" x14ac:dyDescent="0.95">
      <c r="B65" s="364">
        <f>+B63</f>
        <v>15</v>
      </c>
      <c r="C65" s="410"/>
      <c r="D65" s="174" t="s">
        <v>93</v>
      </c>
      <c r="E65" s="175">
        <f>+E64+100</f>
        <v>115</v>
      </c>
      <c r="F65" s="175"/>
      <c r="G65" s="444">
        <f>+SUMPRODUCT((M64:W64&lt;&gt;"")*(M64:W64&lt;&gt;0)*(M64:W64-K65))</f>
        <v>5</v>
      </c>
      <c r="H65" s="117"/>
      <c r="I65" s="442"/>
      <c r="J65" s="165">
        <f>+IF(K65="","",IF(K63=0,"",(K63*J63)/(K65*60)))</f>
        <v>0.89140476190476181</v>
      </c>
      <c r="K65" s="118">
        <v>42</v>
      </c>
      <c r="L65" s="104" t="s">
        <v>19</v>
      </c>
      <c r="M65" s="216">
        <v>1</v>
      </c>
      <c r="N65" s="216">
        <v>1</v>
      </c>
      <c r="O65" s="216">
        <v>1</v>
      </c>
      <c r="P65" s="216">
        <v>1</v>
      </c>
      <c r="Q65" s="216">
        <v>1</v>
      </c>
      <c r="R65" s="216">
        <v>1</v>
      </c>
      <c r="S65" s="216">
        <v>1</v>
      </c>
      <c r="T65" s="216">
        <v>1</v>
      </c>
      <c r="U65" s="216">
        <v>1</v>
      </c>
      <c r="V65" s="216"/>
      <c r="W65" s="216"/>
      <c r="X65" s="451"/>
      <c r="Y65" s="365">
        <v>15.46</v>
      </c>
      <c r="Z65" s="366">
        <f t="shared" si="7"/>
        <v>8.75</v>
      </c>
      <c r="AA65" s="367"/>
      <c r="AB65" s="367"/>
      <c r="AC65" s="368">
        <f>+IFERROR(AC63/(K63*$AP$3),"")</f>
        <v>1.619704433497537</v>
      </c>
      <c r="AD65" s="369"/>
      <c r="AE65" s="347"/>
      <c r="AF65" s="347">
        <f t="shared" si="2"/>
        <v>0</v>
      </c>
      <c r="AG65" s="341">
        <f t="shared" si="3"/>
        <v>0</v>
      </c>
      <c r="AH65" s="341"/>
      <c r="AI65" s="356"/>
      <c r="AJ65" s="370">
        <f>+$AI$4</f>
        <v>8.75</v>
      </c>
      <c r="AK65" s="349">
        <f>+IF(AJ65=7.75,SUM(M65:S65)+T65*0.75,IF(AJ65=8,SUM(M65:T65),IF(AJ65=7.25,SUM(M65:S65)+T65*0.25,IF(AJ65=8.25,SUM(M65:T65)+U65*0.25,IF(AJ65=8.75,SUM(M65:T65)+U65*0.75,0)))))</f>
        <v>8.75</v>
      </c>
      <c r="AL65" s="341">
        <f>+AK65-Z65</f>
        <v>0</v>
      </c>
      <c r="AM65" s="341"/>
      <c r="AN65" s="341"/>
      <c r="AO65" s="341"/>
      <c r="AP65" s="369"/>
      <c r="AQ65" s="434"/>
      <c r="AS65" s="390">
        <v>1.7042606516290726</v>
      </c>
      <c r="AU65" s="390"/>
    </row>
    <row r="66" spans="2:58" s="98" customFormat="1" ht="62.25" customHeight="1" thickTop="1" x14ac:dyDescent="0.9">
      <c r="B66" s="373">
        <f>+B67</f>
        <v>16</v>
      </c>
      <c r="C66" s="405"/>
      <c r="D66" s="106"/>
      <c r="E66" s="106"/>
      <c r="F66" s="106"/>
      <c r="G66" s="439" t="str">
        <f>+G67</f>
        <v>2158-755-712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60</v>
      </c>
      <c r="N66" s="448">
        <v>120</v>
      </c>
      <c r="O66" s="448"/>
      <c r="P66" s="448">
        <v>60</v>
      </c>
      <c r="Q66" s="448">
        <v>120</v>
      </c>
      <c r="R66" s="448"/>
      <c r="S66" s="448">
        <v>60</v>
      </c>
      <c r="T66" s="448"/>
      <c r="U66" s="448"/>
      <c r="V66" s="448"/>
      <c r="W66" s="448"/>
      <c r="X66" s="447">
        <f t="shared" ref="X66:X74" si="25">IF(AP67="","",SUM(M66:W66)-(-(AP67-SUM(M66:W66))/$AP$3)*SUM($M$2:$W$2))</f>
        <v>420</v>
      </c>
      <c r="Y66" s="533">
        <f>+X68</f>
        <v>0</v>
      </c>
      <c r="Z66" s="450">
        <f t="shared" ref="Z66:Z75" si="26">+SUM(L66:W66)</f>
        <v>420</v>
      </c>
      <c r="AA66" s="343">
        <f>+AB66+Z66</f>
        <v>3241</v>
      </c>
      <c r="AB66" s="343">
        <v>2821</v>
      </c>
      <c r="AC66" s="344"/>
      <c r="AD66" s="345"/>
      <c r="AE66" s="346"/>
      <c r="AF66" s="347">
        <f t="shared" si="2"/>
        <v>0</v>
      </c>
      <c r="AG66" s="341">
        <f t="shared" si="3"/>
        <v>0</v>
      </c>
      <c r="AH66" s="341"/>
      <c r="AI66" s="341"/>
      <c r="AJ66" s="348"/>
      <c r="AK66" s="349"/>
      <c r="AL66" s="341"/>
      <c r="AM66" s="341"/>
      <c r="AN66" s="341"/>
      <c r="AO66" s="341"/>
      <c r="AP66" s="350"/>
      <c r="AQ66" s="434"/>
      <c r="AS66" s="390"/>
      <c r="AU66" s="390"/>
    </row>
    <row r="67" spans="2:58" s="98" customFormat="1" ht="62.25" customHeight="1" x14ac:dyDescent="0.9">
      <c r="B67" s="374">
        <v>16</v>
      </c>
      <c r="C67" s="406">
        <f>+B67</f>
        <v>16</v>
      </c>
      <c r="D67" s="407" t="s">
        <v>431</v>
      </c>
      <c r="E67" s="111"/>
      <c r="F67" s="111" t="s">
        <v>35</v>
      </c>
      <c r="G67" s="106" t="s">
        <v>432</v>
      </c>
      <c r="H67" s="111"/>
      <c r="I67" s="111" t="s">
        <v>33</v>
      </c>
      <c r="J67" s="113">
        <v>51.42</v>
      </c>
      <c r="K67" s="130">
        <v>52</v>
      </c>
      <c r="L67" s="101" t="s">
        <v>17</v>
      </c>
      <c r="M67" s="214">
        <v>52</v>
      </c>
      <c r="N67" s="214">
        <v>52</v>
      </c>
      <c r="O67" s="214">
        <v>45</v>
      </c>
      <c r="P67" s="214">
        <v>42</v>
      </c>
      <c r="Q67" s="214">
        <v>59</v>
      </c>
      <c r="R67" s="214">
        <v>62</v>
      </c>
      <c r="S67" s="214">
        <v>52</v>
      </c>
      <c r="T67" s="214">
        <v>52</v>
      </c>
      <c r="U67" s="214">
        <v>39</v>
      </c>
      <c r="V67" s="214"/>
      <c r="W67" s="214"/>
      <c r="X67" s="352">
        <f>+IF(H68="s",0,IF(Z67=0,0,IF(COUNTA(M67:W67)=AJ69+0.25,SUMIF($C:$C,B67,$Z:$Z)/AJ69+0.25,SUMIF($C:$C,B67,$Z:$Z)/(COUNTA(M67:W67)))))</f>
        <v>52.25</v>
      </c>
      <c r="Y67" s="534"/>
      <c r="Z67" s="353">
        <f t="shared" si="26"/>
        <v>455</v>
      </c>
      <c r="AA67" s="354">
        <f>+Z67+AB67</f>
        <v>2473</v>
      </c>
      <c r="AB67" s="354">
        <v>2018</v>
      </c>
      <c r="AC67" s="355">
        <f>+AA66-AA67</f>
        <v>768</v>
      </c>
      <c r="AD67" s="131">
        <f>+IF(((Z68+(Z69/2))*60)=0,"",(J67*Z67)/((Z68+(Z69/2))*60))</f>
        <v>0.88924743443557586</v>
      </c>
      <c r="AE67" s="347">
        <f>+Z68+Z69/2</f>
        <v>438.5</v>
      </c>
      <c r="AF67" s="347">
        <f t="shared" si="2"/>
        <v>438.3</v>
      </c>
      <c r="AG67" s="341">
        <f t="shared" si="3"/>
        <v>26310</v>
      </c>
      <c r="AH67" s="341">
        <f>+Z67*J67</f>
        <v>23396.100000000002</v>
      </c>
      <c r="AI67" s="356">
        <f>+Z67-(AE67*K67/K69)</f>
        <v>7.901960784313701</v>
      </c>
      <c r="AJ67" s="348"/>
      <c r="AK67" s="349"/>
      <c r="AL67" s="341"/>
      <c r="AM67" s="341"/>
      <c r="AN67" s="341"/>
      <c r="AO67" s="341"/>
      <c r="AP67" s="339">
        <f t="shared" ref="AP67" si="27">IF(AQ67=0,"",AS67-(($AP$3*K67)+($AP$3*K67)*AQ67)+Z66)</f>
        <v>35.449999999999818</v>
      </c>
      <c r="AQ67" s="434">
        <v>1.61</v>
      </c>
      <c r="AS67" s="390">
        <v>803</v>
      </c>
      <c r="AU67" s="390">
        <f t="shared" ref="AU67" si="28">+AS67-AC67</f>
        <v>35</v>
      </c>
      <c r="AV67" s="536"/>
      <c r="AW67" s="536"/>
      <c r="AX67" s="536"/>
      <c r="AY67" s="536"/>
      <c r="AZ67" s="536"/>
      <c r="BA67" s="536"/>
      <c r="BB67" s="536"/>
      <c r="BC67" s="536"/>
      <c r="BD67" s="536"/>
      <c r="BE67" s="536"/>
      <c r="BF67" s="536"/>
    </row>
    <row r="68" spans="2:58" s="98" customFormat="1" ht="62.25" customHeight="1" x14ac:dyDescent="0.9">
      <c r="B68" s="357">
        <f>+B67</f>
        <v>16</v>
      </c>
      <c r="C68" s="408"/>
      <c r="D68" s="184"/>
      <c r="E68" s="111">
        <f>+B67</f>
        <v>16</v>
      </c>
      <c r="F68" s="409"/>
      <c r="G68" s="113">
        <f>+IFERROR(IF(K69=0,0,IF((LOOKUP(2,1/(M68:W68&lt;&gt;""),M68:W68)-K69)&lt;0,0,IF(K69=0,"",LOOKUP(2,1/(M68:W68&lt;&gt;""),M68:W68)-K69))),0)</f>
        <v>0</v>
      </c>
      <c r="H68" s="411" t="s">
        <v>413</v>
      </c>
      <c r="I68" s="113"/>
      <c r="J68" s="113"/>
      <c r="K68" s="114" t="s">
        <v>22</v>
      </c>
      <c r="L68" s="102" t="s">
        <v>18</v>
      </c>
      <c r="M68" s="448">
        <v>50</v>
      </c>
      <c r="N68" s="448">
        <v>51</v>
      </c>
      <c r="O68" s="448">
        <v>50</v>
      </c>
      <c r="P68" s="448">
        <v>50</v>
      </c>
      <c r="Q68" s="448">
        <v>50</v>
      </c>
      <c r="R68" s="448">
        <v>50</v>
      </c>
      <c r="S68" s="448">
        <v>50</v>
      </c>
      <c r="T68" s="448">
        <v>50</v>
      </c>
      <c r="U68" s="448">
        <v>50</v>
      </c>
      <c r="V68" s="448"/>
      <c r="W68" s="448"/>
      <c r="X68" s="358">
        <f>+IF(H68="l",IF(COUNTA(M67:W67)=AJ69+0.25,Z67-K67*AJ69,Z67-(K67*COUNTA(M67:W67))),IF(H68="s",0,IF(COUNTA(M67:W67)=AJ69+0.25,SUMIF($C:$C,B67,$Z:$Z)-K67*AJ69,SUMIF($C:$C,B67,$Z:$Z)-K67*COUNTA(M67:W67))))</f>
        <v>0</v>
      </c>
      <c r="Y68" s="534"/>
      <c r="Z68" s="359">
        <f>+SUM(M68:W68)-U68*0.25</f>
        <v>438.5</v>
      </c>
      <c r="AA68" s="360"/>
      <c r="AB68" s="360"/>
      <c r="AC68" s="362"/>
      <c r="AD68" s="363"/>
      <c r="AE68" s="346"/>
      <c r="AF68" s="347">
        <f t="shared" si="2"/>
        <v>0</v>
      </c>
      <c r="AG68" s="341">
        <f t="shared" si="3"/>
        <v>0</v>
      </c>
      <c r="AH68" s="341"/>
      <c r="AI68" s="341"/>
      <c r="AJ68" s="348"/>
      <c r="AK68" s="349">
        <f>+IF(AJ69=7.75,SUM(M68:S68)+T68*0.75,IF(AJ69=8,SUM(M68:T68),IF(AJ69=7.25,SUM(M68:S68)+T68*0.25,IF(AJ69=8.25,SUM(M68:T68)+U68*0.25,IF(AJ69=8.75,SUM(M68:T68)+U68*0.75,0)))))</f>
        <v>438.5</v>
      </c>
      <c r="AL68" s="341">
        <f>+AK68-Z68</f>
        <v>0</v>
      </c>
      <c r="AM68" s="341"/>
      <c r="AN68" s="341"/>
      <c r="AO68" s="341"/>
      <c r="AP68" s="438"/>
      <c r="AQ68" s="434"/>
      <c r="AS68" s="390"/>
      <c r="AU68" s="390"/>
    </row>
    <row r="69" spans="2:58" s="98" customFormat="1" ht="62.25" customHeight="1" thickBot="1" x14ac:dyDescent="0.95">
      <c r="B69" s="375">
        <f>+B67</f>
        <v>16</v>
      </c>
      <c r="C69" s="410"/>
      <c r="D69" s="413" t="s">
        <v>152</v>
      </c>
      <c r="E69" s="175">
        <f>+E68+100</f>
        <v>116</v>
      </c>
      <c r="F69" s="175"/>
      <c r="G69" s="444">
        <f>+SUMPRODUCT((M68:W68&lt;&gt;"")*(M68:W68&lt;&gt;0)*(M68:W68-K69))</f>
        <v>-8</v>
      </c>
      <c r="H69" s="117"/>
      <c r="I69" s="442"/>
      <c r="J69" s="165">
        <f>+IF(K69="","",IF(K67=0,"",(K67*J67)/(K69*60)))</f>
        <v>0.87380392156862752</v>
      </c>
      <c r="K69" s="118">
        <v>51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451"/>
      <c r="Y69" s="365">
        <v>18.93</v>
      </c>
      <c r="Z69" s="366">
        <f t="shared" ref="Z69:Z77" si="29">+SUM(M69:W69)-U69*0.25</f>
        <v>0</v>
      </c>
      <c r="AA69" s="367"/>
      <c r="AB69" s="367"/>
      <c r="AC69" s="368">
        <f>+IFERROR(AC67/(K67*$AP$3),"")</f>
        <v>1.6879120879120879</v>
      </c>
      <c r="AD69" s="369"/>
      <c r="AE69" s="347"/>
      <c r="AF69" s="347">
        <f t="shared" si="2"/>
        <v>0</v>
      </c>
      <c r="AG69" s="341">
        <f t="shared" si="3"/>
        <v>0</v>
      </c>
      <c r="AH69" s="341"/>
      <c r="AI69" s="356"/>
      <c r="AJ69" s="370">
        <f>+$AI$4</f>
        <v>8.75</v>
      </c>
      <c r="AK69" s="349">
        <f>+IF(AJ69=7.75,SUM(M69:S69)+T69*0.75,IF(AJ69=8,SUM(M69:T69),IF(AJ69=7.25,SUM(M69:S69)+T69*0.25,IF(AJ69=8.25,SUM(M69:T69)+U69*0.25,IF(AJ69=8.75,SUM(M69:T69)+U69*0.75,0)))))</f>
        <v>0</v>
      </c>
      <c r="AL69" s="341">
        <f>+AK69-Z69</f>
        <v>0</v>
      </c>
      <c r="AM69" s="341"/>
      <c r="AN69" s="341"/>
      <c r="AO69" s="341"/>
      <c r="AP69" s="369"/>
      <c r="AQ69" s="434"/>
      <c r="AS69" s="390">
        <v>1.7648351648351648</v>
      </c>
      <c r="AU69" s="390"/>
    </row>
    <row r="70" spans="2:58" s="98" customFormat="1" ht="62.25" customHeight="1" thickTop="1" x14ac:dyDescent="0.9">
      <c r="B70" s="342">
        <f>+B71</f>
        <v>17</v>
      </c>
      <c r="C70" s="405"/>
      <c r="D70" s="106"/>
      <c r="E70" s="106"/>
      <c r="F70" s="106"/>
      <c r="G70" s="439" t="str">
        <f>+G71</f>
        <v>2215-518-800</v>
      </c>
      <c r="H70" s="106"/>
      <c r="I70" s="111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si="25"/>
        <v/>
      </c>
      <c r="Y70" s="533">
        <f>+X72</f>
        <v>0</v>
      </c>
      <c r="Z70" s="450">
        <f t="shared" si="26"/>
        <v>0</v>
      </c>
      <c r="AA70" s="343">
        <f>+AB70+Z70</f>
        <v>8067</v>
      </c>
      <c r="AB70" s="343">
        <v>8067</v>
      </c>
      <c r="AC70" s="344"/>
      <c r="AD70" s="345"/>
      <c r="AE70" s="346"/>
      <c r="AF70" s="347">
        <f t="shared" si="2"/>
        <v>0</v>
      </c>
      <c r="AG70" s="341">
        <f t="shared" si="3"/>
        <v>0</v>
      </c>
      <c r="AH70" s="341"/>
      <c r="AI70" s="341"/>
      <c r="AJ70" s="348"/>
      <c r="AK70" s="349"/>
      <c r="AL70" s="341"/>
      <c r="AM70" s="341"/>
      <c r="AN70" s="341"/>
      <c r="AO70" s="341"/>
      <c r="AP70" s="350"/>
      <c r="AQ70" s="434"/>
      <c r="AS70" s="390"/>
      <c r="AU70" s="390"/>
    </row>
    <row r="71" spans="2:58" s="98" customFormat="1" ht="62.25" customHeight="1" x14ac:dyDescent="0.9">
      <c r="B71" s="351">
        <v>17</v>
      </c>
      <c r="C71" s="406">
        <f>+B71</f>
        <v>17</v>
      </c>
      <c r="D71" s="407" t="s">
        <v>423</v>
      </c>
      <c r="E71" s="111"/>
      <c r="F71" s="111" t="s">
        <v>35</v>
      </c>
      <c r="G71" s="106" t="s">
        <v>424</v>
      </c>
      <c r="H71" s="111"/>
      <c r="I71" s="111" t="s">
        <v>33</v>
      </c>
      <c r="J71" s="113">
        <v>33.42</v>
      </c>
      <c r="K71" s="130">
        <v>60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352">
        <f>+IF(H72="s",0,IF(Z71=0,0,IF(COUNTA(M71:W71)=AJ73+0.25,SUMIF($C:$C,B71,$Z:$Z)/AJ73+0.25,SUMIF($C:$C,B71,$Z:$Z)/(COUNTA(M71:W71)))))</f>
        <v>0</v>
      </c>
      <c r="Y71" s="534"/>
      <c r="Z71" s="353">
        <f t="shared" si="26"/>
        <v>0</v>
      </c>
      <c r="AA71" s="354">
        <f>+Z71+AB71</f>
        <v>7212</v>
      </c>
      <c r="AB71" s="354">
        <v>7212</v>
      </c>
      <c r="AC71" s="355">
        <f>+AA70-AA71</f>
        <v>855</v>
      </c>
      <c r="AD71" s="131" t="str">
        <f>+IF(((Z72+(Z73/2))*60)=0,"",(J71*Z71)/((Z72+(Z73/2))*60))</f>
        <v/>
      </c>
      <c r="AE71" s="347">
        <f>+Z72+Z73/2</f>
        <v>0</v>
      </c>
      <c r="AF71" s="347">
        <f t="shared" si="2"/>
        <v>0</v>
      </c>
      <c r="AG71" s="341">
        <f t="shared" si="3"/>
        <v>0</v>
      </c>
      <c r="AH71" s="341">
        <f>+Z71*J71</f>
        <v>0</v>
      </c>
      <c r="AI71" s="356">
        <f>+Z71-(AE71*K71/K73)</f>
        <v>0</v>
      </c>
      <c r="AJ71" s="348"/>
      <c r="AK71" s="349"/>
      <c r="AL71" s="341"/>
      <c r="AM71" s="341"/>
      <c r="AN71" s="341"/>
      <c r="AO71" s="341"/>
      <c r="AP71" s="339" t="str">
        <f t="shared" ref="AP71" si="30">IF(AQ71=0,"",AS71-(($AP$3*K71)+($AP$3*K71)*AQ71)+Z70)</f>
        <v/>
      </c>
      <c r="AQ71" s="434"/>
      <c r="AS71" s="390">
        <v>855</v>
      </c>
      <c r="AU71" s="390">
        <f t="shared" ref="AU71" si="31">+AS71-AC71</f>
        <v>0</v>
      </c>
    </row>
    <row r="72" spans="2:58" s="98" customFormat="1" ht="62.25" customHeight="1" x14ac:dyDescent="0.9">
      <c r="B72" s="357">
        <f>+B71</f>
        <v>17</v>
      </c>
      <c r="C72" s="408"/>
      <c r="D72" s="184"/>
      <c r="E72" s="111">
        <f>+B71</f>
        <v>17</v>
      </c>
      <c r="F72" s="409"/>
      <c r="G72" s="113">
        <f>+IFERROR(IF(K73=0,0,IF((LOOKUP(2,1/(M72:W72&lt;&gt;""),M72:W72)-K73)&lt;0,0,IF(K73=0,"",LOOKUP(2,1/(M72:W72&lt;&gt;""),M72:W72)-K73))),0)</f>
        <v>0</v>
      </c>
      <c r="H72" s="411"/>
      <c r="I72" s="113"/>
      <c r="J72" s="113"/>
      <c r="K72" s="114" t="s">
        <v>22</v>
      </c>
      <c r="L72" s="102" t="s">
        <v>18</v>
      </c>
      <c r="M72" s="448"/>
      <c r="N72" s="448"/>
      <c r="O72" s="448"/>
      <c r="P72" s="448"/>
      <c r="Q72" s="448"/>
      <c r="R72" s="448"/>
      <c r="S72" s="448"/>
      <c r="T72" s="448"/>
      <c r="U72" s="448"/>
      <c r="V72" s="448"/>
      <c r="W72" s="448"/>
      <c r="X72" s="358">
        <f>+IF(H72="l",IF(COUNTA(M71:W71)=AJ73+0.25,Z71-K71*AJ73,Z71-(K71*COUNTA(M71:W71))),IF(H72="s",0,IF(COUNTA(M71:W71)=AJ73+0.25,SUMIF($C:$C,B71,$Z:$Z)-K71*AJ73,SUMIF($C:$C,B71,$Z:$Z)-K71*COUNTA(M71:W71))))</f>
        <v>0</v>
      </c>
      <c r="Y72" s="534"/>
      <c r="Z72" s="359">
        <f t="shared" si="29"/>
        <v>0</v>
      </c>
      <c r="AA72" s="360"/>
      <c r="AB72" s="360"/>
      <c r="AC72" s="362"/>
      <c r="AD72" s="363"/>
      <c r="AE72" s="346"/>
      <c r="AF72" s="347">
        <f t="shared" si="2"/>
        <v>0</v>
      </c>
      <c r="AG72" s="341">
        <f t="shared" si="3"/>
        <v>0</v>
      </c>
      <c r="AH72" s="341"/>
      <c r="AI72" s="341"/>
      <c r="AJ72" s="348"/>
      <c r="AK72" s="349">
        <f>+IF(AJ73=7.75,SUM(M72:S72)+T72*0.75,IF(AJ73=8,SUM(M72:T72),IF(AJ73=7.25,SUM(M72:S72)+T72*0.25,IF(AJ73=8.25,SUM(M72:T72)+U72*0.25,IF(AJ73=8.75,SUM(M72:T72)+U72*0.75,0)))))</f>
        <v>0</v>
      </c>
      <c r="AL72" s="341">
        <f>+AK72-Z72</f>
        <v>0</v>
      </c>
      <c r="AM72" s="341"/>
      <c r="AN72" s="341"/>
      <c r="AO72" s="341"/>
      <c r="AP72" s="438"/>
      <c r="AQ72" s="434"/>
      <c r="AS72" s="390"/>
      <c r="AU72" s="390"/>
    </row>
    <row r="73" spans="2:58" s="98" customFormat="1" ht="62.25" customHeight="1" thickBot="1" x14ac:dyDescent="0.95">
      <c r="B73" s="364">
        <f>+B71</f>
        <v>17</v>
      </c>
      <c r="C73" s="410"/>
      <c r="D73" s="174" t="s">
        <v>379</v>
      </c>
      <c r="E73" s="175">
        <f>+E72+100</f>
        <v>117</v>
      </c>
      <c r="F73" s="175"/>
      <c r="G73" s="444"/>
      <c r="H73" s="117"/>
      <c r="I73" s="442"/>
      <c r="J73" s="165">
        <f>+IF(K73="","",IF(K71=0,"",(K71*J71)/(K73*60)))</f>
        <v>0.8794736842105263</v>
      </c>
      <c r="K73" s="118">
        <v>38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451"/>
      <c r="Y73" s="365">
        <v>15.5</v>
      </c>
      <c r="Z73" s="366">
        <f t="shared" si="29"/>
        <v>0</v>
      </c>
      <c r="AA73" s="367"/>
      <c r="AB73" s="367"/>
      <c r="AC73" s="368">
        <f>+IFERROR(AC71/(K71*$AP$3),"")</f>
        <v>1.6285714285714286</v>
      </c>
      <c r="AD73" s="369"/>
      <c r="AE73" s="347"/>
      <c r="AF73" s="347">
        <f t="shared" si="2"/>
        <v>0</v>
      </c>
      <c r="AG73" s="341">
        <f t="shared" si="3"/>
        <v>0</v>
      </c>
      <c r="AH73" s="341"/>
      <c r="AI73" s="356"/>
      <c r="AJ73" s="370">
        <f>+$AI$4</f>
        <v>8.75</v>
      </c>
      <c r="AK73" s="349">
        <f>+IF(AJ73=7.75,SUM(M73:S73)+T73*0.75,IF(AJ73=8,SUM(M73:T73),IF(AJ73=7.25,SUM(M73:S73)+T73*0.25,IF(AJ73=8.25,SUM(M73:T73)+U73*0.25,IF(AJ73=8.75,SUM(M73:T73)+U73*0.75,0)))))</f>
        <v>0</v>
      </c>
      <c r="AL73" s="341">
        <f>+AK73-Z73</f>
        <v>0</v>
      </c>
      <c r="AM73" s="341"/>
      <c r="AN73" s="341"/>
      <c r="AO73" s="341"/>
      <c r="AP73" s="369"/>
      <c r="AQ73" s="434"/>
      <c r="AS73" s="390">
        <v>1.6285714285714286</v>
      </c>
      <c r="AU73" s="390"/>
    </row>
    <row r="74" spans="2:58" s="98" customFormat="1" ht="62.25" customHeight="1" thickTop="1" x14ac:dyDescent="0.9">
      <c r="B74" s="373">
        <f>+B75</f>
        <v>18</v>
      </c>
      <c r="C74" s="405"/>
      <c r="D74" s="106"/>
      <c r="E74" s="106"/>
      <c r="F74" s="106"/>
      <c r="G74" s="439" t="str">
        <f>+G75</f>
        <v>2158-755-712</v>
      </c>
      <c r="H74" s="106"/>
      <c r="I74" s="106"/>
      <c r="J74" s="107" t="s">
        <v>20</v>
      </c>
      <c r="K74" s="108" t="s">
        <v>23</v>
      </c>
      <c r="L74" s="100" t="s">
        <v>21</v>
      </c>
      <c r="M74" s="448">
        <v>120</v>
      </c>
      <c r="N74" s="448">
        <v>60</v>
      </c>
      <c r="O74" s="448">
        <v>60</v>
      </c>
      <c r="P74" s="448">
        <v>120</v>
      </c>
      <c r="Q74" s="448">
        <v>120</v>
      </c>
      <c r="R74" s="448"/>
      <c r="S74" s="448"/>
      <c r="T74" s="448"/>
      <c r="U74" s="448"/>
      <c r="V74" s="448"/>
      <c r="W74" s="448"/>
      <c r="X74" s="447">
        <f t="shared" si="25"/>
        <v>480</v>
      </c>
      <c r="Y74" s="533">
        <f>+X76</f>
        <v>0</v>
      </c>
      <c r="Z74" s="450">
        <f t="shared" si="26"/>
        <v>480</v>
      </c>
      <c r="AA74" s="343">
        <f>+AB74+Z74</f>
        <v>3853</v>
      </c>
      <c r="AB74" s="343">
        <v>3373</v>
      </c>
      <c r="AC74" s="344"/>
      <c r="AD74" s="345"/>
      <c r="AE74" s="346"/>
      <c r="AF74" s="347">
        <f t="shared" ref="AF74:AF77" si="32">TRUNC(AE74)+(AE74-TRUNC(AE74))*60/100</f>
        <v>0</v>
      </c>
      <c r="AG74" s="341">
        <f t="shared" ref="AG74:AG77" si="33">+AE74*60</f>
        <v>0</v>
      </c>
      <c r="AH74" s="341"/>
      <c r="AI74" s="341"/>
      <c r="AJ74" s="348"/>
      <c r="AK74" s="349"/>
      <c r="AL74" s="341"/>
      <c r="AM74" s="341"/>
      <c r="AN74" s="341"/>
      <c r="AO74" s="341"/>
      <c r="AP74" s="350"/>
      <c r="AQ74" s="434"/>
      <c r="AS74" s="390"/>
      <c r="AU74" s="390"/>
    </row>
    <row r="75" spans="2:58" s="98" customFormat="1" ht="62.25" customHeight="1" x14ac:dyDescent="0.9">
      <c r="B75" s="374">
        <v>18</v>
      </c>
      <c r="C75" s="406">
        <f>+B75</f>
        <v>18</v>
      </c>
      <c r="D75" s="407" t="s">
        <v>431</v>
      </c>
      <c r="E75" s="111"/>
      <c r="F75" s="111" t="s">
        <v>35</v>
      </c>
      <c r="G75" s="106" t="s">
        <v>432</v>
      </c>
      <c r="H75" s="111"/>
      <c r="I75" s="111" t="s">
        <v>33</v>
      </c>
      <c r="J75" s="113">
        <v>51.42</v>
      </c>
      <c r="K75" s="130">
        <v>52</v>
      </c>
      <c r="L75" s="101" t="s">
        <v>17</v>
      </c>
      <c r="M75" s="214">
        <v>52</v>
      </c>
      <c r="N75" s="214">
        <v>52</v>
      </c>
      <c r="O75" s="214">
        <v>52</v>
      </c>
      <c r="P75" s="214">
        <v>52</v>
      </c>
      <c r="Q75" s="214">
        <v>52</v>
      </c>
      <c r="R75" s="214">
        <v>52</v>
      </c>
      <c r="S75" s="214">
        <v>52</v>
      </c>
      <c r="T75" s="214">
        <v>52</v>
      </c>
      <c r="U75" s="214">
        <v>39</v>
      </c>
      <c r="V75" s="214"/>
      <c r="W75" s="214"/>
      <c r="X75" s="352">
        <f>+IF(H76="s",0,IF(Z75=0,0,IF(COUNTA(M75:W75)=AJ77+0.25,SUMIF($C:$C,B75,$Z:$Z)/AJ77+0.25,SUMIF($C:$C,B75,$Z:$Z)/(COUNTA(M75:W75)))))</f>
        <v>52.25</v>
      </c>
      <c r="Y75" s="534"/>
      <c r="Z75" s="353">
        <f t="shared" si="26"/>
        <v>455</v>
      </c>
      <c r="AA75" s="354">
        <f>+Z75+AB75</f>
        <v>3139</v>
      </c>
      <c r="AB75" s="354">
        <v>2684</v>
      </c>
      <c r="AC75" s="355">
        <f>+AA74-AA75</f>
        <v>714</v>
      </c>
      <c r="AD75" s="131">
        <f>+IF(((Z76+(Z77/2))*60)=0,"",(J75*Z75)/((Z76+(Z77/2))*60))</f>
        <v>0.8757664233576643</v>
      </c>
      <c r="AE75" s="347">
        <f>+Z76+Z77/2</f>
        <v>445.25</v>
      </c>
      <c r="AF75" s="347">
        <f t="shared" si="32"/>
        <v>445.15</v>
      </c>
      <c r="AG75" s="341">
        <f t="shared" si="33"/>
        <v>26715</v>
      </c>
      <c r="AH75" s="341">
        <f>+Z75*J75</f>
        <v>23396.100000000002</v>
      </c>
      <c r="AI75" s="356">
        <f>+Z75-(AE75*K75/K77)</f>
        <v>1.0196078431372371</v>
      </c>
      <c r="AJ75" s="348"/>
      <c r="AK75" s="349"/>
      <c r="AL75" s="341"/>
      <c r="AM75" s="341"/>
      <c r="AN75" s="341"/>
      <c r="AO75" s="341"/>
      <c r="AP75" s="339">
        <f t="shared" ref="AP75" si="34">IF(AQ75=0,"",AS75-(($AP$3*K75)+($AP$3*K75)*AQ75)+Z74)</f>
        <v>31.5</v>
      </c>
      <c r="AQ75" s="434">
        <v>1.5</v>
      </c>
      <c r="AS75" s="390">
        <v>689</v>
      </c>
      <c r="AU75" s="390">
        <f t="shared" ref="AU75" si="35">+AS75-AC75</f>
        <v>-25</v>
      </c>
    </row>
    <row r="76" spans="2:58" s="98" customFormat="1" ht="62.25" customHeight="1" x14ac:dyDescent="0.9">
      <c r="B76" s="357">
        <f>+B75</f>
        <v>18</v>
      </c>
      <c r="C76" s="408"/>
      <c r="D76" s="184"/>
      <c r="E76" s="111">
        <f>+B75</f>
        <v>18</v>
      </c>
      <c r="F76" s="409"/>
      <c r="G76" s="113">
        <f>+IFERROR(IF(K77=0,0,IF((LOOKUP(2,1/(M76:W76&lt;&gt;""),M76:W76)-K77)&lt;0,0,IF(K77=0,"",LOOKUP(2,1/(M76:W76&lt;&gt;""),M76:W76)-K77))),0)</f>
        <v>0</v>
      </c>
      <c r="H76" s="411"/>
      <c r="I76" s="113"/>
      <c r="J76" s="113"/>
      <c r="K76" s="114" t="s">
        <v>22</v>
      </c>
      <c r="L76" s="102" t="s">
        <v>18</v>
      </c>
      <c r="M76" s="448">
        <v>49</v>
      </c>
      <c r="N76" s="448">
        <v>50</v>
      </c>
      <c r="O76" s="448">
        <v>50</v>
      </c>
      <c r="P76" s="448">
        <v>50</v>
      </c>
      <c r="Q76" s="448">
        <v>50</v>
      </c>
      <c r="R76" s="448">
        <v>50</v>
      </c>
      <c r="S76" s="448">
        <v>50</v>
      </c>
      <c r="T76" s="448">
        <v>50</v>
      </c>
      <c r="U76" s="448">
        <v>50</v>
      </c>
      <c r="V76" s="448"/>
      <c r="W76" s="448"/>
      <c r="X76" s="358">
        <f>+IF(H76="l",IF(COUNTA(M75:W75)=AJ77+0.25,Z75-K75*AJ77,Z75-(K75*COUNTA(M75:W75))),IF(H76="s",0,IF(COUNTA(M75:W75)=AJ77+0.25,SUMIF($C:$C,B75,$Z:$Z)-K75*AJ77,SUMIF($C:$C,B75,$Z:$Z)-K75*COUNTA(M75:W75))))</f>
        <v>0</v>
      </c>
      <c r="Y76" s="534"/>
      <c r="Z76" s="359">
        <f t="shared" si="29"/>
        <v>436.5</v>
      </c>
      <c r="AA76" s="361"/>
      <c r="AB76" s="361"/>
      <c r="AC76" s="362"/>
      <c r="AD76" s="363"/>
      <c r="AE76" s="346"/>
      <c r="AF76" s="347">
        <f t="shared" si="32"/>
        <v>0</v>
      </c>
      <c r="AG76" s="341">
        <f t="shared" si="33"/>
        <v>0</v>
      </c>
      <c r="AH76" s="341"/>
      <c r="AI76" s="341"/>
      <c r="AJ76" s="348"/>
      <c r="AK76" s="349">
        <f>+IF(AJ77=7.75,SUM(M76:S76)+T76*0.75,IF(AJ77=8,SUM(M76:T76),IF(AJ77=7.25,SUM(M76:S76)+T76*0.25,IF(AJ77=8.25,SUM(M76:T76)+U76*0.25,IF(AJ77=8.75,SUM(M76:T76)+U76*0.75,0)))))</f>
        <v>436.5</v>
      </c>
      <c r="AL76" s="341">
        <f>+AK76-Z76</f>
        <v>0</v>
      </c>
      <c r="AM76" s="341"/>
      <c r="AN76" s="341"/>
      <c r="AO76" s="341"/>
      <c r="AP76" s="438"/>
      <c r="AQ76" s="434"/>
      <c r="AS76" s="390"/>
      <c r="AU76" s="390"/>
    </row>
    <row r="77" spans="2:58" s="98" customFormat="1" ht="62.25" customHeight="1" thickBot="1" x14ac:dyDescent="0.95">
      <c r="B77" s="375">
        <f>+B75</f>
        <v>18</v>
      </c>
      <c r="C77" s="410"/>
      <c r="D77" s="413" t="s">
        <v>308</v>
      </c>
      <c r="E77" s="175">
        <f>+E76+100</f>
        <v>118</v>
      </c>
      <c r="F77" s="175"/>
      <c r="G77" s="444">
        <f>+SUMPRODUCT((M76:W76&lt;&gt;"")*(M76:W76&lt;&gt;0)*(M76:W76-K77))</f>
        <v>-10</v>
      </c>
      <c r="H77" s="117"/>
      <c r="I77" s="442"/>
      <c r="J77" s="165">
        <f>+IF(K77="","",IF(K75=0,"",(K75*J75)/(K77*60)))</f>
        <v>0.87380392156862752</v>
      </c>
      <c r="K77" s="118">
        <v>51</v>
      </c>
      <c r="L77" s="104" t="s">
        <v>19</v>
      </c>
      <c r="M77" s="216">
        <v>2</v>
      </c>
      <c r="N77" s="216">
        <v>2</v>
      </c>
      <c r="O77" s="216">
        <v>2</v>
      </c>
      <c r="P77" s="216">
        <v>2</v>
      </c>
      <c r="Q77" s="216">
        <v>2</v>
      </c>
      <c r="R77" s="216">
        <v>2</v>
      </c>
      <c r="S77" s="216">
        <v>2</v>
      </c>
      <c r="T77" s="216">
        <v>2</v>
      </c>
      <c r="U77" s="216">
        <v>2</v>
      </c>
      <c r="V77" s="216"/>
      <c r="W77" s="216"/>
      <c r="X77" s="451"/>
      <c r="Y77" s="365">
        <v>28.44</v>
      </c>
      <c r="Z77" s="366">
        <f t="shared" si="29"/>
        <v>17.5</v>
      </c>
      <c r="AA77" s="367"/>
      <c r="AB77" s="367"/>
      <c r="AC77" s="368">
        <f>+IFERROR(AC75/(K75*$AP$3),"")</f>
        <v>1.5692307692307692</v>
      </c>
      <c r="AD77" s="369"/>
      <c r="AE77" s="347"/>
      <c r="AF77" s="347">
        <f t="shared" si="32"/>
        <v>0</v>
      </c>
      <c r="AG77" s="341">
        <f t="shared" si="33"/>
        <v>0</v>
      </c>
      <c r="AH77" s="341"/>
      <c r="AI77" s="356"/>
      <c r="AJ77" s="370">
        <f>+$AI$4</f>
        <v>8.75</v>
      </c>
      <c r="AK77" s="349">
        <f>+IF(AJ77=7.75,SUM(M77:S77)+T77*0.75,IF(AJ77=8,SUM(M77:T77),IF(AJ77=7.25,SUM(M77:S77)+T77*0.25,IF(AJ77=8.25,SUM(M77:T77)+U77*0.25,IF(AJ77=8.75,SUM(M77:T77)+U77*0.75,0)))))</f>
        <v>17.5</v>
      </c>
      <c r="AL77" s="341">
        <f>+AK77-Z77</f>
        <v>0</v>
      </c>
      <c r="AM77" s="341"/>
      <c r="AN77" s="341"/>
      <c r="AO77" s="341"/>
      <c r="AP77" s="369"/>
      <c r="AQ77" s="434"/>
      <c r="AS77" s="390">
        <v>1.5142857142857142</v>
      </c>
      <c r="AU77" s="390"/>
    </row>
    <row r="78" spans="2:58" s="419" customFormat="1" ht="91.5" customHeight="1" thickTop="1" thickBot="1" x14ac:dyDescent="0.95">
      <c r="B78" s="414"/>
      <c r="C78" s="414"/>
      <c r="D78" s="415"/>
      <c r="E78" s="415"/>
      <c r="F78" s="415"/>
      <c r="G78" s="415"/>
      <c r="H78" s="415"/>
      <c r="I78" s="415"/>
      <c r="J78" s="415"/>
      <c r="K78" s="415"/>
      <c r="L78" s="416"/>
      <c r="M78" s="416"/>
      <c r="N78" s="416"/>
      <c r="O78" s="416"/>
      <c r="P78" s="416"/>
      <c r="Q78" s="416"/>
      <c r="R78" s="416"/>
      <c r="S78" s="416"/>
      <c r="T78" s="416"/>
      <c r="U78" s="416"/>
      <c r="V78" s="416"/>
      <c r="W78" s="416"/>
      <c r="X78" s="415"/>
      <c r="Y78" s="415"/>
      <c r="Z78" s="415"/>
      <c r="AA78" s="415"/>
      <c r="AB78" s="415"/>
      <c r="AC78" s="415"/>
      <c r="AD78" s="417"/>
      <c r="AE78" s="418"/>
      <c r="AF78" s="418"/>
      <c r="AJ78" s="420"/>
      <c r="AK78" s="421"/>
      <c r="AQ78" s="435"/>
    </row>
    <row r="79" spans="2:58" s="419" customFormat="1" ht="91.5" customHeight="1" thickTop="1" thickBot="1" x14ac:dyDescent="0.95">
      <c r="B79" s="414"/>
      <c r="C79" s="414"/>
      <c r="D79" s="415"/>
      <c r="E79" s="415"/>
      <c r="F79" s="415"/>
      <c r="G79" s="415"/>
      <c r="H79" s="415"/>
      <c r="I79" s="415"/>
      <c r="J79" s="415"/>
      <c r="K79" s="415"/>
      <c r="L79" s="378" t="s">
        <v>21</v>
      </c>
      <c r="M79" s="379">
        <f t="shared" ref="M79:W79" si="36">+SUMIF($L$6:$L$78,$L$79,M6:M78)</f>
        <v>900</v>
      </c>
      <c r="N79" s="379">
        <f t="shared" si="36"/>
        <v>910</v>
      </c>
      <c r="O79" s="379">
        <f t="shared" si="36"/>
        <v>600</v>
      </c>
      <c r="P79" s="379">
        <f t="shared" si="36"/>
        <v>760</v>
      </c>
      <c r="Q79" s="379">
        <f t="shared" si="36"/>
        <v>890</v>
      </c>
      <c r="R79" s="379">
        <f t="shared" si="36"/>
        <v>240</v>
      </c>
      <c r="S79" s="379">
        <f t="shared" si="36"/>
        <v>270</v>
      </c>
      <c r="T79" s="379">
        <f t="shared" si="36"/>
        <v>180</v>
      </c>
      <c r="U79" s="379">
        <f t="shared" si="36"/>
        <v>0</v>
      </c>
      <c r="V79" s="379">
        <f t="shared" si="36"/>
        <v>0</v>
      </c>
      <c r="W79" s="379">
        <f t="shared" si="36"/>
        <v>0</v>
      </c>
      <c r="X79" s="332"/>
      <c r="Y79" s="537">
        <f>+SUM(M79:W79)</f>
        <v>4750</v>
      </c>
      <c r="Z79" s="538"/>
      <c r="AA79" s="415"/>
      <c r="AB79" s="415"/>
      <c r="AC79" s="415"/>
      <c r="AD79" s="417"/>
      <c r="AE79" s="418"/>
      <c r="AF79" s="418"/>
      <c r="AJ79" s="420"/>
      <c r="AQ79" s="435"/>
    </row>
    <row r="80" spans="2:58" s="419" customFormat="1" ht="91.5" customHeight="1" thickTop="1" thickBot="1" x14ac:dyDescent="0.95">
      <c r="B80" s="414"/>
      <c r="C80" s="414"/>
      <c r="D80" s="415"/>
      <c r="E80" s="415"/>
      <c r="F80" s="415"/>
      <c r="G80" s="415"/>
      <c r="H80" s="415"/>
      <c r="I80" s="415"/>
      <c r="J80" s="415"/>
      <c r="K80" s="415"/>
      <c r="L80" s="380"/>
      <c r="M80" s="376"/>
      <c r="N80" s="376"/>
      <c r="O80" s="376"/>
      <c r="P80" s="376"/>
      <c r="Q80" s="376"/>
      <c r="R80" s="376"/>
      <c r="S80" s="376"/>
      <c r="T80" s="376"/>
      <c r="U80" s="376"/>
      <c r="V80" s="376"/>
      <c r="W80" s="376"/>
      <c r="X80" s="332"/>
      <c r="Y80" s="332"/>
      <c r="Z80" s="332"/>
      <c r="AA80" s="415"/>
      <c r="AB80" s="415"/>
      <c r="AC80" s="415"/>
      <c r="AD80" s="417"/>
      <c r="AE80" s="418"/>
      <c r="AF80" s="418"/>
      <c r="AJ80" s="420"/>
      <c r="AQ80" s="435"/>
    </row>
    <row r="81" spans="2:43" s="419" customFormat="1" ht="91.5" customHeight="1" thickTop="1" thickBot="1" x14ac:dyDescent="0.95">
      <c r="B81" s="414"/>
      <c r="C81" s="414"/>
      <c r="D81" s="415"/>
      <c r="E81" s="415"/>
      <c r="F81" s="415"/>
      <c r="G81" s="415"/>
      <c r="H81" s="415"/>
      <c r="I81" s="415"/>
      <c r="J81" s="415"/>
      <c r="K81" s="415"/>
      <c r="L81" s="378" t="s">
        <v>17</v>
      </c>
      <c r="M81" s="379">
        <f t="shared" ref="M81:W81" si="37">+SUMIF($L$6:$L$78,$L$81,M6:M78)</f>
        <v>513</v>
      </c>
      <c r="N81" s="379">
        <f t="shared" si="37"/>
        <v>543</v>
      </c>
      <c r="O81" s="379">
        <f t="shared" si="37"/>
        <v>607</v>
      </c>
      <c r="P81" s="379">
        <f t="shared" si="37"/>
        <v>600</v>
      </c>
      <c r="Q81" s="379">
        <f t="shared" si="37"/>
        <v>582</v>
      </c>
      <c r="R81" s="379">
        <f t="shared" si="37"/>
        <v>620</v>
      </c>
      <c r="S81" s="379">
        <f t="shared" si="37"/>
        <v>528</v>
      </c>
      <c r="T81" s="379">
        <f t="shared" si="37"/>
        <v>594</v>
      </c>
      <c r="U81" s="379">
        <f t="shared" si="37"/>
        <v>369</v>
      </c>
      <c r="V81" s="379">
        <f t="shared" si="37"/>
        <v>0</v>
      </c>
      <c r="W81" s="379">
        <f t="shared" si="37"/>
        <v>0</v>
      </c>
      <c r="X81" s="332"/>
      <c r="Y81" s="537">
        <f>+SUM(M81:W81)</f>
        <v>4956</v>
      </c>
      <c r="Z81" s="538"/>
      <c r="AA81" s="415"/>
      <c r="AB81" s="415"/>
      <c r="AC81" s="415"/>
      <c r="AD81" s="417"/>
      <c r="AE81" s="418"/>
      <c r="AF81" s="418"/>
      <c r="AJ81" s="420"/>
      <c r="AQ81" s="435"/>
    </row>
    <row r="82" spans="2:43" s="419" customFormat="1" ht="91.5" customHeight="1" thickTop="1" thickBot="1" x14ac:dyDescent="0.95">
      <c r="B82" s="414"/>
      <c r="C82" s="414"/>
      <c r="D82" s="415"/>
      <c r="E82" s="415"/>
      <c r="F82" s="415"/>
      <c r="G82" s="415"/>
      <c r="H82" s="415"/>
      <c r="I82" s="415"/>
      <c r="J82" s="415"/>
      <c r="K82" s="415"/>
      <c r="L82" s="380"/>
      <c r="M82" s="376"/>
      <c r="N82" s="376"/>
      <c r="O82" s="376"/>
      <c r="P82" s="376"/>
      <c r="Q82" s="376"/>
      <c r="R82" s="376"/>
      <c r="S82" s="376"/>
      <c r="T82" s="376"/>
      <c r="U82" s="376"/>
      <c r="V82" s="376"/>
      <c r="W82" s="376"/>
      <c r="X82" s="332"/>
      <c r="Y82" s="332"/>
      <c r="Z82" s="332"/>
      <c r="AA82" s="415"/>
      <c r="AB82" s="415"/>
      <c r="AC82" s="415"/>
      <c r="AD82" s="417"/>
      <c r="AE82" s="418"/>
      <c r="AF82" s="418"/>
      <c r="AJ82" s="420"/>
      <c r="AQ82" s="435"/>
    </row>
    <row r="83" spans="2:43" s="419" customFormat="1" ht="91.5" customHeight="1" thickTop="1" thickBot="1" x14ac:dyDescent="0.95">
      <c r="B83" s="414"/>
      <c r="C83" s="414"/>
      <c r="D83" s="422"/>
      <c r="E83" s="422"/>
      <c r="F83" s="422"/>
      <c r="G83" s="422"/>
      <c r="H83" s="422"/>
      <c r="I83" s="422"/>
      <c r="J83" s="423"/>
      <c r="K83" s="422"/>
      <c r="L83" s="378" t="s">
        <v>19</v>
      </c>
      <c r="M83" s="379">
        <f t="shared" ref="M83:W83" si="38">+SUMIF($L$6:$L$78,$L$83,M6:M78)</f>
        <v>5</v>
      </c>
      <c r="N83" s="379">
        <f t="shared" si="38"/>
        <v>5</v>
      </c>
      <c r="O83" s="379">
        <f t="shared" si="38"/>
        <v>5</v>
      </c>
      <c r="P83" s="379">
        <f t="shared" si="38"/>
        <v>5</v>
      </c>
      <c r="Q83" s="379">
        <f t="shared" si="38"/>
        <v>5</v>
      </c>
      <c r="R83" s="379">
        <f t="shared" si="38"/>
        <v>5</v>
      </c>
      <c r="S83" s="379">
        <f t="shared" si="38"/>
        <v>5</v>
      </c>
      <c r="T83" s="379">
        <f t="shared" si="38"/>
        <v>5</v>
      </c>
      <c r="U83" s="379">
        <f t="shared" si="38"/>
        <v>5</v>
      </c>
      <c r="V83" s="379">
        <f t="shared" si="38"/>
        <v>0</v>
      </c>
      <c r="W83" s="379">
        <f t="shared" si="38"/>
        <v>0</v>
      </c>
      <c r="X83" s="381"/>
      <c r="Y83" s="332"/>
      <c r="Z83" s="332"/>
      <c r="AA83" s="415"/>
      <c r="AB83" s="415"/>
      <c r="AC83" s="415"/>
      <c r="AD83" s="417"/>
      <c r="AE83" s="418"/>
      <c r="AF83" s="418"/>
      <c r="AJ83" s="420"/>
      <c r="AQ83" s="435"/>
    </row>
    <row r="84" spans="2:43" s="419" customFormat="1" ht="62.25" customHeight="1" thickTop="1" x14ac:dyDescent="0.9">
      <c r="B84" s="414"/>
      <c r="C84" s="414"/>
      <c r="D84" s="422"/>
      <c r="E84" s="422"/>
      <c r="F84" s="422"/>
      <c r="G84" s="422"/>
      <c r="H84" s="422"/>
      <c r="I84" s="424"/>
      <c r="J84" s="423"/>
      <c r="K84" s="422"/>
      <c r="L84" s="380"/>
      <c r="M84" s="382"/>
      <c r="N84" s="377"/>
      <c r="O84" s="377"/>
      <c r="P84" s="377"/>
      <c r="Q84" s="377"/>
      <c r="R84" s="377"/>
      <c r="S84" s="377"/>
      <c r="T84" s="377"/>
      <c r="U84" s="377"/>
      <c r="V84" s="377"/>
      <c r="W84" s="377"/>
      <c r="X84" s="332"/>
      <c r="Y84" s="332"/>
      <c r="Z84" s="332"/>
      <c r="AA84" s="415"/>
      <c r="AB84" s="415"/>
      <c r="AC84" s="425"/>
      <c r="AD84" s="417"/>
      <c r="AE84" s="418"/>
      <c r="AF84" s="418"/>
      <c r="AJ84" s="420"/>
      <c r="AQ84" s="435"/>
    </row>
    <row r="85" spans="2:43" s="98" customFormat="1" ht="62.25" customHeight="1" thickBot="1" x14ac:dyDescent="0.95">
      <c r="B85" s="94"/>
      <c r="C85" s="94"/>
      <c r="D85" s="92"/>
      <c r="E85" s="92"/>
      <c r="F85" s="92"/>
      <c r="G85" s="92"/>
      <c r="H85" s="92"/>
      <c r="I85" s="91"/>
      <c r="J85" s="93"/>
      <c r="K85" s="92"/>
      <c r="L85" s="384"/>
      <c r="M85" s="340"/>
      <c r="N85" s="340"/>
      <c r="O85" s="340"/>
      <c r="P85" s="340"/>
      <c r="Q85" s="340"/>
      <c r="R85" s="340"/>
      <c r="S85" s="340"/>
      <c r="T85" s="340"/>
      <c r="U85" s="340"/>
      <c r="V85" s="340"/>
      <c r="W85" s="340"/>
      <c r="X85" s="340"/>
      <c r="Y85" s="340"/>
      <c r="Z85" s="340"/>
      <c r="AA85" s="91"/>
      <c r="AB85" s="91"/>
      <c r="AC85" s="91"/>
      <c r="AD85" s="95"/>
      <c r="AE85" s="158"/>
      <c r="AF85" s="158"/>
      <c r="AJ85" s="183"/>
      <c r="AQ85" s="434"/>
    </row>
    <row r="86" spans="2:43" s="98" customFormat="1" ht="88.5" customHeight="1" thickTop="1" thickBot="1" x14ac:dyDescent="0.95">
      <c r="B86" s="94"/>
      <c r="C86" s="94"/>
      <c r="D86" s="92"/>
      <c r="E86" s="92"/>
      <c r="F86" s="92"/>
      <c r="G86" s="92"/>
      <c r="H86" s="92"/>
      <c r="I86" s="91"/>
      <c r="J86" s="93"/>
      <c r="K86" s="212" t="s">
        <v>18</v>
      </c>
      <c r="L86" s="385" t="s">
        <v>180</v>
      </c>
      <c r="M86" s="379">
        <f t="shared" ref="M86:W86" si="39">+IF(M89=0,0,SUMIFS($J$6:$J$78,$L$6:$L$78,$K$86))</f>
        <v>9</v>
      </c>
      <c r="N86" s="379">
        <f t="shared" si="39"/>
        <v>9</v>
      </c>
      <c r="O86" s="379">
        <f t="shared" si="39"/>
        <v>9</v>
      </c>
      <c r="P86" s="379">
        <f t="shared" si="39"/>
        <v>9</v>
      </c>
      <c r="Q86" s="379">
        <f t="shared" si="39"/>
        <v>9</v>
      </c>
      <c r="R86" s="379">
        <f t="shared" si="39"/>
        <v>9</v>
      </c>
      <c r="S86" s="379">
        <f t="shared" si="39"/>
        <v>9</v>
      </c>
      <c r="T86" s="379">
        <f t="shared" si="39"/>
        <v>9</v>
      </c>
      <c r="U86" s="379">
        <f t="shared" si="39"/>
        <v>9</v>
      </c>
      <c r="V86" s="379">
        <f t="shared" si="39"/>
        <v>0</v>
      </c>
      <c r="W86" s="379">
        <f t="shared" si="39"/>
        <v>0</v>
      </c>
      <c r="X86" s="383"/>
      <c r="Y86" s="340"/>
      <c r="Z86" s="340"/>
      <c r="AA86" s="91"/>
      <c r="AB86" s="91"/>
      <c r="AC86" s="91"/>
      <c r="AD86" s="95"/>
      <c r="AE86" s="158"/>
      <c r="AF86" s="158"/>
      <c r="AJ86" s="183"/>
      <c r="AQ86" s="434"/>
    </row>
    <row r="87" spans="2:43" s="98" customFormat="1" ht="62.25" customHeight="1" thickTop="1" x14ac:dyDescent="0.9">
      <c r="B87" s="94"/>
      <c r="C87" s="94"/>
      <c r="D87" s="92"/>
      <c r="E87" s="92"/>
      <c r="F87" s="92"/>
      <c r="G87" s="92"/>
      <c r="H87" s="92"/>
      <c r="I87" s="92"/>
      <c r="J87" s="93"/>
      <c r="K87" s="212"/>
      <c r="L87" s="384"/>
      <c r="M87" s="386"/>
      <c r="N87" s="386"/>
      <c r="O87" s="386"/>
      <c r="P87" s="386"/>
      <c r="Q87" s="386"/>
      <c r="R87" s="386"/>
      <c r="S87" s="386"/>
      <c r="T87" s="386"/>
      <c r="U87" s="386"/>
      <c r="V87" s="386"/>
      <c r="W87" s="386"/>
      <c r="X87" s="340"/>
      <c r="Y87" s="340"/>
      <c r="Z87" s="340"/>
      <c r="AA87" s="91"/>
      <c r="AB87" s="91"/>
      <c r="AC87" s="91"/>
      <c r="AD87" s="95"/>
      <c r="AE87" s="158"/>
      <c r="AF87" s="158"/>
      <c r="AJ87" s="183"/>
      <c r="AQ87" s="434"/>
    </row>
    <row r="88" spans="2:43" s="98" customFormat="1" ht="62.25" customHeight="1" thickBot="1" x14ac:dyDescent="0.95">
      <c r="B88" s="94"/>
      <c r="C88" s="94"/>
      <c r="D88" s="92"/>
      <c r="E88" s="92"/>
      <c r="F88" s="92"/>
      <c r="G88" s="92"/>
      <c r="H88" s="92"/>
      <c r="I88" s="92"/>
      <c r="J88" s="93"/>
      <c r="K88" s="212"/>
      <c r="L88" s="384"/>
      <c r="M88" s="340"/>
      <c r="N88" s="340"/>
      <c r="O88" s="340"/>
      <c r="P88" s="340"/>
      <c r="Q88" s="387"/>
      <c r="R88" s="387"/>
      <c r="S88" s="387"/>
      <c r="T88" s="387"/>
      <c r="U88" s="387"/>
      <c r="V88" s="387"/>
      <c r="W88" s="387"/>
      <c r="X88" s="340"/>
      <c r="Y88" s="340"/>
      <c r="Z88" s="340"/>
      <c r="AA88" s="91"/>
      <c r="AB88" s="91"/>
      <c r="AC88" s="91"/>
      <c r="AD88" s="95"/>
      <c r="AE88" s="158"/>
      <c r="AF88" s="158"/>
      <c r="AJ88" s="183"/>
      <c r="AQ88" s="434"/>
    </row>
    <row r="89" spans="2:43" s="98" customFormat="1" ht="98.25" customHeight="1" thickTop="1" thickBot="1" x14ac:dyDescent="0.95">
      <c r="B89" s="94"/>
      <c r="C89" s="94"/>
      <c r="D89" s="92"/>
      <c r="E89" s="92"/>
      <c r="F89" s="92"/>
      <c r="G89" s="92"/>
      <c r="H89" s="92"/>
      <c r="I89" s="92"/>
      <c r="J89" s="93"/>
      <c r="K89" s="212"/>
      <c r="L89" s="385" t="s">
        <v>18</v>
      </c>
      <c r="M89" s="379">
        <f t="shared" ref="M89:W89" si="40">+SUMIF($L$6:$L$78,$L$89,M6:M78)</f>
        <v>576</v>
      </c>
      <c r="N89" s="379">
        <f t="shared" si="40"/>
        <v>589</v>
      </c>
      <c r="O89" s="379">
        <f t="shared" si="40"/>
        <v>589</v>
      </c>
      <c r="P89" s="379">
        <f t="shared" si="40"/>
        <v>589</v>
      </c>
      <c r="Q89" s="379">
        <f t="shared" si="40"/>
        <v>589</v>
      </c>
      <c r="R89" s="379">
        <f t="shared" si="40"/>
        <v>589</v>
      </c>
      <c r="S89" s="379">
        <f t="shared" si="40"/>
        <v>589</v>
      </c>
      <c r="T89" s="379">
        <f t="shared" si="40"/>
        <v>589</v>
      </c>
      <c r="U89" s="379">
        <f t="shared" si="40"/>
        <v>589</v>
      </c>
      <c r="V89" s="379">
        <f t="shared" si="40"/>
        <v>0</v>
      </c>
      <c r="W89" s="379">
        <f t="shared" si="40"/>
        <v>0</v>
      </c>
      <c r="X89" s="340"/>
      <c r="Y89" s="340"/>
      <c r="Z89" s="340"/>
      <c r="AA89" s="91"/>
      <c r="AB89" s="91"/>
      <c r="AC89" s="91"/>
      <c r="AD89" s="95"/>
      <c r="AE89" s="158"/>
      <c r="AF89" s="158"/>
      <c r="AJ89" s="183"/>
      <c r="AQ89" s="434"/>
    </row>
    <row r="90" spans="2:43" s="98" customFormat="1" ht="62.25" customHeight="1" thickTop="1" x14ac:dyDescent="0.9">
      <c r="B90" s="94"/>
      <c r="C90" s="94"/>
      <c r="D90" s="92"/>
      <c r="E90" s="92"/>
      <c r="F90" s="92"/>
      <c r="G90" s="92"/>
      <c r="H90" s="92"/>
      <c r="I90" s="92"/>
      <c r="J90" s="93"/>
      <c r="K90" s="212"/>
      <c r="L90" s="384"/>
      <c r="M90" s="388"/>
      <c r="N90" s="388"/>
      <c r="O90" s="388"/>
      <c r="P90" s="388"/>
      <c r="Q90" s="388"/>
      <c r="R90" s="388"/>
      <c r="S90" s="388"/>
      <c r="T90" s="388"/>
      <c r="U90" s="388"/>
      <c r="V90" s="388"/>
      <c r="W90" s="388"/>
      <c r="X90" s="340"/>
      <c r="Y90" s="340"/>
      <c r="Z90" s="340"/>
      <c r="AA90" s="91"/>
      <c r="AB90" s="91"/>
      <c r="AC90" s="91"/>
      <c r="AD90" s="95"/>
      <c r="AE90" s="158"/>
      <c r="AF90" s="158"/>
      <c r="AJ90" s="183"/>
      <c r="AQ90" s="434"/>
    </row>
    <row r="91" spans="2:43" s="98" customFormat="1" ht="62.25" customHeight="1" thickBot="1" x14ac:dyDescent="0.95">
      <c r="B91" s="94"/>
      <c r="C91" s="94"/>
      <c r="D91" s="92"/>
      <c r="E91" s="92"/>
      <c r="F91" s="92"/>
      <c r="G91" s="92"/>
      <c r="H91" s="92"/>
      <c r="I91" s="92"/>
      <c r="J91" s="93"/>
      <c r="K91" s="212"/>
      <c r="L91" s="384"/>
      <c r="M91" s="340"/>
      <c r="N91" s="340"/>
      <c r="O91" s="340"/>
      <c r="P91" s="340"/>
      <c r="Q91" s="387"/>
      <c r="R91" s="387"/>
      <c r="S91" s="387"/>
      <c r="T91" s="387"/>
      <c r="U91" s="387"/>
      <c r="V91" s="387"/>
      <c r="W91" s="387"/>
      <c r="X91" s="340"/>
      <c r="Y91" s="340"/>
      <c r="Z91" s="340"/>
      <c r="AA91" s="91"/>
      <c r="AB91" s="91"/>
      <c r="AC91" s="91"/>
      <c r="AD91" s="95"/>
      <c r="AE91" s="158"/>
      <c r="AF91" s="158"/>
      <c r="AJ91" s="183"/>
      <c r="AQ91" s="434"/>
    </row>
    <row r="92" spans="2:43" s="98" customFormat="1" ht="94.5" customHeight="1" thickTop="1" thickBot="1" x14ac:dyDescent="0.95">
      <c r="B92" s="94"/>
      <c r="C92" s="94"/>
      <c r="D92" s="92"/>
      <c r="E92" s="92"/>
      <c r="F92" s="92"/>
      <c r="G92" s="92"/>
      <c r="H92" s="92"/>
      <c r="I92" s="92"/>
      <c r="J92" s="93"/>
      <c r="K92" s="92"/>
      <c r="L92" s="385" t="s">
        <v>13</v>
      </c>
      <c r="M92" s="379">
        <f>+M89+M86+M83</f>
        <v>590</v>
      </c>
      <c r="N92" s="379">
        <f t="shared" ref="N92:W92" si="41">+N89+N86+N83</f>
        <v>603</v>
      </c>
      <c r="O92" s="379">
        <f t="shared" si="41"/>
        <v>603</v>
      </c>
      <c r="P92" s="379">
        <f t="shared" si="41"/>
        <v>603</v>
      </c>
      <c r="Q92" s="379">
        <f t="shared" si="41"/>
        <v>603</v>
      </c>
      <c r="R92" s="379">
        <f t="shared" si="41"/>
        <v>603</v>
      </c>
      <c r="S92" s="379">
        <f t="shared" si="41"/>
        <v>603</v>
      </c>
      <c r="T92" s="379">
        <f t="shared" si="41"/>
        <v>603</v>
      </c>
      <c r="U92" s="379">
        <f t="shared" si="41"/>
        <v>603</v>
      </c>
      <c r="V92" s="379">
        <f t="shared" si="41"/>
        <v>0</v>
      </c>
      <c r="W92" s="379">
        <f t="shared" si="41"/>
        <v>0</v>
      </c>
      <c r="X92" s="340"/>
      <c r="Y92" s="340"/>
      <c r="Z92" s="340"/>
      <c r="AA92" s="91"/>
      <c r="AB92" s="91"/>
      <c r="AC92" s="91"/>
      <c r="AD92" s="95"/>
      <c r="AE92" s="155"/>
      <c r="AF92" s="155"/>
      <c r="AJ92" s="183"/>
      <c r="AQ92" s="434"/>
    </row>
    <row r="93" spans="2:43" s="98" customFormat="1" ht="62.25" thickTop="1" x14ac:dyDescent="0.9">
      <c r="B93" s="94"/>
      <c r="C93" s="94"/>
      <c r="D93" s="92"/>
      <c r="E93" s="92"/>
      <c r="F93" s="92"/>
      <c r="G93" s="92"/>
      <c r="H93" s="92"/>
      <c r="I93" s="92"/>
      <c r="J93" s="93"/>
      <c r="K93" s="92"/>
      <c r="L93" s="389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  <c r="AA93" s="91"/>
      <c r="AB93" s="91"/>
      <c r="AC93" s="91"/>
      <c r="AD93" s="95"/>
      <c r="AE93" s="158"/>
      <c r="AF93" s="158"/>
      <c r="AJ93" s="183"/>
      <c r="AQ93" s="434"/>
    </row>
    <row r="94" spans="2:43" x14ac:dyDescent="0.9">
      <c r="J94" s="91"/>
      <c r="K94" s="91"/>
      <c r="T94" s="515"/>
      <c r="U94" s="515"/>
      <c r="V94" s="515"/>
      <c r="AE94" s="158"/>
      <c r="AF94" s="158"/>
    </row>
    <row r="95" spans="2:43" ht="105" customHeight="1" x14ac:dyDescent="0.9">
      <c r="B95" s="426"/>
      <c r="AE95" s="158"/>
      <c r="AF95" s="158"/>
    </row>
    <row r="96" spans="2:43" s="98" customFormat="1" x14ac:dyDescent="0.9">
      <c r="B96" s="94"/>
      <c r="C96" s="94"/>
      <c r="D96" s="92"/>
      <c r="E96" s="92"/>
      <c r="F96" s="92"/>
      <c r="G96" s="92"/>
      <c r="H96" s="92"/>
      <c r="I96" s="92"/>
      <c r="J96" s="93"/>
      <c r="K96" s="92"/>
      <c r="L96" s="99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  <c r="AC96" s="91"/>
      <c r="AD96" s="95"/>
      <c r="AE96" s="158"/>
      <c r="AF96" s="158"/>
      <c r="AJ96" s="183"/>
      <c r="AQ96" s="434"/>
    </row>
    <row r="97" spans="2:43" s="98" customFormat="1" x14ac:dyDescent="0.9">
      <c r="B97" s="94"/>
      <c r="C97" s="94"/>
      <c r="D97" s="92"/>
      <c r="E97" s="92"/>
      <c r="F97" s="92"/>
      <c r="G97" s="92"/>
      <c r="H97" s="92"/>
      <c r="I97" s="91"/>
      <c r="J97" s="93"/>
      <c r="K97" s="92"/>
      <c r="L97" s="99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  <c r="AC97" s="91"/>
      <c r="AD97" s="95"/>
      <c r="AE97" s="158"/>
      <c r="AF97" s="158"/>
      <c r="AJ97" s="183"/>
      <c r="AQ97" s="434"/>
    </row>
    <row r="98" spans="2:43" s="98" customFormat="1" x14ac:dyDescent="0.9">
      <c r="B98" s="94"/>
      <c r="C98" s="94"/>
      <c r="D98" s="92"/>
      <c r="E98" s="92"/>
      <c r="F98" s="92"/>
      <c r="G98" s="92"/>
      <c r="H98" s="92"/>
      <c r="I98" s="92"/>
      <c r="J98" s="93"/>
      <c r="K98" s="92"/>
      <c r="L98" s="99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5"/>
      <c r="AE98" s="158"/>
      <c r="AF98" s="158"/>
      <c r="AJ98" s="183"/>
      <c r="AQ98" s="434"/>
    </row>
    <row r="99" spans="2:43" s="98" customFormat="1" ht="66" customHeight="1" x14ac:dyDescent="0.9">
      <c r="B99" s="94"/>
      <c r="C99" s="94"/>
      <c r="D99" s="92"/>
      <c r="E99" s="92"/>
      <c r="F99" s="92"/>
      <c r="G99" s="92"/>
      <c r="H99" s="92"/>
      <c r="I99" s="92"/>
      <c r="J99" s="93"/>
      <c r="K99" s="92"/>
      <c r="L99" s="99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5"/>
      <c r="AE99" s="158"/>
      <c r="AF99" s="158"/>
      <c r="AJ99" s="183"/>
      <c r="AQ99" s="434"/>
    </row>
    <row r="101" spans="2:43" s="92" customFormat="1" x14ac:dyDescent="0.7">
      <c r="B101" s="94"/>
      <c r="C101" s="94"/>
      <c r="D101" s="92">
        <v>2</v>
      </c>
      <c r="J101" s="93"/>
      <c r="L101" s="99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5"/>
      <c r="AE101" s="155"/>
      <c r="AF101" s="155"/>
      <c r="AG101" s="98"/>
      <c r="AH101" s="98"/>
      <c r="AI101" s="98"/>
      <c r="AJ101" s="183"/>
      <c r="AK101" s="91"/>
      <c r="AL101" s="91"/>
      <c r="AQ101" s="243"/>
    </row>
    <row r="102" spans="2:43" s="92" customFormat="1" x14ac:dyDescent="0.7">
      <c r="B102" s="94"/>
      <c r="C102" s="94"/>
      <c r="H102" s="92">
        <v>1</v>
      </c>
      <c r="J102" s="93"/>
      <c r="L102" s="99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5"/>
      <c r="AE102" s="155"/>
      <c r="AF102" s="155"/>
      <c r="AG102" s="98"/>
      <c r="AH102" s="98"/>
      <c r="AI102" s="98"/>
      <c r="AJ102" s="183"/>
      <c r="AK102" s="91"/>
      <c r="AL102" s="91"/>
      <c r="AQ102" s="243"/>
    </row>
    <row r="103" spans="2:43" s="92" customFormat="1" x14ac:dyDescent="0.7">
      <c r="B103" s="94"/>
      <c r="C103" s="94"/>
      <c r="H103" s="92">
        <v>2</v>
      </c>
      <c r="J103" s="93"/>
      <c r="L103" s="99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5"/>
      <c r="AE103" s="155"/>
      <c r="AF103" s="155"/>
      <c r="AG103" s="98"/>
      <c r="AH103" s="98"/>
      <c r="AI103" s="98"/>
      <c r="AJ103" s="183"/>
      <c r="AK103" s="91"/>
      <c r="AL103" s="91"/>
      <c r="AQ103" s="243"/>
    </row>
    <row r="104" spans="2:43" s="92" customFormat="1" x14ac:dyDescent="0.7">
      <c r="B104" s="94"/>
      <c r="C104" s="94"/>
      <c r="H104" s="92">
        <v>3</v>
      </c>
      <c r="J104" s="93"/>
      <c r="L104" s="99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5"/>
      <c r="AE104" s="155"/>
      <c r="AF104" s="155"/>
      <c r="AG104" s="98"/>
      <c r="AH104" s="98"/>
      <c r="AI104" s="98"/>
      <c r="AJ104" s="183"/>
      <c r="AK104" s="91"/>
      <c r="AL104" s="91"/>
      <c r="AQ104" s="243"/>
    </row>
    <row r="105" spans="2:43" s="92" customFormat="1" x14ac:dyDescent="0.7">
      <c r="B105" s="94"/>
      <c r="C105" s="94"/>
      <c r="H105" s="92">
        <v>4</v>
      </c>
      <c r="J105" s="93"/>
      <c r="L105" s="99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5"/>
      <c r="AE105" s="155"/>
      <c r="AF105" s="155"/>
      <c r="AG105" s="98"/>
      <c r="AH105" s="98"/>
      <c r="AI105" s="98"/>
      <c r="AJ105" s="183"/>
      <c r="AK105" s="91"/>
      <c r="AL105" s="91"/>
      <c r="AQ105" s="243"/>
    </row>
    <row r="106" spans="2:43" s="92" customFormat="1" x14ac:dyDescent="0.7">
      <c r="B106" s="94"/>
      <c r="C106" s="94"/>
      <c r="H106" s="92">
        <v>5</v>
      </c>
      <c r="J106" s="93"/>
      <c r="L106" s="99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5"/>
      <c r="AE106" s="155"/>
      <c r="AF106" s="155"/>
      <c r="AG106" s="98"/>
      <c r="AH106" s="98"/>
      <c r="AI106" s="98"/>
      <c r="AJ106" s="183"/>
      <c r="AK106" s="91"/>
      <c r="AL106" s="91"/>
      <c r="AQ106" s="243"/>
    </row>
    <row r="107" spans="2:43" s="92" customFormat="1" x14ac:dyDescent="0.7">
      <c r="B107" s="94"/>
      <c r="C107" s="94"/>
      <c r="H107" s="92">
        <v>6</v>
      </c>
      <c r="J107" s="93"/>
      <c r="L107" s="99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5"/>
      <c r="AE107" s="155"/>
      <c r="AF107" s="155"/>
      <c r="AG107" s="98"/>
      <c r="AH107" s="98"/>
      <c r="AI107" s="98"/>
      <c r="AJ107" s="183"/>
      <c r="AK107" s="91"/>
      <c r="AL107" s="91"/>
      <c r="AQ107" s="243"/>
    </row>
    <row r="108" spans="2:43" s="92" customFormat="1" x14ac:dyDescent="0.7">
      <c r="B108" s="94"/>
      <c r="C108" s="94"/>
      <c r="H108" s="92">
        <v>7</v>
      </c>
      <c r="J108" s="93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5"/>
      <c r="AE108" s="155"/>
      <c r="AF108" s="155"/>
      <c r="AG108" s="98"/>
      <c r="AH108" s="98"/>
      <c r="AI108" s="98"/>
      <c r="AJ108" s="183"/>
      <c r="AK108" s="91"/>
      <c r="AL108" s="91"/>
      <c r="AQ108" s="243"/>
    </row>
    <row r="109" spans="2:43" s="92" customFormat="1" x14ac:dyDescent="0.7">
      <c r="B109" s="94"/>
      <c r="C109" s="94"/>
      <c r="H109" s="92">
        <v>8</v>
      </c>
      <c r="J109" s="93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5"/>
      <c r="AE109" s="155"/>
      <c r="AF109" s="155"/>
      <c r="AG109" s="98"/>
      <c r="AH109" s="98"/>
      <c r="AI109" s="98"/>
      <c r="AJ109" s="183"/>
      <c r="AK109" s="91"/>
      <c r="AL109" s="91"/>
      <c r="AQ109" s="243"/>
    </row>
    <row r="110" spans="2:43" s="92" customFormat="1" x14ac:dyDescent="0.7">
      <c r="B110" s="94"/>
      <c r="C110" s="94"/>
      <c r="H110" s="92">
        <v>11</v>
      </c>
      <c r="J110" s="93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5"/>
      <c r="AE110" s="155"/>
      <c r="AF110" s="155"/>
      <c r="AG110" s="98"/>
      <c r="AH110" s="98"/>
      <c r="AI110" s="98"/>
      <c r="AJ110" s="183"/>
      <c r="AK110" s="91"/>
      <c r="AL110" s="91"/>
      <c r="AQ110" s="243"/>
    </row>
    <row r="111" spans="2:43" s="92" customFormat="1" x14ac:dyDescent="0.7">
      <c r="B111" s="94"/>
      <c r="C111" s="94"/>
      <c r="H111" s="92">
        <v>12</v>
      </c>
      <c r="J111" s="93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5"/>
      <c r="AE111" s="155"/>
      <c r="AF111" s="155"/>
      <c r="AG111" s="98"/>
      <c r="AH111" s="98"/>
      <c r="AI111" s="98"/>
      <c r="AJ111" s="183"/>
      <c r="AK111" s="91"/>
      <c r="AL111" s="91"/>
      <c r="AQ111" s="243"/>
    </row>
    <row r="112" spans="2:43" s="92" customFormat="1" x14ac:dyDescent="0.7">
      <c r="B112" s="94"/>
      <c r="C112" s="94"/>
      <c r="H112" s="92">
        <v>13</v>
      </c>
      <c r="J112" s="93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5"/>
      <c r="AE112" s="155"/>
      <c r="AF112" s="155"/>
      <c r="AG112" s="98"/>
      <c r="AH112" s="98"/>
      <c r="AI112" s="98"/>
      <c r="AJ112" s="183"/>
      <c r="AK112" s="91"/>
      <c r="AL112" s="91"/>
      <c r="AQ112" s="243"/>
    </row>
    <row r="113" spans="2:43" s="92" customFormat="1" x14ac:dyDescent="0.7">
      <c r="B113" s="94"/>
      <c r="C113" s="94"/>
      <c r="H113" s="92">
        <v>14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5"/>
      <c r="AE113" s="155"/>
      <c r="AF113" s="155"/>
      <c r="AG113" s="98"/>
      <c r="AH113" s="98"/>
      <c r="AI113" s="98"/>
      <c r="AJ113" s="183"/>
      <c r="AK113" s="91"/>
      <c r="AL113" s="91"/>
      <c r="AQ113" s="243"/>
    </row>
    <row r="114" spans="2:43" s="92" customFormat="1" x14ac:dyDescent="0.7">
      <c r="B114" s="94"/>
      <c r="C114" s="94"/>
      <c r="H114" s="92">
        <v>15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5"/>
      <c r="AE114" s="155"/>
      <c r="AF114" s="155"/>
      <c r="AG114" s="98"/>
      <c r="AH114" s="98"/>
      <c r="AI114" s="98"/>
      <c r="AJ114" s="183"/>
      <c r="AK114" s="91"/>
      <c r="AL114" s="91"/>
      <c r="AQ114" s="243"/>
    </row>
    <row r="115" spans="2:43" s="92" customFormat="1" x14ac:dyDescent="0.7">
      <c r="B115" s="94"/>
      <c r="C115" s="94"/>
      <c r="H115" s="92">
        <v>17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5"/>
      <c r="AE115" s="155"/>
      <c r="AF115" s="155"/>
      <c r="AG115" s="98"/>
      <c r="AH115" s="98"/>
      <c r="AI115" s="98"/>
      <c r="AJ115" s="183"/>
      <c r="AK115" s="91"/>
      <c r="AL115" s="91"/>
      <c r="AQ115" s="243"/>
    </row>
    <row r="116" spans="2:43" s="92" customFormat="1" x14ac:dyDescent="0.7">
      <c r="B116" s="94"/>
      <c r="C116" s="94"/>
      <c r="H116" s="92">
        <v>18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5"/>
      <c r="AE116" s="155"/>
      <c r="AF116" s="155"/>
      <c r="AG116" s="98"/>
      <c r="AH116" s="98"/>
      <c r="AI116" s="98"/>
      <c r="AJ116" s="183"/>
      <c r="AK116" s="91"/>
      <c r="AL116" s="91"/>
      <c r="AQ116" s="243"/>
    </row>
    <row r="117" spans="2:43" s="92" customFormat="1" x14ac:dyDescent="0.7">
      <c r="B117" s="94"/>
      <c r="C117" s="94"/>
      <c r="H117" s="92">
        <v>19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5"/>
      <c r="AE117" s="155"/>
      <c r="AF117" s="155"/>
      <c r="AG117" s="98"/>
      <c r="AH117" s="98"/>
      <c r="AI117" s="98"/>
      <c r="AJ117" s="183"/>
      <c r="AK117" s="91"/>
      <c r="AL117" s="91"/>
      <c r="AQ117" s="243"/>
    </row>
    <row r="173" spans="2:43" s="92" customFormat="1" x14ac:dyDescent="0.7">
      <c r="B173" s="94"/>
      <c r="C173" s="94"/>
      <c r="G173" s="92">
        <v>1</v>
      </c>
      <c r="J173" s="93"/>
      <c r="L173" s="99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  <c r="AC173" s="91"/>
      <c r="AD173" s="95"/>
      <c r="AE173" s="155"/>
      <c r="AF173" s="155"/>
      <c r="AG173" s="98"/>
      <c r="AH173" s="98"/>
      <c r="AI173" s="98"/>
      <c r="AJ173" s="183"/>
      <c r="AK173" s="91"/>
      <c r="AL173" s="91"/>
      <c r="AQ173" s="243"/>
    </row>
  </sheetData>
  <sheetProtection algorithmName="SHA-512" hashValue="dx1gJbea0qWfDv/mlBHbsH6x1xH+RxSp1z0iM6TS/0Uab9w6WB+20DLxvMTcQv667a0sae7Ca9xtobGlMukUSg==" saltValue="utV0augjtsQEPrNt4APXBw==" spinCount="100000" sheet="1" autoFilter="0"/>
  <autoFilter ref="A5:CQ77">
    <filterColumn colId="9" showButton="0"/>
  </autoFilter>
  <mergeCells count="39">
    <mergeCell ref="Y70:Y72"/>
    <mergeCell ref="Y74:Y76"/>
    <mergeCell ref="Y79:Z79"/>
    <mergeCell ref="Y81:Z81"/>
    <mergeCell ref="T94:V94"/>
    <mergeCell ref="Y66:Y68"/>
    <mergeCell ref="AV67:BF67"/>
    <mergeCell ref="Y38:Y40"/>
    <mergeCell ref="Y42:Y44"/>
    <mergeCell ref="AV43:BE43"/>
    <mergeCell ref="Y46:Y48"/>
    <mergeCell ref="AV47:BE47"/>
    <mergeCell ref="Y50:Y52"/>
    <mergeCell ref="Y54:Y56"/>
    <mergeCell ref="Y58:Y60"/>
    <mergeCell ref="Y62:Y64"/>
    <mergeCell ref="AV63:BE63"/>
    <mergeCell ref="Y34:Y36"/>
    <mergeCell ref="AV35:BE35"/>
    <mergeCell ref="J5:K5"/>
    <mergeCell ref="Y6:Y8"/>
    <mergeCell ref="AV7:BE7"/>
    <mergeCell ref="Y10:Y12"/>
    <mergeCell ref="AV11:BE11"/>
    <mergeCell ref="Y14:Y16"/>
    <mergeCell ref="AV15:BE15"/>
    <mergeCell ref="Y18:Y20"/>
    <mergeCell ref="Y22:Y24"/>
    <mergeCell ref="Y26:Y28"/>
    <mergeCell ref="Y30:Y32"/>
    <mergeCell ref="AV31:BE31"/>
    <mergeCell ref="AV27:BE27"/>
    <mergeCell ref="AC1:AD1"/>
    <mergeCell ref="AC2:AD3"/>
    <mergeCell ref="H3:I3"/>
    <mergeCell ref="K3:L3"/>
    <mergeCell ref="B4:G4"/>
    <mergeCell ref="K4:L4"/>
    <mergeCell ref="AC4:AD4"/>
  </mergeCells>
  <conditionalFormatting sqref="AC2:AD3">
    <cfRule type="cellIs" dxfId="13999" priority="146" operator="lessThan">
      <formula>0.85</formula>
    </cfRule>
  </conditionalFormatting>
  <conditionalFormatting sqref="AL1:AL5 AL78:AL1048576">
    <cfRule type="cellIs" dxfId="13998" priority="145" operator="notEqual">
      <formula>0</formula>
    </cfRule>
  </conditionalFormatting>
  <conditionalFormatting sqref="AP78:AP80 AP6 AP10 AP14 AP18 AP22 AP26 AP30 AP34 AP38 AP42 AP46 AP50 AP54 AP58 AP62 AP70 AP74 AP66">
    <cfRule type="cellIs" dxfId="13997" priority="144" operator="lessThan">
      <formula>0</formula>
    </cfRule>
  </conditionalFormatting>
  <conditionalFormatting sqref="X78">
    <cfRule type="cellIs" dxfId="13996" priority="143" operator="lessThan">
      <formula>0</formula>
    </cfRule>
  </conditionalFormatting>
  <conditionalFormatting sqref="AL18:AL21">
    <cfRule type="cellIs" dxfId="13995" priority="141" operator="notEqual">
      <formula>0</formula>
    </cfRule>
  </conditionalFormatting>
  <conditionalFormatting sqref="G20">
    <cfRule type="cellIs" dxfId="13994" priority="140" operator="greaterThan">
      <formula>0</formula>
    </cfRule>
  </conditionalFormatting>
  <conditionalFormatting sqref="AP6 AP8:AP9">
    <cfRule type="cellIs" dxfId="13993" priority="139" operator="lessThan">
      <formula>0</formula>
    </cfRule>
  </conditionalFormatting>
  <conditionalFormatting sqref="J20">
    <cfRule type="cellIs" dxfId="13992" priority="138" operator="greaterThan">
      <formula>0</formula>
    </cfRule>
  </conditionalFormatting>
  <conditionalFormatting sqref="AL58:AL61">
    <cfRule type="cellIs" dxfId="13991" priority="136" operator="notEqual">
      <formula>0</formula>
    </cfRule>
  </conditionalFormatting>
  <conditionalFormatting sqref="G60">
    <cfRule type="cellIs" dxfId="13990" priority="135" operator="greaterThan">
      <formula>0</formula>
    </cfRule>
  </conditionalFormatting>
  <conditionalFormatting sqref="AL42:AL45">
    <cfRule type="cellIs" dxfId="13989" priority="130" operator="notEqual">
      <formula>0</formula>
    </cfRule>
  </conditionalFormatting>
  <conditionalFormatting sqref="G44">
    <cfRule type="cellIs" dxfId="13988" priority="129" operator="greaterThan">
      <formula>0</formula>
    </cfRule>
  </conditionalFormatting>
  <conditionalFormatting sqref="AL14:AL17">
    <cfRule type="cellIs" dxfId="13987" priority="127" operator="notEqual">
      <formula>0</formula>
    </cfRule>
  </conditionalFormatting>
  <conditionalFormatting sqref="G16">
    <cfRule type="cellIs" dxfId="13986" priority="126" operator="greaterThan">
      <formula>0</formula>
    </cfRule>
  </conditionalFormatting>
  <conditionalFormatting sqref="J16">
    <cfRule type="cellIs" dxfId="13985" priority="125" operator="greaterThan">
      <formula>0</formula>
    </cfRule>
  </conditionalFormatting>
  <conditionalFormatting sqref="AL6:AL9">
    <cfRule type="cellIs" dxfId="13984" priority="123" operator="notEqual">
      <formula>0</formula>
    </cfRule>
  </conditionalFormatting>
  <conditionalFormatting sqref="G8">
    <cfRule type="cellIs" dxfId="13983" priority="122" operator="greaterThan">
      <formula>0</formula>
    </cfRule>
  </conditionalFormatting>
  <conditionalFormatting sqref="AP6 AP8:AP9">
    <cfRule type="cellIs" dxfId="13982" priority="121" operator="lessThan">
      <formula>0</formula>
    </cfRule>
  </conditionalFormatting>
  <conditionalFormatting sqref="AL10:AL13">
    <cfRule type="cellIs" dxfId="13981" priority="119" operator="notEqual">
      <formula>0</formula>
    </cfRule>
  </conditionalFormatting>
  <conditionalFormatting sqref="G12">
    <cfRule type="cellIs" dxfId="13980" priority="118" operator="greaterThan">
      <formula>0</formula>
    </cfRule>
  </conditionalFormatting>
  <conditionalFormatting sqref="AL30:AL33">
    <cfRule type="cellIs" dxfId="13979" priority="116" operator="notEqual">
      <formula>0</formula>
    </cfRule>
  </conditionalFormatting>
  <conditionalFormatting sqref="G32">
    <cfRule type="cellIs" dxfId="13978" priority="115" operator="greaterThan">
      <formula>0</formula>
    </cfRule>
  </conditionalFormatting>
  <conditionalFormatting sqref="AL70:AL73">
    <cfRule type="cellIs" dxfId="13977" priority="113" operator="notEqual">
      <formula>0</formula>
    </cfRule>
  </conditionalFormatting>
  <conditionalFormatting sqref="G72">
    <cfRule type="cellIs" dxfId="13976" priority="112" operator="greaterThan">
      <formula>0</formula>
    </cfRule>
  </conditionalFormatting>
  <conditionalFormatting sqref="AL50:AL53">
    <cfRule type="cellIs" dxfId="13975" priority="110" operator="notEqual">
      <formula>0</formula>
    </cfRule>
  </conditionalFormatting>
  <conditionalFormatting sqref="G52">
    <cfRule type="cellIs" dxfId="13974" priority="109" operator="greaterThan">
      <formula>0</formula>
    </cfRule>
  </conditionalFormatting>
  <conditionalFormatting sqref="J52">
    <cfRule type="cellIs" dxfId="13973" priority="108" operator="greaterThan">
      <formula>0</formula>
    </cfRule>
  </conditionalFormatting>
  <conditionalFormatting sqref="AP6 AP8:AP9">
    <cfRule type="cellIs" dxfId="13972" priority="107" operator="lessThan">
      <formula>0</formula>
    </cfRule>
  </conditionalFormatting>
  <conditionalFormatting sqref="AP6 AP8:AP9">
    <cfRule type="cellIs" dxfId="13971" priority="106" operator="lessThan">
      <formula>0</formula>
    </cfRule>
  </conditionalFormatting>
  <conditionalFormatting sqref="J72">
    <cfRule type="cellIs" dxfId="13970" priority="105" operator="greaterThan">
      <formula>0</formula>
    </cfRule>
  </conditionalFormatting>
  <conditionalFormatting sqref="J32">
    <cfRule type="cellIs" dxfId="13969" priority="104" operator="greaterThan">
      <formula>0</formula>
    </cfRule>
  </conditionalFormatting>
  <conditionalFormatting sqref="J44">
    <cfRule type="cellIs" dxfId="13968" priority="102" operator="greaterThan">
      <formula>0</formula>
    </cfRule>
  </conditionalFormatting>
  <conditionalFormatting sqref="AL54:AL57">
    <cfRule type="cellIs" dxfId="13967" priority="100" operator="notEqual">
      <formula>0</formula>
    </cfRule>
  </conditionalFormatting>
  <conditionalFormatting sqref="G56">
    <cfRule type="cellIs" dxfId="13966" priority="99" operator="greaterThan">
      <formula>0</formula>
    </cfRule>
  </conditionalFormatting>
  <conditionalFormatting sqref="J56">
    <cfRule type="cellIs" dxfId="13965" priority="98" operator="greaterThan">
      <formula>0</formula>
    </cfRule>
  </conditionalFormatting>
  <conditionalFormatting sqref="AL62:AL65">
    <cfRule type="cellIs" dxfId="13964" priority="96" operator="notEqual">
      <formula>0</formula>
    </cfRule>
  </conditionalFormatting>
  <conditionalFormatting sqref="G64">
    <cfRule type="cellIs" dxfId="13963" priority="95" operator="greaterThan">
      <formula>0</formula>
    </cfRule>
  </conditionalFormatting>
  <conditionalFormatting sqref="AL66:AL69">
    <cfRule type="cellIs" dxfId="13962" priority="93" operator="notEqual">
      <formula>0</formula>
    </cfRule>
  </conditionalFormatting>
  <conditionalFormatting sqref="G68">
    <cfRule type="cellIs" dxfId="13961" priority="92" operator="greaterThan">
      <formula>0</formula>
    </cfRule>
  </conditionalFormatting>
  <conditionalFormatting sqref="AL74:AL77">
    <cfRule type="cellIs" dxfId="13960" priority="90" operator="notEqual">
      <formula>0</formula>
    </cfRule>
  </conditionalFormatting>
  <conditionalFormatting sqref="G76">
    <cfRule type="cellIs" dxfId="13959" priority="89" operator="greaterThan">
      <formula>0</formula>
    </cfRule>
  </conditionalFormatting>
  <conditionalFormatting sqref="J64">
    <cfRule type="cellIs" dxfId="13958" priority="88" operator="greaterThan">
      <formula>0</formula>
    </cfRule>
  </conditionalFormatting>
  <conditionalFormatting sqref="J68">
    <cfRule type="cellIs" dxfId="13957" priority="87" operator="greaterThan">
      <formula>0</formula>
    </cfRule>
  </conditionalFormatting>
  <conditionalFormatting sqref="J76">
    <cfRule type="cellIs" dxfId="13956" priority="86" operator="greaterThan">
      <formula>0</formula>
    </cfRule>
  </conditionalFormatting>
  <conditionalFormatting sqref="AL22:AL25">
    <cfRule type="cellIs" dxfId="13955" priority="84" operator="notEqual">
      <formula>0</formula>
    </cfRule>
  </conditionalFormatting>
  <conditionalFormatting sqref="G24">
    <cfRule type="cellIs" dxfId="13954" priority="83" operator="greaterThan">
      <formula>0</formula>
    </cfRule>
  </conditionalFormatting>
  <conditionalFormatting sqref="J24">
    <cfRule type="cellIs" dxfId="13953" priority="82" operator="greaterThan">
      <formula>0</formula>
    </cfRule>
  </conditionalFormatting>
  <conditionalFormatting sqref="J12">
    <cfRule type="cellIs" dxfId="13952" priority="81" operator="greaterThan">
      <formula>0</formula>
    </cfRule>
  </conditionalFormatting>
  <conditionalFormatting sqref="AL46:AL49">
    <cfRule type="cellIs" dxfId="13951" priority="79" operator="notEqual">
      <formula>0</formula>
    </cfRule>
  </conditionalFormatting>
  <conditionalFormatting sqref="G48">
    <cfRule type="cellIs" dxfId="13950" priority="78" operator="greaterThan">
      <formula>0</formula>
    </cfRule>
  </conditionalFormatting>
  <conditionalFormatting sqref="J48">
    <cfRule type="cellIs" dxfId="13949" priority="77" operator="greaterThan">
      <formula>0</formula>
    </cfRule>
  </conditionalFormatting>
  <conditionalFormatting sqref="AL34:AL37">
    <cfRule type="cellIs" dxfId="13948" priority="75" operator="notEqual">
      <formula>0</formula>
    </cfRule>
  </conditionalFormatting>
  <conditionalFormatting sqref="G36">
    <cfRule type="cellIs" dxfId="13947" priority="74" operator="greaterThan">
      <formula>0</formula>
    </cfRule>
  </conditionalFormatting>
  <conditionalFormatting sqref="AL26:AL29">
    <cfRule type="cellIs" dxfId="13946" priority="72" operator="notEqual">
      <formula>0</formula>
    </cfRule>
  </conditionalFormatting>
  <conditionalFormatting sqref="G28">
    <cfRule type="cellIs" dxfId="13945" priority="71" operator="greaterThan">
      <formula>0</formula>
    </cfRule>
  </conditionalFormatting>
  <conditionalFormatting sqref="J28">
    <cfRule type="cellIs" dxfId="13944" priority="70" operator="greaterThan">
      <formula>0</formula>
    </cfRule>
  </conditionalFormatting>
  <conditionalFormatting sqref="J36">
    <cfRule type="cellIs" dxfId="13943" priority="69" operator="greaterThan">
      <formula>0</formula>
    </cfRule>
  </conditionalFormatting>
  <conditionalFormatting sqref="J8">
    <cfRule type="cellIs" dxfId="13942" priority="68" operator="greaterThan">
      <formula>0</formula>
    </cfRule>
  </conditionalFormatting>
  <conditionalFormatting sqref="J60">
    <cfRule type="cellIs" dxfId="13941" priority="67" operator="greaterThan">
      <formula>0</formula>
    </cfRule>
  </conditionalFormatting>
  <conditionalFormatting sqref="AP8:AP10 AP12:AP14 AP16:AP18 AP20:AP22 AP24:AP25 AP28:AP30 AP32:AP34 AP36:AP37 AP40:AP42 AP44:AP46 AP48:AP50 AP52:AP54 AP56:AP58 AP60:AP62 AP64:AP65 AP68:AP70 AP72:AP74 AP76:AP77">
    <cfRule type="cellIs" dxfId="13940" priority="66" operator="lessThan">
      <formula>0</formula>
    </cfRule>
  </conditionalFormatting>
  <conditionalFormatting sqref="AP8:AP10 AP12:AP14 AP16:AP18 AP20:AP22 AP24:AP25 AP28:AP30 AP32:AP34 AP36:AP37 AP40:AP42 AP44:AP46 AP48:AP50 AP52:AP54 AP56:AP58 AP60:AP62 AP64:AP65 AP68:AP70 AP72:AP74 AP76:AP77">
    <cfRule type="cellIs" dxfId="13939" priority="65" operator="lessThan">
      <formula>0</formula>
    </cfRule>
  </conditionalFormatting>
  <conditionalFormatting sqref="AP8:AP10 AP12:AP14 AP16:AP18 AP20:AP22 AP24:AP25 AP28:AP30 AP32:AP34 AP36:AP37 AP40:AP42 AP44:AP46 AP48:AP50 AP52:AP54 AP56:AP58 AP60:AP62 AP64:AP65 AP68:AP70 AP72:AP74 AP76:AP77">
    <cfRule type="cellIs" dxfId="13938" priority="64" operator="lessThan">
      <formula>0</formula>
    </cfRule>
  </conditionalFormatting>
  <conditionalFormatting sqref="AP8:AP10 AP12:AP14 AP16:AP18 AP20:AP22 AP24:AP25 AP28:AP30 AP32:AP34 AP36:AP37 AP40:AP42 AP44:AP46 AP48:AP50 AP52:AP54 AP56:AP58 AP60:AP62 AP64:AP65 AP68:AP70 AP72:AP74 AP76:AP77">
    <cfRule type="cellIs" dxfId="13937" priority="63" operator="lessThan">
      <formula>0</formula>
    </cfRule>
  </conditionalFormatting>
  <conditionalFormatting sqref="AP15 AP19 AP31 AP43 AP51 AP71 AP7 AP11 AP23 AP27 AP35 AP47 AP55 AP63 AP67 AP75 AP39 AP59">
    <cfRule type="cellIs" dxfId="13936" priority="62" operator="lessThan">
      <formula>0</formula>
    </cfRule>
  </conditionalFormatting>
  <conditionalFormatting sqref="AP15 AP19 AP31 AP43 AP51 AP71 AP7 AP11 AP23 AP27 AP35 AP47 AP55 AP63 AP67 AP75 AP39 AP59">
    <cfRule type="cellIs" dxfId="13935" priority="61" operator="lessThan">
      <formula>0</formula>
    </cfRule>
  </conditionalFormatting>
  <conditionalFormatting sqref="AP15 AP19 AP31 AP43 AP51 AP71 AP7 AP11 AP23 AP27 AP35 AP47 AP55 AP63 AP67 AP75 AP39 AP59">
    <cfRule type="cellIs" dxfId="13934" priority="60" operator="lessThan">
      <formula>0</formula>
    </cfRule>
  </conditionalFormatting>
  <conditionalFormatting sqref="AP15 AP19 AP31 AP43 AP51 AP71 AP7 AP11 AP23 AP27 AP35 AP47 AP55 AP63 AP67 AP75 AP39 AP59">
    <cfRule type="cellIs" dxfId="13933" priority="59" operator="lessThan">
      <formula>0</formula>
    </cfRule>
  </conditionalFormatting>
  <conditionalFormatting sqref="AP15 AP19 AP31 AP43 AP51 AP71 AP7 AP11 AP23 AP27 AP35 AP47 AP55 AP63 AP67 AP75 AP39 AP59">
    <cfRule type="cellIs" dxfId="13932" priority="58" operator="lessThan">
      <formula>0</formula>
    </cfRule>
  </conditionalFormatting>
  <conditionalFormatting sqref="AP15 AP19 AP31 AP43 AP51 AP71 AP7 AP11 AP23 AP27 AP35 AP47 AP55 AP63 AP67 AP75 AP39 AP59">
    <cfRule type="cellIs" dxfId="13931" priority="57" operator="lessThan">
      <formula>0</formula>
    </cfRule>
  </conditionalFormatting>
  <conditionalFormatting sqref="AP15 AP19 AP31 AP43 AP51 AP71 AP7 AP11 AP23 AP27 AP35 AP47 AP55 AP63 AP67 AP75 AP39 AP59">
    <cfRule type="cellIs" dxfId="13930" priority="56" operator="lessThan">
      <formula>0</formula>
    </cfRule>
  </conditionalFormatting>
  <conditionalFormatting sqref="AP15 AP19 AP31 AP43 AP51 AP71 AP7 AP11 AP23 AP27 AP35 AP47 AP55 AP63 AP67 AP75 AP39 AP59">
    <cfRule type="cellIs" dxfId="13929" priority="55" operator="lessThan">
      <formula>0</formula>
    </cfRule>
  </conditionalFormatting>
  <conditionalFormatting sqref="AP15 AP19 AP31 AP43 AP51 AP71 AP7 AP11 AP23 AP27 AP35 AP47 AP55 AP63 AP67 AP75 AP39 AP59">
    <cfRule type="cellIs" dxfId="13928" priority="54" operator="lessThan">
      <formula>0</formula>
    </cfRule>
  </conditionalFormatting>
  <conditionalFormatting sqref="AP15 AP19 AP31 AP43 AP51 AP71 AP7 AP11 AP23 AP27 AP35 AP47 AP55 AP63 AP67 AP75 AP39 AP59">
    <cfRule type="cellIs" dxfId="13927" priority="53" operator="lessThan">
      <formula>0</formula>
    </cfRule>
  </conditionalFormatting>
  <conditionalFormatting sqref="AP15 AP19 AP31 AP43 AP51 AP71 AP7 AP11 AP23 AP27 AP35 AP47 AP55 AP63 AP67 AP75 AP39 AP59">
    <cfRule type="cellIs" dxfId="13926" priority="52" operator="lessThan">
      <formula>0</formula>
    </cfRule>
  </conditionalFormatting>
  <conditionalFormatting sqref="AP15 AP19 AP31 AP43 AP51 AP71 AP7 AP11 AP23 AP27 AP35 AP47 AP55 AP63 AP67 AP75 AP39 AP59">
    <cfRule type="cellIs" dxfId="13925" priority="51" operator="lessThan">
      <formula>0</formula>
    </cfRule>
  </conditionalFormatting>
  <conditionalFormatting sqref="AP15 AP19 AP31 AP43 AP51 AP71 AP7 AP11 AP23 AP27 AP35 AP47 AP55 AP63 AP67 AP75 AP39 AP59">
    <cfRule type="cellIs" dxfId="13924" priority="50" operator="lessThan">
      <formula>0</formula>
    </cfRule>
  </conditionalFormatting>
  <conditionalFormatting sqref="AP15 AP19 AP31 AP43 AP51 AP71 AP7 AP11 AP23 AP27 AP35 AP47 AP55 AP63 AP67 AP75 AP39 AP59">
    <cfRule type="cellIs" dxfId="13923" priority="49" operator="lessThan">
      <formula>0</formula>
    </cfRule>
  </conditionalFormatting>
  <conditionalFormatting sqref="AP15 AP19 AP31 AP43 AP51 AP71 AP7 AP11 AP23 AP27 AP35 AP47 AP55 AP63 AP67 AP75 AP39 AP59">
    <cfRule type="cellIs" dxfId="13922" priority="48" operator="lessThan">
      <formula>0</formula>
    </cfRule>
  </conditionalFormatting>
  <conditionalFormatting sqref="AP15 AP19 AP31 AP43 AP51 AP71 AP7 AP11 AP23 AP27 AP35 AP47 AP55 AP63 AP67 AP75 AP39 AP59">
    <cfRule type="cellIs" dxfId="13921" priority="47" operator="lessThan">
      <formula>0</formula>
    </cfRule>
  </conditionalFormatting>
  <conditionalFormatting sqref="AL38:AL41">
    <cfRule type="cellIs" dxfId="13920" priority="45" operator="notEqual">
      <formula>0</formula>
    </cfRule>
  </conditionalFormatting>
  <conditionalFormatting sqref="G40">
    <cfRule type="cellIs" dxfId="13919" priority="44" operator="greaterThan">
      <formula>0</formula>
    </cfRule>
  </conditionalFormatting>
  <conditionalFormatting sqref="J40">
    <cfRule type="cellIs" dxfId="13918" priority="43" operator="greaterThan">
      <formula>0</formula>
    </cfRule>
  </conditionalFormatting>
  <conditionalFormatting sqref="AP38 AP40:AP41">
    <cfRule type="cellIs" dxfId="13917" priority="42" operator="lessThan">
      <formula>0</formula>
    </cfRule>
  </conditionalFormatting>
  <conditionalFormatting sqref="AP38 AP40:AP41">
    <cfRule type="cellIs" dxfId="13916" priority="41" operator="lessThan">
      <formula>0</formula>
    </cfRule>
  </conditionalFormatting>
  <conditionalFormatting sqref="AP38 AP40:AP41">
    <cfRule type="cellIs" dxfId="13915" priority="40" operator="lessThan">
      <formula>0</formula>
    </cfRule>
  </conditionalFormatting>
  <conditionalFormatting sqref="AP38 AP40:AP41">
    <cfRule type="cellIs" dxfId="13914" priority="39" operator="lessThan">
      <formula>0</formula>
    </cfRule>
  </conditionalFormatting>
  <conditionalFormatting sqref="AP39">
    <cfRule type="cellIs" dxfId="13913" priority="38" operator="lessThan">
      <formula>0</formula>
    </cfRule>
  </conditionalFormatting>
  <conditionalFormatting sqref="AP39">
    <cfRule type="cellIs" dxfId="13912" priority="37" operator="lessThan">
      <formula>0</formula>
    </cfRule>
  </conditionalFormatting>
  <conditionalFormatting sqref="AP39">
    <cfRule type="cellIs" dxfId="13911" priority="36" operator="lessThan">
      <formula>0</formula>
    </cfRule>
  </conditionalFormatting>
  <conditionalFormatting sqref="AP39">
    <cfRule type="cellIs" dxfId="13910" priority="35" operator="lessThan">
      <formula>0</formula>
    </cfRule>
  </conditionalFormatting>
  <conditionalFormatting sqref="AP39">
    <cfRule type="cellIs" dxfId="13909" priority="34" operator="lessThan">
      <formula>0</formula>
    </cfRule>
  </conditionalFormatting>
  <conditionalFormatting sqref="AP39">
    <cfRule type="cellIs" dxfId="13908" priority="33" operator="lessThan">
      <formula>0</formula>
    </cfRule>
  </conditionalFormatting>
  <conditionalFormatting sqref="AP39">
    <cfRule type="cellIs" dxfId="13907" priority="32" operator="lessThan">
      <formula>0</formula>
    </cfRule>
  </conditionalFormatting>
  <conditionalFormatting sqref="AP39">
    <cfRule type="cellIs" dxfId="13906" priority="31" operator="lessThan">
      <formula>0</formula>
    </cfRule>
  </conditionalFormatting>
  <conditionalFormatting sqref="AP39">
    <cfRule type="cellIs" dxfId="13905" priority="30" operator="lessThan">
      <formula>0</formula>
    </cfRule>
  </conditionalFormatting>
  <conditionalFormatting sqref="AP39">
    <cfRule type="cellIs" dxfId="13904" priority="29" operator="lessThan">
      <formula>0</formula>
    </cfRule>
  </conditionalFormatting>
  <conditionalFormatting sqref="AP39">
    <cfRule type="cellIs" dxfId="13903" priority="28" operator="lessThan">
      <formula>0</formula>
    </cfRule>
  </conditionalFormatting>
  <conditionalFormatting sqref="AP39">
    <cfRule type="cellIs" dxfId="13902" priority="27" operator="lessThan">
      <formula>0</formula>
    </cfRule>
  </conditionalFormatting>
  <conditionalFormatting sqref="AP39">
    <cfRule type="cellIs" dxfId="13901" priority="26" operator="lessThan">
      <formula>0</formula>
    </cfRule>
  </conditionalFormatting>
  <conditionalFormatting sqref="AP39">
    <cfRule type="cellIs" dxfId="13900" priority="25" operator="lessThan">
      <formula>0</formula>
    </cfRule>
  </conditionalFormatting>
  <conditionalFormatting sqref="AP39">
    <cfRule type="cellIs" dxfId="13899" priority="24" operator="lessThan">
      <formula>0</formula>
    </cfRule>
  </conditionalFormatting>
  <conditionalFormatting sqref="AP39">
    <cfRule type="cellIs" dxfId="13898" priority="23" operator="lessThan">
      <formula>0</formula>
    </cfRule>
  </conditionalFormatting>
  <conditionalFormatting sqref="X8">
    <cfRule type="cellIs" dxfId="13897" priority="21" operator="lessThan">
      <formula>0</formula>
    </cfRule>
  </conditionalFormatting>
  <conditionalFormatting sqref="X6">
    <cfRule type="cellIs" dxfId="13896" priority="20" operator="lessThan">
      <formula>0</formula>
    </cfRule>
  </conditionalFormatting>
  <conditionalFormatting sqref="X7">
    <cfRule type="iconSet" priority="22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">
    <cfRule type="cellIs" dxfId="13895" priority="18" operator="lessThan">
      <formula>0</formula>
    </cfRule>
  </conditionalFormatting>
  <conditionalFormatting sqref="X10 X14 X18 X22 X26 X30 X34 X38 X42 X46 X50 X54 X58 X62 X66 X70 X74">
    <cfRule type="cellIs" dxfId="13894" priority="17" operator="lessThan">
      <formula>0</formula>
    </cfRule>
  </conditionalFormatting>
  <conditionalFormatting sqref="X67 X11 X15 X19 X23 X27 X31 X35 X39 X43 X47 X51 X55 X59 X63 X71 X75">
    <cfRule type="iconSet" priority="19">
      <iconSet>
        <cfvo type="percent" val="0"/>
        <cfvo type="percent" val="&quot;$I$6&quot;"/>
        <cfvo type="percent" val="#REF!"/>
      </iconSet>
    </cfRule>
  </conditionalFormatting>
  <conditionalFormatting sqref="AP7">
    <cfRule type="cellIs" dxfId="13893" priority="16" operator="lessThan">
      <formula>0</formula>
    </cfRule>
  </conditionalFormatting>
  <conditionalFormatting sqref="AP7">
    <cfRule type="cellIs" dxfId="13892" priority="15" operator="lessThan">
      <formula>0</formula>
    </cfRule>
  </conditionalFormatting>
  <conditionalFormatting sqref="AP7">
    <cfRule type="cellIs" dxfId="13891" priority="14" operator="lessThan">
      <formula>0</formula>
    </cfRule>
  </conditionalFormatting>
  <conditionalFormatting sqref="AP7">
    <cfRule type="cellIs" dxfId="13890" priority="13" operator="lessThan">
      <formula>0</formula>
    </cfRule>
  </conditionalFormatting>
  <conditionalFormatting sqref="AP7">
    <cfRule type="cellIs" dxfId="13889" priority="12" operator="lessThan">
      <formula>0</formula>
    </cfRule>
  </conditionalFormatting>
  <conditionalFormatting sqref="AP7">
    <cfRule type="cellIs" dxfId="13888" priority="11" operator="lessThan">
      <formula>0</formula>
    </cfRule>
  </conditionalFormatting>
  <conditionalFormatting sqref="AP7">
    <cfRule type="cellIs" dxfId="13887" priority="10" operator="lessThan">
      <formula>0</formula>
    </cfRule>
  </conditionalFormatting>
  <conditionalFormatting sqref="AP7">
    <cfRule type="cellIs" dxfId="13886" priority="9" operator="lessThan">
      <formula>0</formula>
    </cfRule>
  </conditionalFormatting>
  <conditionalFormatting sqref="AP7">
    <cfRule type="cellIs" dxfId="13885" priority="8" operator="lessThan">
      <formula>0</formula>
    </cfRule>
  </conditionalFormatting>
  <conditionalFormatting sqref="AP7">
    <cfRule type="cellIs" dxfId="13884" priority="7" operator="lessThan">
      <formula>0</formula>
    </cfRule>
  </conditionalFormatting>
  <conditionalFormatting sqref="AP7">
    <cfRule type="cellIs" dxfId="13883" priority="6" operator="lessThan">
      <formula>0</formula>
    </cfRule>
  </conditionalFormatting>
  <conditionalFormatting sqref="AP7">
    <cfRule type="cellIs" dxfId="13882" priority="5" operator="lessThan">
      <formula>0</formula>
    </cfRule>
  </conditionalFormatting>
  <conditionalFormatting sqref="AP7">
    <cfRule type="cellIs" dxfId="13881" priority="4" operator="lessThan">
      <formula>0</formula>
    </cfRule>
  </conditionalFormatting>
  <conditionalFormatting sqref="AP7">
    <cfRule type="cellIs" dxfId="13880" priority="3" operator="lessThan">
      <formula>0</formula>
    </cfRule>
  </conditionalFormatting>
  <conditionalFormatting sqref="AP7">
    <cfRule type="cellIs" dxfId="13879" priority="2" operator="lessThan">
      <formula>0</formula>
    </cfRule>
  </conditionalFormatting>
  <conditionalFormatting sqref="AP7">
    <cfRule type="cellIs" dxfId="13878" priority="1" operator="less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42" id="{21B72395-85DC-4D77-AD6F-510E6E93FF8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Y18</xm:sqref>
        </x14:conditionalFormatting>
        <x14:conditionalFormatting xmlns:xm="http://schemas.microsoft.com/office/excel/2006/main">
          <x14:cfRule type="iconSet" priority="137" id="{7AE6AEE0-F18F-4544-8E90-D376740BE9E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Y58</xm:sqref>
        </x14:conditionalFormatting>
        <x14:conditionalFormatting xmlns:xm="http://schemas.microsoft.com/office/excel/2006/main">
          <x14:cfRule type="iconSet" priority="131" id="{9858D0DA-B893-4E4E-A70E-497C759D658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Y42</xm:sqref>
        </x14:conditionalFormatting>
        <x14:conditionalFormatting xmlns:xm="http://schemas.microsoft.com/office/excel/2006/main">
          <x14:cfRule type="iconSet" priority="128" id="{22E2AC03-7938-47A0-A811-BAE36E9D0B7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Y14</xm:sqref>
        </x14:conditionalFormatting>
        <x14:conditionalFormatting xmlns:xm="http://schemas.microsoft.com/office/excel/2006/main">
          <x14:cfRule type="iconSet" priority="124" id="{E8CC9EED-CEF7-49BF-ABD4-F9FC5F5B078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Y6</xm:sqref>
        </x14:conditionalFormatting>
        <x14:conditionalFormatting xmlns:xm="http://schemas.microsoft.com/office/excel/2006/main">
          <x14:cfRule type="iconSet" priority="120" id="{27902E6E-630C-4554-A7A9-5164727A105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Y10</xm:sqref>
        </x14:conditionalFormatting>
        <x14:conditionalFormatting xmlns:xm="http://schemas.microsoft.com/office/excel/2006/main">
          <x14:cfRule type="iconSet" priority="117" id="{7ACC5DC9-CD21-4120-BAA1-552D59DC6D4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Y30</xm:sqref>
        </x14:conditionalFormatting>
        <x14:conditionalFormatting xmlns:xm="http://schemas.microsoft.com/office/excel/2006/main">
          <x14:cfRule type="iconSet" priority="114" id="{34B6DBB2-C259-4AAF-9C30-1069B48604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Y70</xm:sqref>
        </x14:conditionalFormatting>
        <x14:conditionalFormatting xmlns:xm="http://schemas.microsoft.com/office/excel/2006/main">
          <x14:cfRule type="iconSet" priority="111" id="{7618CD04-A534-4412-9AD4-11499B760B2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Y50</xm:sqref>
        </x14:conditionalFormatting>
        <x14:conditionalFormatting xmlns:xm="http://schemas.microsoft.com/office/excel/2006/main">
          <x14:cfRule type="iconSet" priority="101" id="{A555BB49-6304-4D17-9FA2-E539794E36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Y54</xm:sqref>
        </x14:conditionalFormatting>
        <x14:conditionalFormatting xmlns:xm="http://schemas.microsoft.com/office/excel/2006/main">
          <x14:cfRule type="iconSet" priority="97" id="{2F1E4CA6-8697-42B4-9B4F-434B056D4C3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Y62</xm:sqref>
        </x14:conditionalFormatting>
        <x14:conditionalFormatting xmlns:xm="http://schemas.microsoft.com/office/excel/2006/main">
          <x14:cfRule type="iconSet" priority="94" id="{F59ED729-098A-43DE-BDB1-D0E545FD85B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Y66</xm:sqref>
        </x14:conditionalFormatting>
        <x14:conditionalFormatting xmlns:xm="http://schemas.microsoft.com/office/excel/2006/main">
          <x14:cfRule type="iconSet" priority="91" id="{0A4D3312-E5B2-4F22-A053-B2DC99F85DE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Y74</xm:sqref>
        </x14:conditionalFormatting>
        <x14:conditionalFormatting xmlns:xm="http://schemas.microsoft.com/office/excel/2006/main">
          <x14:cfRule type="iconSet" priority="85" id="{B16BA8D7-5784-47EB-A921-FFBF773992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Y22</xm:sqref>
        </x14:conditionalFormatting>
        <x14:conditionalFormatting xmlns:xm="http://schemas.microsoft.com/office/excel/2006/main">
          <x14:cfRule type="iconSet" priority="80" id="{0DC5878E-5E9F-48D4-BE63-FD0B76F21B6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Y46</xm:sqref>
        </x14:conditionalFormatting>
        <x14:conditionalFormatting xmlns:xm="http://schemas.microsoft.com/office/excel/2006/main">
          <x14:cfRule type="iconSet" priority="76" id="{1CBFF25E-82D7-423A-AFD1-100E97CCD35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Y34</xm:sqref>
        </x14:conditionalFormatting>
        <x14:conditionalFormatting xmlns:xm="http://schemas.microsoft.com/office/excel/2006/main">
          <x14:cfRule type="iconSet" priority="73" id="{7306252C-B51B-442F-894A-4072880EE3F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Y26</xm:sqref>
        </x14:conditionalFormatting>
        <x14:conditionalFormatting xmlns:xm="http://schemas.microsoft.com/office/excel/2006/main">
          <x14:cfRule type="iconSet" priority="46" id="{27B339BD-CED5-40B1-B8BB-472879B45FA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Y38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AB60"/>
  <sheetViews>
    <sheetView view="pageBreakPreview" topLeftCell="B1" zoomScale="50" zoomScaleNormal="50" zoomScaleSheetLayoutView="50" workbookViewId="0">
      <pane xSplit="8" ySplit="18" topLeftCell="J19" activePane="bottomRight" state="frozen"/>
      <selection activeCell="B1" sqref="B1"/>
      <selection pane="topRight" activeCell="J1" sqref="J1"/>
      <selection pane="bottomLeft" activeCell="B19" sqref="B19"/>
      <selection pane="bottomRight" activeCell="C21" sqref="C21"/>
    </sheetView>
  </sheetViews>
  <sheetFormatPr defaultColWidth="7.7109375" defaultRowHeight="32.25" customHeight="1" x14ac:dyDescent="0.25"/>
  <cols>
    <col min="1" max="1" width="2" style="186" hidden="1" customWidth="1"/>
    <col min="2" max="2" width="22.140625" style="186" customWidth="1"/>
    <col min="3" max="4" width="15.28515625" style="186" customWidth="1"/>
    <col min="5" max="5" width="14.140625" style="186" customWidth="1"/>
    <col min="6" max="10" width="15.28515625" style="186" customWidth="1"/>
    <col min="11" max="12" width="15.28515625" style="186" hidden="1" customWidth="1"/>
    <col min="13" max="13" width="14.7109375" style="186" customWidth="1"/>
    <col min="14" max="16" width="15.28515625" style="186" customWidth="1"/>
    <col min="17" max="17" width="13.7109375" style="186" customWidth="1"/>
    <col min="18" max="18" width="15.28515625" style="264" customWidth="1"/>
    <col min="19" max="19" width="14.42578125" style="186" customWidth="1"/>
    <col min="20" max="22" width="15.28515625" style="186" customWidth="1"/>
    <col min="23" max="23" width="15.28515625" style="186" hidden="1" customWidth="1"/>
    <col min="24" max="24" width="18.85546875" style="186" customWidth="1"/>
    <col min="25" max="25" width="16.5703125" style="186" customWidth="1"/>
    <col min="26" max="26" width="1.85546875" style="186" customWidth="1"/>
    <col min="27" max="27" width="9.28515625" style="186" customWidth="1"/>
    <col min="28" max="16384" width="7.7109375" style="186"/>
  </cols>
  <sheetData>
    <row r="1" spans="1:28" ht="21" customHeight="1" x14ac:dyDescent="0.25">
      <c r="A1" s="186" t="s">
        <v>174</v>
      </c>
      <c r="B1" s="186" t="s">
        <v>174</v>
      </c>
      <c r="C1" s="188">
        <v>1</v>
      </c>
      <c r="D1" s="188">
        <v>2</v>
      </c>
      <c r="E1" s="188">
        <v>3</v>
      </c>
      <c r="F1" s="188">
        <v>4</v>
      </c>
      <c r="G1" s="188">
        <v>5</v>
      </c>
      <c r="H1" s="188">
        <v>6</v>
      </c>
      <c r="I1" s="188">
        <v>7</v>
      </c>
      <c r="J1" s="188">
        <v>8</v>
      </c>
      <c r="K1" s="188">
        <v>9</v>
      </c>
      <c r="L1" s="188">
        <v>10</v>
      </c>
      <c r="M1" s="188">
        <v>11</v>
      </c>
      <c r="N1" s="188">
        <v>12</v>
      </c>
      <c r="O1" s="188">
        <v>13</v>
      </c>
      <c r="P1" s="188">
        <v>14</v>
      </c>
      <c r="Q1" s="188">
        <v>15</v>
      </c>
      <c r="R1" s="314">
        <v>16</v>
      </c>
      <c r="S1" s="188">
        <v>17</v>
      </c>
      <c r="T1" s="188">
        <v>18</v>
      </c>
      <c r="U1" s="188">
        <v>19</v>
      </c>
      <c r="V1" s="188">
        <v>20</v>
      </c>
      <c r="W1" s="188">
        <v>22</v>
      </c>
      <c r="X1" s="188" t="s">
        <v>174</v>
      </c>
      <c r="Y1" s="188"/>
      <c r="Z1" s="186" t="s">
        <v>174</v>
      </c>
      <c r="AA1" s="198"/>
      <c r="AB1" s="198">
        <v>0.84499999999999997</v>
      </c>
    </row>
    <row r="2" spans="1:28" ht="30" customHeight="1" x14ac:dyDescent="0.25">
      <c r="B2" s="228" t="s">
        <v>191</v>
      </c>
      <c r="C2" s="201" t="s">
        <v>132</v>
      </c>
      <c r="D2" s="201" t="s">
        <v>133</v>
      </c>
      <c r="E2" s="201" t="s">
        <v>134</v>
      </c>
      <c r="F2" s="201" t="s">
        <v>135</v>
      </c>
      <c r="G2" s="201" t="s">
        <v>136</v>
      </c>
      <c r="H2" s="201" t="s">
        <v>137</v>
      </c>
      <c r="I2" s="201" t="s">
        <v>138</v>
      </c>
      <c r="J2" s="201" t="s">
        <v>139</v>
      </c>
      <c r="K2" s="201" t="s">
        <v>140</v>
      </c>
      <c r="L2" s="201" t="s">
        <v>377</v>
      </c>
      <c r="M2" s="201" t="s">
        <v>141</v>
      </c>
      <c r="N2" s="201" t="s">
        <v>142</v>
      </c>
      <c r="O2" s="201" t="s">
        <v>143</v>
      </c>
      <c r="P2" s="201" t="s">
        <v>144</v>
      </c>
      <c r="Q2" s="201" t="s">
        <v>145</v>
      </c>
      <c r="R2" s="315" t="s">
        <v>146</v>
      </c>
      <c r="S2" s="201" t="s">
        <v>147</v>
      </c>
      <c r="T2" s="201" t="s">
        <v>148</v>
      </c>
      <c r="U2" s="201" t="s">
        <v>149</v>
      </c>
      <c r="V2" s="201" t="s">
        <v>340</v>
      </c>
      <c r="W2" s="201"/>
      <c r="X2" s="229" t="s">
        <v>150</v>
      </c>
      <c r="Y2" s="433" t="s">
        <v>178</v>
      </c>
      <c r="AA2" s="198"/>
      <c r="AB2" s="198"/>
    </row>
    <row r="3" spans="1:28" s="261" customFormat="1" ht="30" hidden="1" customHeight="1" x14ac:dyDescent="0.25">
      <c r="B3" s="262">
        <v>46023</v>
      </c>
      <c r="C3" s="263">
        <f ca="1">+C50</f>
        <v>0.87381818181818183</v>
      </c>
      <c r="D3" s="263" t="e">
        <f t="shared" ref="D3:Y3" ca="1" si="0">+D50</f>
        <v>#REF!</v>
      </c>
      <c r="E3" s="263" t="str">
        <f t="shared" si="0"/>
        <v>,</v>
      </c>
      <c r="F3" s="263" t="e">
        <f t="shared" ca="1" si="0"/>
        <v>#REF!</v>
      </c>
      <c r="G3" s="263">
        <f t="shared" si="0"/>
        <v>0.62867346938775515</v>
      </c>
      <c r="H3" s="263">
        <f t="shared" si="0"/>
        <v>0.83479492317969273</v>
      </c>
      <c r="I3" s="263">
        <f t="shared" si="0"/>
        <v>0.69495536309127237</v>
      </c>
      <c r="J3" s="263">
        <f t="shared" si="0"/>
        <v>0.36238857142857145</v>
      </c>
      <c r="K3" s="263" t="str">
        <f t="shared" si="0"/>
        <v>,</v>
      </c>
      <c r="L3" s="263" t="str">
        <f t="shared" si="0"/>
        <v>,</v>
      </c>
      <c r="M3" s="263">
        <f t="shared" si="0"/>
        <v>0.57947567030784508</v>
      </c>
      <c r="N3" s="263" t="str">
        <f t="shared" si="0"/>
        <v>,</v>
      </c>
      <c r="O3" s="263">
        <f t="shared" si="0"/>
        <v>0.6978428571428571</v>
      </c>
      <c r="P3" s="263">
        <f t="shared" si="0"/>
        <v>0.73531629392971243</v>
      </c>
      <c r="Q3" s="263">
        <f t="shared" si="0"/>
        <v>0.87066445403252568</v>
      </c>
      <c r="R3" s="263">
        <f t="shared" si="0"/>
        <v>0.88924743443557586</v>
      </c>
      <c r="S3" s="263" t="e">
        <f t="shared" si="0"/>
        <v>#DIV/0!</v>
      </c>
      <c r="T3" s="263">
        <f t="shared" si="0"/>
        <v>0.8757664233576643</v>
      </c>
      <c r="U3" s="263" t="str">
        <f t="shared" si="0"/>
        <v>,</v>
      </c>
      <c r="V3" s="263" t="str">
        <f t="shared" si="0"/>
        <v>,</v>
      </c>
      <c r="W3" s="263" t="e">
        <f t="shared" si="0"/>
        <v>#REF!</v>
      </c>
      <c r="X3" s="263">
        <f t="shared" si="0"/>
        <v>0.74429698083994578</v>
      </c>
      <c r="Y3" s="263">
        <f t="shared" si="0"/>
        <v>0.82320000000000004</v>
      </c>
    </row>
    <row r="4" spans="1:28" s="261" customFormat="1" ht="30" hidden="1" customHeight="1" x14ac:dyDescent="0.25">
      <c r="B4" s="262">
        <v>46054</v>
      </c>
      <c r="C4" s="452" t="s">
        <v>182</v>
      </c>
      <c r="D4" s="452" t="s">
        <v>182</v>
      </c>
      <c r="E4" s="452" t="s">
        <v>182</v>
      </c>
      <c r="F4" s="452" t="s">
        <v>182</v>
      </c>
      <c r="G4" s="452" t="s">
        <v>182</v>
      </c>
      <c r="H4" s="452" t="s">
        <v>182</v>
      </c>
      <c r="I4" s="452" t="s">
        <v>182</v>
      </c>
      <c r="J4" s="452" t="s">
        <v>182</v>
      </c>
      <c r="K4" s="452" t="s">
        <v>182</v>
      </c>
      <c r="L4" s="452" t="s">
        <v>182</v>
      </c>
      <c r="M4" s="452" t="s">
        <v>182</v>
      </c>
      <c r="N4" s="452" t="s">
        <v>182</v>
      </c>
      <c r="O4" s="452" t="s">
        <v>182</v>
      </c>
      <c r="P4" s="452" t="s">
        <v>182</v>
      </c>
      <c r="Q4" s="452" t="s">
        <v>182</v>
      </c>
      <c r="R4" s="452" t="s">
        <v>182</v>
      </c>
      <c r="S4" s="452" t="s">
        <v>182</v>
      </c>
      <c r="T4" s="452" t="s">
        <v>182</v>
      </c>
      <c r="U4" s="452" t="s">
        <v>182</v>
      </c>
      <c r="V4" s="452" t="s">
        <v>182</v>
      </c>
      <c r="W4" s="452" t="s">
        <v>182</v>
      </c>
      <c r="X4" s="452" t="s">
        <v>182</v>
      </c>
      <c r="Y4" s="452" t="s">
        <v>182</v>
      </c>
    </row>
    <row r="5" spans="1:28" s="261" customFormat="1" ht="30" hidden="1" customHeight="1" x14ac:dyDescent="0.25">
      <c r="B5" s="262">
        <v>46082</v>
      </c>
      <c r="C5" s="452" t="s">
        <v>182</v>
      </c>
      <c r="D5" s="452" t="s">
        <v>182</v>
      </c>
      <c r="E5" s="452" t="s">
        <v>182</v>
      </c>
      <c r="F5" s="452" t="s">
        <v>182</v>
      </c>
      <c r="G5" s="452" t="s">
        <v>182</v>
      </c>
      <c r="H5" s="452" t="s">
        <v>182</v>
      </c>
      <c r="I5" s="452" t="s">
        <v>182</v>
      </c>
      <c r="J5" s="452" t="s">
        <v>182</v>
      </c>
      <c r="K5" s="452" t="s">
        <v>182</v>
      </c>
      <c r="L5" s="452" t="s">
        <v>182</v>
      </c>
      <c r="M5" s="452" t="s">
        <v>182</v>
      </c>
      <c r="N5" s="452" t="s">
        <v>182</v>
      </c>
      <c r="O5" s="452" t="s">
        <v>182</v>
      </c>
      <c r="P5" s="452" t="s">
        <v>182</v>
      </c>
      <c r="Q5" s="452" t="s">
        <v>182</v>
      </c>
      <c r="R5" s="452" t="s">
        <v>182</v>
      </c>
      <c r="S5" s="452" t="s">
        <v>182</v>
      </c>
      <c r="T5" s="452" t="s">
        <v>182</v>
      </c>
      <c r="U5" s="452" t="s">
        <v>182</v>
      </c>
      <c r="V5" s="452" t="s">
        <v>182</v>
      </c>
      <c r="W5" s="452" t="s">
        <v>182</v>
      </c>
      <c r="X5" s="452" t="s">
        <v>182</v>
      </c>
      <c r="Y5" s="452" t="s">
        <v>182</v>
      </c>
    </row>
    <row r="6" spans="1:28" s="261" customFormat="1" ht="30" hidden="1" customHeight="1" x14ac:dyDescent="0.25">
      <c r="B6" s="262">
        <v>46113</v>
      </c>
      <c r="C6" s="452" t="s">
        <v>182</v>
      </c>
      <c r="D6" s="452" t="s">
        <v>182</v>
      </c>
      <c r="E6" s="452" t="s">
        <v>182</v>
      </c>
      <c r="F6" s="452" t="s">
        <v>182</v>
      </c>
      <c r="G6" s="452" t="s">
        <v>182</v>
      </c>
      <c r="H6" s="452" t="s">
        <v>182</v>
      </c>
      <c r="I6" s="452" t="s">
        <v>182</v>
      </c>
      <c r="J6" s="452" t="s">
        <v>182</v>
      </c>
      <c r="K6" s="452" t="s">
        <v>182</v>
      </c>
      <c r="L6" s="452" t="s">
        <v>182</v>
      </c>
      <c r="M6" s="452" t="s">
        <v>182</v>
      </c>
      <c r="N6" s="452" t="s">
        <v>182</v>
      </c>
      <c r="O6" s="452" t="s">
        <v>182</v>
      </c>
      <c r="P6" s="452" t="s">
        <v>182</v>
      </c>
      <c r="Q6" s="452" t="s">
        <v>182</v>
      </c>
      <c r="R6" s="452" t="s">
        <v>182</v>
      </c>
      <c r="S6" s="452" t="s">
        <v>182</v>
      </c>
      <c r="T6" s="452" t="s">
        <v>182</v>
      </c>
      <c r="U6" s="452" t="s">
        <v>182</v>
      </c>
      <c r="V6" s="452" t="s">
        <v>182</v>
      </c>
      <c r="W6" s="452" t="s">
        <v>182</v>
      </c>
      <c r="X6" s="452" t="s">
        <v>182</v>
      </c>
      <c r="Y6" s="452" t="s">
        <v>182</v>
      </c>
    </row>
    <row r="7" spans="1:28" s="261" customFormat="1" ht="30" hidden="1" customHeight="1" x14ac:dyDescent="0.25">
      <c r="B7" s="262">
        <v>46143</v>
      </c>
      <c r="C7" s="452" t="s">
        <v>182</v>
      </c>
      <c r="D7" s="452" t="s">
        <v>182</v>
      </c>
      <c r="E7" s="452" t="s">
        <v>182</v>
      </c>
      <c r="F7" s="452" t="s">
        <v>182</v>
      </c>
      <c r="G7" s="452" t="s">
        <v>182</v>
      </c>
      <c r="H7" s="452" t="s">
        <v>182</v>
      </c>
      <c r="I7" s="452" t="s">
        <v>182</v>
      </c>
      <c r="J7" s="452" t="s">
        <v>182</v>
      </c>
      <c r="K7" s="452" t="s">
        <v>182</v>
      </c>
      <c r="L7" s="452" t="s">
        <v>182</v>
      </c>
      <c r="M7" s="452" t="s">
        <v>182</v>
      </c>
      <c r="N7" s="452" t="s">
        <v>182</v>
      </c>
      <c r="O7" s="452" t="s">
        <v>182</v>
      </c>
      <c r="P7" s="452" t="s">
        <v>182</v>
      </c>
      <c r="Q7" s="452" t="s">
        <v>182</v>
      </c>
      <c r="R7" s="452" t="s">
        <v>182</v>
      </c>
      <c r="S7" s="452" t="s">
        <v>182</v>
      </c>
      <c r="T7" s="452" t="s">
        <v>182</v>
      </c>
      <c r="U7" s="452" t="s">
        <v>182</v>
      </c>
      <c r="V7" s="452" t="s">
        <v>182</v>
      </c>
      <c r="W7" s="452" t="s">
        <v>182</v>
      </c>
      <c r="X7" s="452" t="s">
        <v>182</v>
      </c>
      <c r="Y7" s="452" t="s">
        <v>182</v>
      </c>
    </row>
    <row r="8" spans="1:28" s="261" customFormat="1" ht="30" hidden="1" customHeight="1" x14ac:dyDescent="0.25">
      <c r="B8" s="262">
        <v>46174</v>
      </c>
      <c r="C8" s="452" t="s">
        <v>182</v>
      </c>
      <c r="D8" s="452" t="s">
        <v>182</v>
      </c>
      <c r="E8" s="452" t="s">
        <v>182</v>
      </c>
      <c r="F8" s="452" t="s">
        <v>182</v>
      </c>
      <c r="G8" s="452" t="s">
        <v>182</v>
      </c>
      <c r="H8" s="452" t="s">
        <v>182</v>
      </c>
      <c r="I8" s="452" t="s">
        <v>182</v>
      </c>
      <c r="J8" s="452" t="s">
        <v>182</v>
      </c>
      <c r="K8" s="452" t="s">
        <v>182</v>
      </c>
      <c r="L8" s="452" t="s">
        <v>182</v>
      </c>
      <c r="M8" s="452" t="s">
        <v>182</v>
      </c>
      <c r="N8" s="452" t="s">
        <v>182</v>
      </c>
      <c r="O8" s="452" t="s">
        <v>182</v>
      </c>
      <c r="P8" s="452" t="s">
        <v>182</v>
      </c>
      <c r="Q8" s="452" t="s">
        <v>182</v>
      </c>
      <c r="R8" s="452" t="s">
        <v>182</v>
      </c>
      <c r="S8" s="452" t="s">
        <v>182</v>
      </c>
      <c r="T8" s="452" t="s">
        <v>182</v>
      </c>
      <c r="U8" s="452" t="s">
        <v>182</v>
      </c>
      <c r="V8" s="452" t="s">
        <v>182</v>
      </c>
      <c r="W8" s="452" t="s">
        <v>182</v>
      </c>
      <c r="X8" s="452" t="s">
        <v>182</v>
      </c>
      <c r="Y8" s="452" t="s">
        <v>182</v>
      </c>
    </row>
    <row r="9" spans="1:28" s="261" customFormat="1" ht="30" hidden="1" customHeight="1" x14ac:dyDescent="0.25">
      <c r="B9" s="262">
        <v>46204</v>
      </c>
      <c r="C9" s="452" t="s">
        <v>182</v>
      </c>
      <c r="D9" s="452" t="s">
        <v>182</v>
      </c>
      <c r="E9" s="452" t="s">
        <v>182</v>
      </c>
      <c r="F9" s="452" t="s">
        <v>182</v>
      </c>
      <c r="G9" s="452" t="s">
        <v>182</v>
      </c>
      <c r="H9" s="452" t="s">
        <v>182</v>
      </c>
      <c r="I9" s="452" t="s">
        <v>182</v>
      </c>
      <c r="J9" s="452" t="s">
        <v>182</v>
      </c>
      <c r="K9" s="452" t="s">
        <v>182</v>
      </c>
      <c r="L9" s="452" t="s">
        <v>182</v>
      </c>
      <c r="M9" s="452" t="s">
        <v>182</v>
      </c>
      <c r="N9" s="452" t="s">
        <v>182</v>
      </c>
      <c r="O9" s="452" t="s">
        <v>182</v>
      </c>
      <c r="P9" s="452" t="s">
        <v>182</v>
      </c>
      <c r="Q9" s="452" t="s">
        <v>182</v>
      </c>
      <c r="R9" s="452" t="s">
        <v>182</v>
      </c>
      <c r="S9" s="452" t="s">
        <v>182</v>
      </c>
      <c r="T9" s="452" t="s">
        <v>182</v>
      </c>
      <c r="U9" s="452" t="s">
        <v>182</v>
      </c>
      <c r="V9" s="452" t="s">
        <v>182</v>
      </c>
      <c r="W9" s="452" t="s">
        <v>182</v>
      </c>
      <c r="X9" s="452" t="s">
        <v>182</v>
      </c>
      <c r="Y9" s="452" t="s">
        <v>182</v>
      </c>
    </row>
    <row r="10" spans="1:28" s="261" customFormat="1" ht="30" hidden="1" customHeight="1" x14ac:dyDescent="0.25">
      <c r="B10" s="262">
        <v>46235</v>
      </c>
      <c r="C10" s="452" t="s">
        <v>182</v>
      </c>
      <c r="D10" s="452" t="s">
        <v>182</v>
      </c>
      <c r="E10" s="452" t="s">
        <v>182</v>
      </c>
      <c r="F10" s="452" t="s">
        <v>182</v>
      </c>
      <c r="G10" s="452" t="s">
        <v>182</v>
      </c>
      <c r="H10" s="452" t="s">
        <v>182</v>
      </c>
      <c r="I10" s="452" t="s">
        <v>182</v>
      </c>
      <c r="J10" s="452" t="s">
        <v>182</v>
      </c>
      <c r="K10" s="452" t="s">
        <v>182</v>
      </c>
      <c r="L10" s="452" t="s">
        <v>182</v>
      </c>
      <c r="M10" s="452" t="s">
        <v>182</v>
      </c>
      <c r="N10" s="452" t="s">
        <v>182</v>
      </c>
      <c r="O10" s="452" t="s">
        <v>182</v>
      </c>
      <c r="P10" s="452" t="s">
        <v>182</v>
      </c>
      <c r="Q10" s="452" t="s">
        <v>182</v>
      </c>
      <c r="R10" s="452" t="s">
        <v>182</v>
      </c>
      <c r="S10" s="452" t="s">
        <v>182</v>
      </c>
      <c r="T10" s="452" t="s">
        <v>182</v>
      </c>
      <c r="U10" s="452" t="s">
        <v>182</v>
      </c>
      <c r="V10" s="452" t="s">
        <v>182</v>
      </c>
      <c r="W10" s="452" t="s">
        <v>182</v>
      </c>
      <c r="X10" s="452" t="s">
        <v>182</v>
      </c>
      <c r="Y10" s="452" t="s">
        <v>182</v>
      </c>
    </row>
    <row r="11" spans="1:28" s="261" customFormat="1" ht="30" hidden="1" customHeight="1" x14ac:dyDescent="0.25">
      <c r="B11" s="262">
        <v>46266</v>
      </c>
      <c r="C11" s="452" t="s">
        <v>182</v>
      </c>
      <c r="D11" s="452" t="s">
        <v>182</v>
      </c>
      <c r="E11" s="452" t="s">
        <v>182</v>
      </c>
      <c r="F11" s="452" t="s">
        <v>182</v>
      </c>
      <c r="G11" s="452" t="s">
        <v>182</v>
      </c>
      <c r="H11" s="452" t="s">
        <v>182</v>
      </c>
      <c r="I11" s="452" t="s">
        <v>182</v>
      </c>
      <c r="J11" s="452" t="s">
        <v>182</v>
      </c>
      <c r="K11" s="452" t="s">
        <v>182</v>
      </c>
      <c r="L11" s="452" t="s">
        <v>182</v>
      </c>
      <c r="M11" s="452" t="s">
        <v>182</v>
      </c>
      <c r="N11" s="452" t="s">
        <v>182</v>
      </c>
      <c r="O11" s="452" t="s">
        <v>182</v>
      </c>
      <c r="P11" s="452" t="s">
        <v>182</v>
      </c>
      <c r="Q11" s="452" t="s">
        <v>182</v>
      </c>
      <c r="R11" s="452" t="s">
        <v>182</v>
      </c>
      <c r="S11" s="452" t="s">
        <v>182</v>
      </c>
      <c r="T11" s="452" t="s">
        <v>182</v>
      </c>
      <c r="U11" s="452" t="s">
        <v>182</v>
      </c>
      <c r="V11" s="452" t="s">
        <v>182</v>
      </c>
      <c r="W11" s="452" t="s">
        <v>182</v>
      </c>
      <c r="X11" s="452" t="s">
        <v>182</v>
      </c>
      <c r="Y11" s="452" t="s">
        <v>182</v>
      </c>
    </row>
    <row r="12" spans="1:28" s="261" customFormat="1" ht="30" hidden="1" customHeight="1" x14ac:dyDescent="0.25">
      <c r="B12" s="262">
        <v>46296</v>
      </c>
      <c r="C12" s="452" t="s">
        <v>182</v>
      </c>
      <c r="D12" s="452" t="s">
        <v>182</v>
      </c>
      <c r="E12" s="452" t="s">
        <v>182</v>
      </c>
      <c r="F12" s="452" t="s">
        <v>182</v>
      </c>
      <c r="G12" s="452" t="s">
        <v>182</v>
      </c>
      <c r="H12" s="452" t="s">
        <v>182</v>
      </c>
      <c r="I12" s="452" t="s">
        <v>182</v>
      </c>
      <c r="J12" s="452" t="s">
        <v>182</v>
      </c>
      <c r="K12" s="452" t="s">
        <v>182</v>
      </c>
      <c r="L12" s="452" t="s">
        <v>182</v>
      </c>
      <c r="M12" s="452" t="s">
        <v>182</v>
      </c>
      <c r="N12" s="452" t="s">
        <v>182</v>
      </c>
      <c r="O12" s="452" t="s">
        <v>182</v>
      </c>
      <c r="P12" s="452" t="s">
        <v>182</v>
      </c>
      <c r="Q12" s="452" t="s">
        <v>182</v>
      </c>
      <c r="R12" s="452" t="s">
        <v>182</v>
      </c>
      <c r="S12" s="452" t="s">
        <v>182</v>
      </c>
      <c r="T12" s="452" t="s">
        <v>182</v>
      </c>
      <c r="U12" s="452" t="s">
        <v>182</v>
      </c>
      <c r="V12" s="452" t="s">
        <v>182</v>
      </c>
      <c r="W12" s="452" t="s">
        <v>182</v>
      </c>
      <c r="X12" s="452" t="s">
        <v>182</v>
      </c>
      <c r="Y12" s="452" t="s">
        <v>182</v>
      </c>
    </row>
    <row r="13" spans="1:28" s="261" customFormat="1" ht="30" hidden="1" customHeight="1" x14ac:dyDescent="0.25">
      <c r="B13" s="262">
        <v>46327</v>
      </c>
      <c r="C13" s="452" t="s">
        <v>182</v>
      </c>
      <c r="D13" s="452" t="s">
        <v>182</v>
      </c>
      <c r="E13" s="452" t="s">
        <v>182</v>
      </c>
      <c r="F13" s="452" t="s">
        <v>182</v>
      </c>
      <c r="G13" s="452" t="s">
        <v>182</v>
      </c>
      <c r="H13" s="452" t="s">
        <v>182</v>
      </c>
      <c r="I13" s="452" t="s">
        <v>182</v>
      </c>
      <c r="J13" s="452" t="s">
        <v>182</v>
      </c>
      <c r="K13" s="452" t="s">
        <v>182</v>
      </c>
      <c r="L13" s="452" t="s">
        <v>182</v>
      </c>
      <c r="M13" s="452" t="s">
        <v>182</v>
      </c>
      <c r="N13" s="452" t="s">
        <v>182</v>
      </c>
      <c r="O13" s="452" t="s">
        <v>182</v>
      </c>
      <c r="P13" s="452" t="s">
        <v>182</v>
      </c>
      <c r="Q13" s="452" t="s">
        <v>182</v>
      </c>
      <c r="R13" s="452" t="s">
        <v>182</v>
      </c>
      <c r="S13" s="452" t="s">
        <v>182</v>
      </c>
      <c r="T13" s="452" t="s">
        <v>182</v>
      </c>
      <c r="U13" s="452" t="s">
        <v>182</v>
      </c>
      <c r="V13" s="452" t="s">
        <v>182</v>
      </c>
      <c r="W13" s="452" t="s">
        <v>182</v>
      </c>
      <c r="X13" s="452" t="s">
        <v>182</v>
      </c>
      <c r="Y13" s="452" t="s">
        <v>182</v>
      </c>
    </row>
    <row r="14" spans="1:28" s="261" customFormat="1" ht="30" hidden="1" customHeight="1" x14ac:dyDescent="0.25">
      <c r="B14" s="262">
        <v>46357</v>
      </c>
      <c r="C14" s="452" t="s">
        <v>182</v>
      </c>
      <c r="D14" s="452" t="s">
        <v>182</v>
      </c>
      <c r="E14" s="452" t="s">
        <v>182</v>
      </c>
      <c r="F14" s="452" t="s">
        <v>182</v>
      </c>
      <c r="G14" s="452" t="s">
        <v>182</v>
      </c>
      <c r="H14" s="452" t="s">
        <v>182</v>
      </c>
      <c r="I14" s="452" t="s">
        <v>182</v>
      </c>
      <c r="J14" s="452" t="s">
        <v>182</v>
      </c>
      <c r="K14" s="452" t="s">
        <v>182</v>
      </c>
      <c r="L14" s="452" t="s">
        <v>182</v>
      </c>
      <c r="M14" s="452" t="s">
        <v>182</v>
      </c>
      <c r="N14" s="452" t="s">
        <v>182</v>
      </c>
      <c r="O14" s="452" t="s">
        <v>182</v>
      </c>
      <c r="P14" s="452" t="s">
        <v>182</v>
      </c>
      <c r="Q14" s="452" t="s">
        <v>182</v>
      </c>
      <c r="R14" s="452" t="s">
        <v>182</v>
      </c>
      <c r="S14" s="452" t="s">
        <v>182</v>
      </c>
      <c r="T14" s="452" t="s">
        <v>182</v>
      </c>
      <c r="U14" s="452" t="s">
        <v>182</v>
      </c>
      <c r="V14" s="452" t="s">
        <v>182</v>
      </c>
      <c r="W14" s="452" t="s">
        <v>182</v>
      </c>
      <c r="X14" s="452" t="s">
        <v>182</v>
      </c>
      <c r="Y14" s="452" t="s">
        <v>182</v>
      </c>
    </row>
    <row r="15" spans="1:28" s="264" customFormat="1" ht="42" hidden="1" customHeight="1" x14ac:dyDescent="0.25">
      <c r="B15" s="265" t="s">
        <v>194</v>
      </c>
      <c r="C15" s="263">
        <f ca="1">+AVERAGE(C3:C14)</f>
        <v>0.87381818181818183</v>
      </c>
      <c r="D15" s="263" t="e">
        <f t="shared" ref="D15:Y15" ca="1" si="1">+AVERAGE(D3:D14)</f>
        <v>#REF!</v>
      </c>
      <c r="E15" s="263" t="e">
        <f t="shared" si="1"/>
        <v>#DIV/0!</v>
      </c>
      <c r="F15" s="263" t="e">
        <f t="shared" ca="1" si="1"/>
        <v>#REF!</v>
      </c>
      <c r="G15" s="263">
        <f t="shared" si="1"/>
        <v>0.62867346938775515</v>
      </c>
      <c r="H15" s="263">
        <f t="shared" si="1"/>
        <v>0.83479492317969273</v>
      </c>
      <c r="I15" s="263">
        <f t="shared" si="1"/>
        <v>0.69495536309127237</v>
      </c>
      <c r="J15" s="263">
        <f t="shared" si="1"/>
        <v>0.36238857142857145</v>
      </c>
      <c r="K15" s="263" t="e">
        <f t="shared" si="1"/>
        <v>#DIV/0!</v>
      </c>
      <c r="L15" s="433" t="s">
        <v>182</v>
      </c>
      <c r="M15" s="263">
        <f t="shared" si="1"/>
        <v>0.57947567030784508</v>
      </c>
      <c r="N15" s="263" t="e">
        <f t="shared" si="1"/>
        <v>#DIV/0!</v>
      </c>
      <c r="O15" s="263">
        <f t="shared" si="1"/>
        <v>0.6978428571428571</v>
      </c>
      <c r="P15" s="263">
        <f t="shared" si="1"/>
        <v>0.73531629392971243</v>
      </c>
      <c r="Q15" s="263">
        <f t="shared" si="1"/>
        <v>0.87066445403252568</v>
      </c>
      <c r="R15" s="263" t="s">
        <v>182</v>
      </c>
      <c r="S15" s="263" t="e">
        <f t="shared" si="1"/>
        <v>#DIV/0!</v>
      </c>
      <c r="T15" s="263">
        <f t="shared" si="1"/>
        <v>0.8757664233576643</v>
      </c>
      <c r="U15" s="263" t="e">
        <f t="shared" si="1"/>
        <v>#DIV/0!</v>
      </c>
      <c r="V15" s="263" t="s">
        <v>182</v>
      </c>
      <c r="W15" s="263" t="e">
        <f t="shared" si="1"/>
        <v>#REF!</v>
      </c>
      <c r="X15" s="263">
        <f>+AVERAGE(X3:X14)</f>
        <v>0.74429698083994578</v>
      </c>
      <c r="Y15" s="263">
        <f t="shared" si="1"/>
        <v>0.82320000000000004</v>
      </c>
      <c r="Z15" s="261"/>
    </row>
    <row r="16" spans="1:28" ht="21" customHeight="1" x14ac:dyDescent="0.25"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316"/>
      <c r="S16" s="242"/>
      <c r="T16" s="242"/>
      <c r="U16" s="242"/>
      <c r="V16" s="242"/>
      <c r="W16" s="242"/>
      <c r="X16" s="242"/>
      <c r="Y16" s="242"/>
      <c r="AA16" s="198"/>
      <c r="AB16" s="198"/>
    </row>
    <row r="17" spans="1:28" s="200" customFormat="1" ht="32.25" customHeight="1" x14ac:dyDescent="0.25">
      <c r="A17" s="200" t="s">
        <v>174</v>
      </c>
      <c r="B17" s="200" t="s">
        <v>174</v>
      </c>
      <c r="C17" s="201" t="s">
        <v>132</v>
      </c>
      <c r="D17" s="201" t="s">
        <v>133</v>
      </c>
      <c r="E17" s="201" t="s">
        <v>134</v>
      </c>
      <c r="F17" s="201" t="s">
        <v>135</v>
      </c>
      <c r="G17" s="201" t="s">
        <v>136</v>
      </c>
      <c r="H17" s="201" t="s">
        <v>137</v>
      </c>
      <c r="I17" s="201" t="s">
        <v>138</v>
      </c>
      <c r="J17" s="201" t="s">
        <v>139</v>
      </c>
      <c r="K17" s="201" t="s">
        <v>140</v>
      </c>
      <c r="L17" s="201" t="s">
        <v>377</v>
      </c>
      <c r="M17" s="201" t="s">
        <v>141</v>
      </c>
      <c r="N17" s="201" t="s">
        <v>142</v>
      </c>
      <c r="O17" s="201" t="s">
        <v>143</v>
      </c>
      <c r="P17" s="201" t="s">
        <v>144</v>
      </c>
      <c r="Q17" s="201" t="s">
        <v>145</v>
      </c>
      <c r="R17" s="315" t="s">
        <v>146</v>
      </c>
      <c r="S17" s="201" t="s">
        <v>147</v>
      </c>
      <c r="T17" s="201" t="s">
        <v>148</v>
      </c>
      <c r="U17" s="201" t="s">
        <v>149</v>
      </c>
      <c r="V17" s="201" t="s">
        <v>339</v>
      </c>
      <c r="W17" s="201" t="s">
        <v>176</v>
      </c>
      <c r="X17" s="202" t="s">
        <v>150</v>
      </c>
      <c r="Y17" s="221" t="s">
        <v>178</v>
      </c>
      <c r="Z17" s="203">
        <v>0.84499999999999997</v>
      </c>
      <c r="AA17" s="204"/>
      <c r="AB17" s="200" t="s">
        <v>174</v>
      </c>
    </row>
    <row r="18" spans="1:28" ht="25.5" customHeight="1" x14ac:dyDescent="0.25">
      <c r="A18" s="186" t="s">
        <v>174</v>
      </c>
      <c r="B18" s="186" t="s">
        <v>174</v>
      </c>
      <c r="C18" s="205" t="s">
        <v>281</v>
      </c>
      <c r="D18" s="205" t="s">
        <v>421</v>
      </c>
      <c r="E18" s="205"/>
      <c r="F18" s="205" t="s">
        <v>437</v>
      </c>
      <c r="G18" s="205" t="s">
        <v>282</v>
      </c>
      <c r="H18" s="205" t="s">
        <v>364</v>
      </c>
      <c r="I18" s="205" t="s">
        <v>279</v>
      </c>
      <c r="J18" s="205" t="s">
        <v>280</v>
      </c>
      <c r="K18" s="205"/>
      <c r="L18" s="205"/>
      <c r="M18" s="205" t="s">
        <v>411</v>
      </c>
      <c r="N18" s="205"/>
      <c r="O18" s="205" t="s">
        <v>378</v>
      </c>
      <c r="P18" s="207" t="s">
        <v>278</v>
      </c>
      <c r="Q18" s="205" t="s">
        <v>279</v>
      </c>
      <c r="R18" s="317" t="s">
        <v>152</v>
      </c>
      <c r="S18" s="205" t="s">
        <v>378</v>
      </c>
      <c r="T18" s="205" t="s">
        <v>283</v>
      </c>
      <c r="U18" s="207"/>
      <c r="V18" s="205"/>
      <c r="W18" s="205" t="s">
        <v>179</v>
      </c>
      <c r="X18" s="206" t="s">
        <v>174</v>
      </c>
      <c r="Y18" s="206"/>
      <c r="Z18" s="197" t="s">
        <v>174</v>
      </c>
      <c r="AB18" s="186" t="s">
        <v>174</v>
      </c>
    </row>
    <row r="19" spans="1:28" ht="32.25" customHeight="1" x14ac:dyDescent="0.25">
      <c r="A19" s="186" t="s">
        <v>174</v>
      </c>
      <c r="B19" s="459" t="s">
        <v>438</v>
      </c>
      <c r="C19" s="433">
        <f ca="1">+SUMIF(INDIRECT("'" &amp; B19 &amp; "'!$B:$B"),C1,INDIRECT("'" &amp; B19 &amp; "'!$ah:$ah"))/SUMIF(INDIRECT("'" &amp; B19 &amp; "'!$B:$B"),C1,INDIRECT("'" &amp; B19 &amp; "'!$AG:$AG"))</f>
        <v>0.87381818181818183</v>
      </c>
      <c r="D19" s="452" t="e">
        <f ca="1">+SUMIF(INDIRECT("'" &amp; C19 &amp; "'!$B:$B"),D1,INDIRECT("'" &amp; C19 &amp; "'!$ah:$ah"))/SUMIF(INDIRECT("'" &amp; C19 &amp; "'!$B:$B"),D1,INDIRECT("'" &amp; C19 &amp; "'!$AG:$AG"))</f>
        <v>#REF!</v>
      </c>
      <c r="E19" s="452" t="e">
        <f t="shared" ref="E19:F19" ca="1" si="2">+SUMIF(INDIRECT("'" &amp; D19 &amp; "'!$B:$B"),E1,INDIRECT("'" &amp; D19 &amp; "'!$ah:$ah"))/SUMIF(INDIRECT("'" &amp; D19 &amp; "'!$B:$B"),E1,INDIRECT("'" &amp; D19 &amp; "'!$AG:$AG"))</f>
        <v>#REF!</v>
      </c>
      <c r="F19" s="452" t="e">
        <f t="shared" ca="1" si="2"/>
        <v>#REF!</v>
      </c>
      <c r="G19" s="452">
        <f>+SUMIF('01-01-2026'!$B:$B,G1,'01-01-2026'!$AH:$AH)/SUMIF('01-01-2026'!$B:$B,G1,'01-01-2026'!$AG:$AG)</f>
        <v>0.62867346938775515</v>
      </c>
      <c r="H19" s="452">
        <f>+SUMIF('01-01-2026'!$B:$B,H1,'01-01-2026'!$AH:$AH)/SUMIF('01-01-2026'!$B:$B,H1,'01-01-2026'!$AG:$AG)</f>
        <v>0.83479492317969273</v>
      </c>
      <c r="I19" s="452">
        <f>+SUMIF('01-01-2026'!$B:$B,I1,'01-01-2026'!$AH:$AH)/SUMIF('01-01-2026'!$B:$B,I1,'01-01-2026'!$AG:$AG)</f>
        <v>0.69495536309127237</v>
      </c>
      <c r="J19" s="452">
        <f>+SUMIF('01-01-2026'!$B:$B,J1,'01-01-2026'!$AH:$AH)/SUMIF('01-01-2026'!$B:$B,J1,'01-01-2026'!$AG:$AG)</f>
        <v>0.36238857142857145</v>
      </c>
      <c r="K19" s="452" t="e">
        <f>+SUMIF('01-01-2026'!$B:$B,K1,'01-01-2026'!$AH:$AH)/SUMIF('01-01-2026'!$B:$B,K1,'01-01-2026'!$AG:$AG)</f>
        <v>#DIV/0!</v>
      </c>
      <c r="L19" s="452" t="e">
        <f>+SUMIF('01-01-2026'!$B:$B,L1,'01-01-2026'!$AH:$AH)/SUMIF('01-01-2026'!$B:$B,L1,'01-01-2026'!$AG:$AG)</f>
        <v>#DIV/0!</v>
      </c>
      <c r="M19" s="452">
        <f>+SUMIF('01-01-2026'!$B:$B,M1,'01-01-2026'!$AH:$AH)/SUMIF('01-01-2026'!$B:$B,M1,'01-01-2026'!$AG:$AG)</f>
        <v>0.57947567030784508</v>
      </c>
      <c r="N19" s="449" t="s">
        <v>182</v>
      </c>
      <c r="O19" s="452">
        <f>+SUMIF('01-01-2026'!$B:$B,O1,'01-01-2026'!$AH:$AH)/SUMIF('01-01-2026'!$B:$B,O1,'01-01-2026'!$AG:$AG)</f>
        <v>0.6978428571428571</v>
      </c>
      <c r="P19" s="452">
        <f>+SUMIF('01-01-2026'!$B:$B,P1,'01-01-2026'!$AH:$AH)/SUMIF('01-01-2026'!$B:$B,P1,'01-01-2026'!$AG:$AG)</f>
        <v>0.73531629392971243</v>
      </c>
      <c r="Q19" s="452">
        <f>+SUMIF('01-01-2026'!$B:$B,Q1,'01-01-2026'!$AH:$AH)/SUMIF('01-01-2026'!$B:$B,Q1,'01-01-2026'!$AG:$AG)</f>
        <v>0.87066445403252568</v>
      </c>
      <c r="R19" s="452">
        <f>+SUMIF('01-01-2026'!$B:$B,R1,'01-01-2026'!$AH:$AH)/SUMIF('01-01-2026'!$B:$B,R1,'01-01-2026'!$AG:$AG)</f>
        <v>0.88924743443557586</v>
      </c>
      <c r="S19" s="452" t="e">
        <f>+SUMIF('01-01-2026'!$B:$B,S1,'01-01-2026'!$AH:$AH)/SUMIF('01-01-2026'!$B:$B,S1,'01-01-2026'!$AG:$AG)</f>
        <v>#DIV/0!</v>
      </c>
      <c r="T19" s="452">
        <f>+SUMIF('01-01-2026'!$B:$B,T1,'01-01-2026'!$AH:$AH)/SUMIF('01-01-2026'!$B:$B,T1,'01-01-2026'!$AG:$AG)</f>
        <v>0.8757664233576643</v>
      </c>
      <c r="U19" s="433" t="s">
        <v>182</v>
      </c>
      <c r="V19" s="433" t="s">
        <v>182</v>
      </c>
      <c r="W19" s="433" t="e">
        <f>+SUMIF(#REF!,W1,#REF!)/SUMIF(#REF!,W1,#REF!)</f>
        <v>#REF!</v>
      </c>
      <c r="X19" s="433">
        <f>+'01-01-2026'!AC2</f>
        <v>0.74429698083994578</v>
      </c>
      <c r="Y19" s="452">
        <v>0.82320000000000004</v>
      </c>
      <c r="AA19" s="224"/>
      <c r="AB19" s="186" t="s">
        <v>174</v>
      </c>
    </row>
    <row r="20" spans="1:28" ht="32.25" customHeight="1" x14ac:dyDescent="0.25">
      <c r="B20" s="187"/>
      <c r="C20" s="452" t="s">
        <v>182</v>
      </c>
      <c r="D20" s="452" t="s">
        <v>182</v>
      </c>
      <c r="E20" s="452" t="s">
        <v>182</v>
      </c>
      <c r="F20" s="452" t="s">
        <v>182</v>
      </c>
      <c r="G20" s="452" t="s">
        <v>182</v>
      </c>
      <c r="H20" s="452" t="s">
        <v>182</v>
      </c>
      <c r="I20" s="452" t="s">
        <v>182</v>
      </c>
      <c r="J20" s="452" t="s">
        <v>182</v>
      </c>
      <c r="K20" s="452" t="s">
        <v>182</v>
      </c>
      <c r="L20" s="452" t="s">
        <v>182</v>
      </c>
      <c r="M20" s="452" t="s">
        <v>182</v>
      </c>
      <c r="N20" s="452" t="s">
        <v>182</v>
      </c>
      <c r="O20" s="452" t="s">
        <v>182</v>
      </c>
      <c r="P20" s="452" t="s">
        <v>182</v>
      </c>
      <c r="Q20" s="452" t="s">
        <v>182</v>
      </c>
      <c r="R20" s="452" t="s">
        <v>182</v>
      </c>
      <c r="S20" s="452" t="s">
        <v>182</v>
      </c>
      <c r="T20" s="452" t="s">
        <v>182</v>
      </c>
      <c r="U20" s="433" t="s">
        <v>182</v>
      </c>
      <c r="V20" s="452" t="s">
        <v>182</v>
      </c>
      <c r="W20" s="452" t="s">
        <v>182</v>
      </c>
      <c r="X20" s="452" t="s">
        <v>182</v>
      </c>
      <c r="Y20" s="452" t="s">
        <v>182</v>
      </c>
      <c r="Z20" s="197"/>
      <c r="AA20" s="224"/>
    </row>
    <row r="21" spans="1:28" ht="32.25" customHeight="1" x14ac:dyDescent="0.25">
      <c r="A21" s="186" t="s">
        <v>174</v>
      </c>
      <c r="B21" s="187"/>
      <c r="C21" s="452" t="s">
        <v>182</v>
      </c>
      <c r="D21" s="452" t="s">
        <v>182</v>
      </c>
      <c r="E21" s="452" t="s">
        <v>182</v>
      </c>
      <c r="F21" s="452" t="s">
        <v>182</v>
      </c>
      <c r="G21" s="452" t="s">
        <v>182</v>
      </c>
      <c r="H21" s="452" t="s">
        <v>182</v>
      </c>
      <c r="I21" s="452" t="s">
        <v>182</v>
      </c>
      <c r="J21" s="452" t="s">
        <v>182</v>
      </c>
      <c r="K21" s="452" t="s">
        <v>182</v>
      </c>
      <c r="L21" s="452" t="s">
        <v>182</v>
      </c>
      <c r="M21" s="452" t="s">
        <v>182</v>
      </c>
      <c r="N21" s="452" t="s">
        <v>182</v>
      </c>
      <c r="O21" s="452" t="s">
        <v>182</v>
      </c>
      <c r="P21" s="452" t="s">
        <v>182</v>
      </c>
      <c r="Q21" s="452" t="s">
        <v>182</v>
      </c>
      <c r="R21" s="452" t="s">
        <v>182</v>
      </c>
      <c r="S21" s="452" t="s">
        <v>182</v>
      </c>
      <c r="T21" s="452" t="s">
        <v>182</v>
      </c>
      <c r="U21" s="452" t="s">
        <v>182</v>
      </c>
      <c r="V21" s="452" t="s">
        <v>182</v>
      </c>
      <c r="W21" s="452" t="s">
        <v>182</v>
      </c>
      <c r="X21" s="452" t="s">
        <v>182</v>
      </c>
      <c r="Y21" s="452" t="s">
        <v>182</v>
      </c>
      <c r="Z21" s="197" t="s">
        <v>174</v>
      </c>
      <c r="AA21" s="224"/>
      <c r="AB21" s="186" t="s">
        <v>174</v>
      </c>
    </row>
    <row r="22" spans="1:28" ht="32.25" customHeight="1" x14ac:dyDescent="0.25">
      <c r="A22" s="186" t="s">
        <v>174</v>
      </c>
      <c r="B22" s="187"/>
      <c r="C22" s="452" t="s">
        <v>182</v>
      </c>
      <c r="D22" s="452" t="s">
        <v>182</v>
      </c>
      <c r="E22" s="452" t="s">
        <v>182</v>
      </c>
      <c r="F22" s="452" t="s">
        <v>182</v>
      </c>
      <c r="G22" s="452" t="s">
        <v>182</v>
      </c>
      <c r="H22" s="452" t="s">
        <v>182</v>
      </c>
      <c r="I22" s="452" t="s">
        <v>182</v>
      </c>
      <c r="J22" s="452" t="s">
        <v>182</v>
      </c>
      <c r="K22" s="452" t="s">
        <v>182</v>
      </c>
      <c r="L22" s="452" t="s">
        <v>182</v>
      </c>
      <c r="M22" s="452" t="s">
        <v>182</v>
      </c>
      <c r="N22" s="452" t="s">
        <v>182</v>
      </c>
      <c r="O22" s="452" t="s">
        <v>182</v>
      </c>
      <c r="P22" s="452" t="s">
        <v>182</v>
      </c>
      <c r="Q22" s="452" t="s">
        <v>182</v>
      </c>
      <c r="R22" s="452" t="s">
        <v>182</v>
      </c>
      <c r="S22" s="452" t="s">
        <v>182</v>
      </c>
      <c r="T22" s="452" t="s">
        <v>182</v>
      </c>
      <c r="U22" s="452" t="s">
        <v>182</v>
      </c>
      <c r="V22" s="452" t="s">
        <v>182</v>
      </c>
      <c r="W22" s="452" t="s">
        <v>182</v>
      </c>
      <c r="X22" s="452" t="s">
        <v>182</v>
      </c>
      <c r="Y22" s="452" t="s">
        <v>182</v>
      </c>
      <c r="Z22" s="197" t="s">
        <v>174</v>
      </c>
      <c r="AA22" s="224"/>
      <c r="AB22" s="186" t="s">
        <v>174</v>
      </c>
    </row>
    <row r="23" spans="1:28" ht="32.25" customHeight="1" x14ac:dyDescent="0.25">
      <c r="A23" s="186" t="s">
        <v>174</v>
      </c>
      <c r="B23" s="187"/>
      <c r="C23" s="452" t="s">
        <v>182</v>
      </c>
      <c r="D23" s="452" t="s">
        <v>182</v>
      </c>
      <c r="E23" s="452" t="s">
        <v>182</v>
      </c>
      <c r="F23" s="452" t="s">
        <v>182</v>
      </c>
      <c r="G23" s="452" t="s">
        <v>182</v>
      </c>
      <c r="H23" s="452" t="s">
        <v>182</v>
      </c>
      <c r="I23" s="452" t="s">
        <v>182</v>
      </c>
      <c r="J23" s="452" t="s">
        <v>182</v>
      </c>
      <c r="K23" s="452" t="s">
        <v>182</v>
      </c>
      <c r="L23" s="452" t="s">
        <v>182</v>
      </c>
      <c r="M23" s="452" t="s">
        <v>182</v>
      </c>
      <c r="N23" s="452" t="s">
        <v>182</v>
      </c>
      <c r="O23" s="452" t="s">
        <v>182</v>
      </c>
      <c r="P23" s="452" t="s">
        <v>182</v>
      </c>
      <c r="Q23" s="452" t="s">
        <v>182</v>
      </c>
      <c r="R23" s="452" t="s">
        <v>182</v>
      </c>
      <c r="S23" s="452" t="s">
        <v>182</v>
      </c>
      <c r="T23" s="452" t="s">
        <v>182</v>
      </c>
      <c r="U23" s="452" t="s">
        <v>182</v>
      </c>
      <c r="V23" s="452" t="s">
        <v>182</v>
      </c>
      <c r="W23" s="452" t="s">
        <v>182</v>
      </c>
      <c r="X23" s="452" t="s">
        <v>182</v>
      </c>
      <c r="Y23" s="452" t="s">
        <v>182</v>
      </c>
      <c r="Z23" s="197" t="s">
        <v>174</v>
      </c>
      <c r="AA23" s="224"/>
      <c r="AB23" s="186" t="s">
        <v>174</v>
      </c>
    </row>
    <row r="24" spans="1:28" ht="32.25" customHeight="1" x14ac:dyDescent="0.25">
      <c r="A24" s="186" t="s">
        <v>174</v>
      </c>
      <c r="B24" s="187"/>
      <c r="C24" s="452" t="s">
        <v>182</v>
      </c>
      <c r="D24" s="452" t="s">
        <v>182</v>
      </c>
      <c r="E24" s="452" t="s">
        <v>182</v>
      </c>
      <c r="F24" s="452" t="s">
        <v>182</v>
      </c>
      <c r="G24" s="452" t="s">
        <v>182</v>
      </c>
      <c r="H24" s="452" t="s">
        <v>182</v>
      </c>
      <c r="I24" s="452" t="s">
        <v>182</v>
      </c>
      <c r="J24" s="452" t="s">
        <v>182</v>
      </c>
      <c r="K24" s="452" t="s">
        <v>182</v>
      </c>
      <c r="L24" s="452" t="s">
        <v>182</v>
      </c>
      <c r="M24" s="452" t="s">
        <v>182</v>
      </c>
      <c r="N24" s="452" t="s">
        <v>182</v>
      </c>
      <c r="O24" s="452" t="s">
        <v>182</v>
      </c>
      <c r="P24" s="452" t="s">
        <v>182</v>
      </c>
      <c r="Q24" s="452" t="s">
        <v>182</v>
      </c>
      <c r="R24" s="452" t="s">
        <v>182</v>
      </c>
      <c r="S24" s="452" t="s">
        <v>182</v>
      </c>
      <c r="T24" s="452" t="s">
        <v>182</v>
      </c>
      <c r="U24" s="452" t="s">
        <v>182</v>
      </c>
      <c r="V24" s="452" t="s">
        <v>182</v>
      </c>
      <c r="W24" s="452" t="s">
        <v>182</v>
      </c>
      <c r="X24" s="452" t="s">
        <v>182</v>
      </c>
      <c r="Y24" s="452" t="s">
        <v>182</v>
      </c>
      <c r="Z24" s="197" t="s">
        <v>174</v>
      </c>
      <c r="AA24" s="224"/>
      <c r="AB24" s="186" t="s">
        <v>174</v>
      </c>
    </row>
    <row r="25" spans="1:28" ht="32.25" customHeight="1" x14ac:dyDescent="0.25">
      <c r="A25" s="186" t="s">
        <v>174</v>
      </c>
      <c r="B25" s="187"/>
      <c r="C25" s="452" t="s">
        <v>182</v>
      </c>
      <c r="D25" s="452" t="s">
        <v>182</v>
      </c>
      <c r="E25" s="452" t="s">
        <v>182</v>
      </c>
      <c r="F25" s="452" t="s">
        <v>182</v>
      </c>
      <c r="G25" s="452" t="s">
        <v>182</v>
      </c>
      <c r="H25" s="452" t="s">
        <v>182</v>
      </c>
      <c r="I25" s="452" t="s">
        <v>182</v>
      </c>
      <c r="J25" s="452" t="s">
        <v>182</v>
      </c>
      <c r="K25" s="452" t="s">
        <v>182</v>
      </c>
      <c r="L25" s="452" t="s">
        <v>182</v>
      </c>
      <c r="M25" s="452" t="s">
        <v>182</v>
      </c>
      <c r="N25" s="452" t="s">
        <v>182</v>
      </c>
      <c r="O25" s="452" t="s">
        <v>182</v>
      </c>
      <c r="P25" s="452" t="s">
        <v>182</v>
      </c>
      <c r="Q25" s="452" t="s">
        <v>182</v>
      </c>
      <c r="R25" s="452" t="s">
        <v>182</v>
      </c>
      <c r="S25" s="452" t="s">
        <v>182</v>
      </c>
      <c r="T25" s="452" t="s">
        <v>182</v>
      </c>
      <c r="U25" s="452" t="s">
        <v>182</v>
      </c>
      <c r="V25" s="452" t="s">
        <v>182</v>
      </c>
      <c r="W25" s="452" t="s">
        <v>182</v>
      </c>
      <c r="X25" s="452" t="s">
        <v>182</v>
      </c>
      <c r="Y25" s="452" t="s">
        <v>182</v>
      </c>
      <c r="Z25" s="197" t="s">
        <v>174</v>
      </c>
      <c r="AA25" s="224"/>
      <c r="AB25" s="186" t="s">
        <v>174</v>
      </c>
    </row>
    <row r="26" spans="1:28" ht="32.25" customHeight="1" x14ac:dyDescent="0.25">
      <c r="B26" s="187"/>
      <c r="C26" s="452" t="s">
        <v>182</v>
      </c>
      <c r="D26" s="452" t="s">
        <v>182</v>
      </c>
      <c r="E26" s="452" t="s">
        <v>182</v>
      </c>
      <c r="F26" s="452" t="s">
        <v>182</v>
      </c>
      <c r="G26" s="452" t="s">
        <v>182</v>
      </c>
      <c r="H26" s="452" t="s">
        <v>182</v>
      </c>
      <c r="I26" s="452" t="s">
        <v>182</v>
      </c>
      <c r="J26" s="452" t="s">
        <v>182</v>
      </c>
      <c r="K26" s="452" t="s">
        <v>182</v>
      </c>
      <c r="L26" s="452" t="s">
        <v>182</v>
      </c>
      <c r="M26" s="452" t="s">
        <v>182</v>
      </c>
      <c r="N26" s="452" t="s">
        <v>182</v>
      </c>
      <c r="O26" s="452" t="s">
        <v>182</v>
      </c>
      <c r="P26" s="452" t="s">
        <v>182</v>
      </c>
      <c r="Q26" s="452" t="s">
        <v>182</v>
      </c>
      <c r="R26" s="452" t="s">
        <v>182</v>
      </c>
      <c r="S26" s="452" t="s">
        <v>182</v>
      </c>
      <c r="T26" s="452" t="s">
        <v>182</v>
      </c>
      <c r="U26" s="452" t="s">
        <v>182</v>
      </c>
      <c r="V26" s="452" t="s">
        <v>182</v>
      </c>
      <c r="W26" s="452" t="s">
        <v>182</v>
      </c>
      <c r="X26" s="452" t="s">
        <v>182</v>
      </c>
      <c r="Y26" s="452" t="s">
        <v>182</v>
      </c>
      <c r="Z26" s="197"/>
      <c r="AA26" s="224"/>
    </row>
    <row r="27" spans="1:28" ht="32.25" customHeight="1" x14ac:dyDescent="0.25">
      <c r="A27" s="186" t="s">
        <v>174</v>
      </c>
      <c r="B27" s="187"/>
      <c r="C27" s="452" t="s">
        <v>182</v>
      </c>
      <c r="D27" s="452" t="s">
        <v>182</v>
      </c>
      <c r="E27" s="452" t="s">
        <v>182</v>
      </c>
      <c r="F27" s="452" t="s">
        <v>182</v>
      </c>
      <c r="G27" s="452" t="s">
        <v>182</v>
      </c>
      <c r="H27" s="452" t="s">
        <v>182</v>
      </c>
      <c r="I27" s="452" t="s">
        <v>182</v>
      </c>
      <c r="J27" s="452" t="s">
        <v>182</v>
      </c>
      <c r="K27" s="452" t="s">
        <v>182</v>
      </c>
      <c r="L27" s="452" t="s">
        <v>182</v>
      </c>
      <c r="M27" s="452" t="s">
        <v>182</v>
      </c>
      <c r="N27" s="452" t="s">
        <v>182</v>
      </c>
      <c r="O27" s="452" t="s">
        <v>182</v>
      </c>
      <c r="P27" s="452" t="s">
        <v>182</v>
      </c>
      <c r="Q27" s="452" t="s">
        <v>182</v>
      </c>
      <c r="R27" s="452" t="s">
        <v>182</v>
      </c>
      <c r="S27" s="452" t="s">
        <v>182</v>
      </c>
      <c r="T27" s="452" t="s">
        <v>182</v>
      </c>
      <c r="U27" s="452" t="s">
        <v>182</v>
      </c>
      <c r="V27" s="452" t="s">
        <v>182</v>
      </c>
      <c r="W27" s="452" t="s">
        <v>182</v>
      </c>
      <c r="X27" s="452" t="s">
        <v>182</v>
      </c>
      <c r="Y27" s="452" t="s">
        <v>182</v>
      </c>
      <c r="Z27" s="186" t="s">
        <v>174</v>
      </c>
      <c r="AA27" s="224"/>
      <c r="AB27" s="186" t="s">
        <v>174</v>
      </c>
    </row>
    <row r="28" spans="1:28" ht="32.25" customHeight="1" x14ac:dyDescent="0.25">
      <c r="A28" s="186" t="s">
        <v>174</v>
      </c>
      <c r="B28" s="187"/>
      <c r="C28" s="452" t="s">
        <v>182</v>
      </c>
      <c r="D28" s="452" t="s">
        <v>182</v>
      </c>
      <c r="E28" s="452" t="s">
        <v>182</v>
      </c>
      <c r="F28" s="452" t="s">
        <v>182</v>
      </c>
      <c r="G28" s="452" t="s">
        <v>182</v>
      </c>
      <c r="H28" s="452" t="s">
        <v>182</v>
      </c>
      <c r="I28" s="452" t="s">
        <v>182</v>
      </c>
      <c r="J28" s="452" t="s">
        <v>182</v>
      </c>
      <c r="K28" s="452" t="s">
        <v>182</v>
      </c>
      <c r="L28" s="452" t="s">
        <v>182</v>
      </c>
      <c r="M28" s="452" t="s">
        <v>182</v>
      </c>
      <c r="N28" s="452" t="s">
        <v>182</v>
      </c>
      <c r="O28" s="452" t="s">
        <v>182</v>
      </c>
      <c r="P28" s="452" t="s">
        <v>182</v>
      </c>
      <c r="Q28" s="452" t="s">
        <v>182</v>
      </c>
      <c r="R28" s="452" t="s">
        <v>182</v>
      </c>
      <c r="S28" s="452" t="s">
        <v>182</v>
      </c>
      <c r="T28" s="452" t="s">
        <v>182</v>
      </c>
      <c r="U28" s="452" t="s">
        <v>182</v>
      </c>
      <c r="V28" s="452" t="s">
        <v>182</v>
      </c>
      <c r="W28" s="452" t="s">
        <v>182</v>
      </c>
      <c r="X28" s="452" t="s">
        <v>182</v>
      </c>
      <c r="Y28" s="452" t="s">
        <v>182</v>
      </c>
      <c r="Z28" s="186" t="s">
        <v>174</v>
      </c>
      <c r="AA28" s="224"/>
      <c r="AB28" s="186" t="s">
        <v>174</v>
      </c>
    </row>
    <row r="29" spans="1:28" ht="32.25" customHeight="1" x14ac:dyDescent="0.25">
      <c r="A29" s="186" t="s">
        <v>174</v>
      </c>
      <c r="B29" s="187"/>
      <c r="C29" s="452" t="s">
        <v>182</v>
      </c>
      <c r="D29" s="452" t="s">
        <v>182</v>
      </c>
      <c r="E29" s="452" t="s">
        <v>182</v>
      </c>
      <c r="F29" s="452" t="s">
        <v>182</v>
      </c>
      <c r="G29" s="452" t="s">
        <v>182</v>
      </c>
      <c r="H29" s="452" t="s">
        <v>182</v>
      </c>
      <c r="I29" s="452" t="s">
        <v>182</v>
      </c>
      <c r="J29" s="452" t="s">
        <v>182</v>
      </c>
      <c r="K29" s="452" t="s">
        <v>182</v>
      </c>
      <c r="L29" s="452" t="s">
        <v>182</v>
      </c>
      <c r="M29" s="452" t="s">
        <v>182</v>
      </c>
      <c r="N29" s="452" t="s">
        <v>182</v>
      </c>
      <c r="O29" s="452" t="s">
        <v>182</v>
      </c>
      <c r="P29" s="452" t="s">
        <v>182</v>
      </c>
      <c r="Q29" s="452" t="s">
        <v>182</v>
      </c>
      <c r="R29" s="452" t="s">
        <v>182</v>
      </c>
      <c r="S29" s="452" t="s">
        <v>182</v>
      </c>
      <c r="T29" s="452" t="s">
        <v>182</v>
      </c>
      <c r="U29" s="452" t="s">
        <v>182</v>
      </c>
      <c r="V29" s="452" t="s">
        <v>182</v>
      </c>
      <c r="W29" s="452" t="s">
        <v>182</v>
      </c>
      <c r="X29" s="452" t="s">
        <v>182</v>
      </c>
      <c r="Y29" s="452" t="s">
        <v>182</v>
      </c>
      <c r="Z29" s="186">
        <v>29</v>
      </c>
      <c r="AA29" s="224"/>
      <c r="AB29" s="186" t="s">
        <v>174</v>
      </c>
    </row>
    <row r="30" spans="1:28" ht="32.25" customHeight="1" x14ac:dyDescent="0.25">
      <c r="A30" s="186" t="s">
        <v>174</v>
      </c>
      <c r="B30" s="187"/>
      <c r="C30" s="452" t="s">
        <v>182</v>
      </c>
      <c r="D30" s="452" t="s">
        <v>182</v>
      </c>
      <c r="E30" s="452" t="s">
        <v>182</v>
      </c>
      <c r="F30" s="452" t="s">
        <v>182</v>
      </c>
      <c r="G30" s="452" t="s">
        <v>182</v>
      </c>
      <c r="H30" s="452" t="s">
        <v>182</v>
      </c>
      <c r="I30" s="452" t="s">
        <v>182</v>
      </c>
      <c r="J30" s="452" t="s">
        <v>182</v>
      </c>
      <c r="K30" s="452" t="s">
        <v>182</v>
      </c>
      <c r="L30" s="452" t="s">
        <v>182</v>
      </c>
      <c r="M30" s="452" t="s">
        <v>182</v>
      </c>
      <c r="N30" s="452" t="s">
        <v>182</v>
      </c>
      <c r="O30" s="452" t="s">
        <v>182</v>
      </c>
      <c r="P30" s="452" t="s">
        <v>182</v>
      </c>
      <c r="Q30" s="452" t="s">
        <v>182</v>
      </c>
      <c r="R30" s="452" t="s">
        <v>182</v>
      </c>
      <c r="S30" s="452" t="s">
        <v>182</v>
      </c>
      <c r="T30" s="452" t="s">
        <v>182</v>
      </c>
      <c r="U30" s="452" t="s">
        <v>182</v>
      </c>
      <c r="V30" s="452" t="s">
        <v>182</v>
      </c>
      <c r="W30" s="452" t="s">
        <v>182</v>
      </c>
      <c r="X30" s="452" t="s">
        <v>182</v>
      </c>
      <c r="Y30" s="452" t="s">
        <v>182</v>
      </c>
      <c r="Z30" s="197" t="s">
        <v>174</v>
      </c>
      <c r="AA30" s="224"/>
      <c r="AB30" s="186" t="s">
        <v>174</v>
      </c>
    </row>
    <row r="31" spans="1:28" ht="32.25" customHeight="1" x14ac:dyDescent="0.25">
      <c r="A31" s="186" t="s">
        <v>174</v>
      </c>
      <c r="B31" s="187"/>
      <c r="C31" s="452" t="s">
        <v>182</v>
      </c>
      <c r="D31" s="452" t="s">
        <v>182</v>
      </c>
      <c r="E31" s="452" t="s">
        <v>182</v>
      </c>
      <c r="F31" s="452" t="s">
        <v>182</v>
      </c>
      <c r="G31" s="452" t="s">
        <v>182</v>
      </c>
      <c r="H31" s="452" t="s">
        <v>182</v>
      </c>
      <c r="I31" s="452" t="s">
        <v>182</v>
      </c>
      <c r="J31" s="452" t="s">
        <v>182</v>
      </c>
      <c r="K31" s="452" t="s">
        <v>182</v>
      </c>
      <c r="L31" s="452" t="s">
        <v>182</v>
      </c>
      <c r="M31" s="452" t="s">
        <v>182</v>
      </c>
      <c r="N31" s="452" t="s">
        <v>182</v>
      </c>
      <c r="O31" s="452" t="s">
        <v>182</v>
      </c>
      <c r="P31" s="452" t="s">
        <v>182</v>
      </c>
      <c r="Q31" s="452" t="s">
        <v>182</v>
      </c>
      <c r="R31" s="452" t="s">
        <v>182</v>
      </c>
      <c r="S31" s="452" t="s">
        <v>182</v>
      </c>
      <c r="T31" s="452" t="s">
        <v>182</v>
      </c>
      <c r="U31" s="452" t="s">
        <v>182</v>
      </c>
      <c r="V31" s="452" t="s">
        <v>182</v>
      </c>
      <c r="W31" s="452" t="s">
        <v>182</v>
      </c>
      <c r="X31" s="452" t="s">
        <v>182</v>
      </c>
      <c r="Y31" s="452" t="s">
        <v>182</v>
      </c>
      <c r="Z31" s="186" t="s">
        <v>174</v>
      </c>
      <c r="AA31" s="224"/>
      <c r="AB31" s="186" t="s">
        <v>174</v>
      </c>
    </row>
    <row r="32" spans="1:28" ht="32.25" customHeight="1" x14ac:dyDescent="0.25">
      <c r="A32" s="186" t="s">
        <v>174</v>
      </c>
      <c r="B32" s="187"/>
      <c r="C32" s="452" t="s">
        <v>182</v>
      </c>
      <c r="D32" s="452" t="s">
        <v>182</v>
      </c>
      <c r="E32" s="452" t="s">
        <v>182</v>
      </c>
      <c r="F32" s="452" t="s">
        <v>182</v>
      </c>
      <c r="G32" s="452" t="s">
        <v>182</v>
      </c>
      <c r="H32" s="452" t="s">
        <v>182</v>
      </c>
      <c r="I32" s="452" t="s">
        <v>182</v>
      </c>
      <c r="J32" s="452" t="s">
        <v>182</v>
      </c>
      <c r="K32" s="452" t="s">
        <v>182</v>
      </c>
      <c r="L32" s="452" t="s">
        <v>182</v>
      </c>
      <c r="M32" s="452" t="s">
        <v>182</v>
      </c>
      <c r="N32" s="452" t="s">
        <v>182</v>
      </c>
      <c r="O32" s="452" t="s">
        <v>182</v>
      </c>
      <c r="P32" s="452" t="s">
        <v>182</v>
      </c>
      <c r="Q32" s="452" t="s">
        <v>182</v>
      </c>
      <c r="R32" s="452" t="s">
        <v>182</v>
      </c>
      <c r="S32" s="452" t="s">
        <v>182</v>
      </c>
      <c r="T32" s="452" t="s">
        <v>182</v>
      </c>
      <c r="U32" s="452" t="s">
        <v>182</v>
      </c>
      <c r="V32" s="452" t="s">
        <v>182</v>
      </c>
      <c r="W32" s="452" t="s">
        <v>182</v>
      </c>
      <c r="X32" s="452" t="s">
        <v>182</v>
      </c>
      <c r="Y32" s="452" t="s">
        <v>182</v>
      </c>
      <c r="Z32" s="186" t="s">
        <v>174</v>
      </c>
      <c r="AA32" s="224"/>
      <c r="AB32" s="186" t="s">
        <v>174</v>
      </c>
    </row>
    <row r="33" spans="1:28" ht="32.25" customHeight="1" x14ac:dyDescent="0.25">
      <c r="A33" s="186" t="s">
        <v>174</v>
      </c>
      <c r="B33" s="187"/>
      <c r="C33" s="452" t="s">
        <v>182</v>
      </c>
      <c r="D33" s="452" t="s">
        <v>182</v>
      </c>
      <c r="E33" s="452" t="s">
        <v>182</v>
      </c>
      <c r="F33" s="452" t="s">
        <v>182</v>
      </c>
      <c r="G33" s="452" t="s">
        <v>182</v>
      </c>
      <c r="H33" s="452" t="s">
        <v>182</v>
      </c>
      <c r="I33" s="452" t="s">
        <v>182</v>
      </c>
      <c r="J33" s="452" t="s">
        <v>182</v>
      </c>
      <c r="K33" s="452" t="s">
        <v>182</v>
      </c>
      <c r="L33" s="452" t="s">
        <v>182</v>
      </c>
      <c r="M33" s="452" t="s">
        <v>182</v>
      </c>
      <c r="N33" s="452" t="s">
        <v>182</v>
      </c>
      <c r="O33" s="452" t="s">
        <v>182</v>
      </c>
      <c r="P33" s="452" t="s">
        <v>182</v>
      </c>
      <c r="Q33" s="452" t="s">
        <v>182</v>
      </c>
      <c r="R33" s="452" t="s">
        <v>182</v>
      </c>
      <c r="S33" s="452" t="s">
        <v>182</v>
      </c>
      <c r="T33" s="452" t="s">
        <v>182</v>
      </c>
      <c r="U33" s="452" t="s">
        <v>182</v>
      </c>
      <c r="V33" s="452" t="s">
        <v>182</v>
      </c>
      <c r="W33" s="452" t="s">
        <v>182</v>
      </c>
      <c r="X33" s="452" t="s">
        <v>182</v>
      </c>
      <c r="Y33" s="452" t="s">
        <v>182</v>
      </c>
      <c r="Z33" s="186" t="s">
        <v>174</v>
      </c>
      <c r="AA33" s="224"/>
      <c r="AB33" s="186" t="s">
        <v>174</v>
      </c>
    </row>
    <row r="34" spans="1:28" ht="32.25" customHeight="1" x14ac:dyDescent="0.25">
      <c r="A34" s="186" t="s">
        <v>174</v>
      </c>
      <c r="B34" s="187"/>
      <c r="C34" s="452" t="s">
        <v>182</v>
      </c>
      <c r="D34" s="452" t="s">
        <v>182</v>
      </c>
      <c r="E34" s="452" t="s">
        <v>182</v>
      </c>
      <c r="F34" s="452" t="s">
        <v>182</v>
      </c>
      <c r="G34" s="452" t="s">
        <v>182</v>
      </c>
      <c r="H34" s="452" t="s">
        <v>182</v>
      </c>
      <c r="I34" s="452" t="s">
        <v>182</v>
      </c>
      <c r="J34" s="452" t="s">
        <v>182</v>
      </c>
      <c r="K34" s="452" t="s">
        <v>182</v>
      </c>
      <c r="L34" s="452" t="s">
        <v>182</v>
      </c>
      <c r="M34" s="452" t="s">
        <v>182</v>
      </c>
      <c r="N34" s="452" t="s">
        <v>182</v>
      </c>
      <c r="O34" s="452" t="s">
        <v>182</v>
      </c>
      <c r="P34" s="452" t="s">
        <v>182</v>
      </c>
      <c r="Q34" s="452" t="s">
        <v>182</v>
      </c>
      <c r="R34" s="452" t="s">
        <v>182</v>
      </c>
      <c r="S34" s="452" t="s">
        <v>182</v>
      </c>
      <c r="T34" s="452" t="s">
        <v>182</v>
      </c>
      <c r="U34" s="452" t="s">
        <v>182</v>
      </c>
      <c r="V34" s="452" t="s">
        <v>182</v>
      </c>
      <c r="W34" s="452" t="s">
        <v>182</v>
      </c>
      <c r="X34" s="452" t="s">
        <v>182</v>
      </c>
      <c r="Y34" s="452" t="s">
        <v>182</v>
      </c>
      <c r="Z34" s="186" t="s">
        <v>174</v>
      </c>
      <c r="AA34" s="224"/>
      <c r="AB34" s="186" t="s">
        <v>174</v>
      </c>
    </row>
    <row r="35" spans="1:28" ht="32.25" customHeight="1" x14ac:dyDescent="0.25">
      <c r="A35" s="186" t="s">
        <v>174</v>
      </c>
      <c r="B35" s="187"/>
      <c r="C35" s="452" t="s">
        <v>182</v>
      </c>
      <c r="D35" s="452" t="s">
        <v>182</v>
      </c>
      <c r="E35" s="452" t="s">
        <v>182</v>
      </c>
      <c r="F35" s="452" t="s">
        <v>182</v>
      </c>
      <c r="G35" s="452" t="s">
        <v>182</v>
      </c>
      <c r="H35" s="452" t="s">
        <v>182</v>
      </c>
      <c r="I35" s="452" t="s">
        <v>182</v>
      </c>
      <c r="J35" s="452" t="s">
        <v>182</v>
      </c>
      <c r="K35" s="452" t="s">
        <v>182</v>
      </c>
      <c r="L35" s="452" t="s">
        <v>182</v>
      </c>
      <c r="M35" s="452" t="s">
        <v>182</v>
      </c>
      <c r="N35" s="452" t="s">
        <v>182</v>
      </c>
      <c r="O35" s="452" t="s">
        <v>182</v>
      </c>
      <c r="P35" s="452" t="s">
        <v>182</v>
      </c>
      <c r="Q35" s="452" t="s">
        <v>182</v>
      </c>
      <c r="R35" s="452" t="s">
        <v>182</v>
      </c>
      <c r="S35" s="452" t="s">
        <v>182</v>
      </c>
      <c r="T35" s="452" t="s">
        <v>182</v>
      </c>
      <c r="U35" s="452" t="s">
        <v>182</v>
      </c>
      <c r="V35" s="452" t="s">
        <v>182</v>
      </c>
      <c r="W35" s="452" t="s">
        <v>182</v>
      </c>
      <c r="X35" s="452" t="s">
        <v>182</v>
      </c>
      <c r="Y35" s="452" t="s">
        <v>182</v>
      </c>
      <c r="Z35" s="186" t="s">
        <v>174</v>
      </c>
      <c r="AA35" s="224"/>
      <c r="AB35" s="186" t="s">
        <v>174</v>
      </c>
    </row>
    <row r="36" spans="1:28" ht="32.25" customHeight="1" x14ac:dyDescent="0.25">
      <c r="A36" s="186" t="s">
        <v>174</v>
      </c>
      <c r="B36" s="187"/>
      <c r="C36" s="452" t="s">
        <v>182</v>
      </c>
      <c r="D36" s="452" t="s">
        <v>182</v>
      </c>
      <c r="E36" s="452" t="s">
        <v>182</v>
      </c>
      <c r="F36" s="452" t="s">
        <v>182</v>
      </c>
      <c r="G36" s="452" t="s">
        <v>182</v>
      </c>
      <c r="H36" s="452" t="s">
        <v>182</v>
      </c>
      <c r="I36" s="452" t="s">
        <v>182</v>
      </c>
      <c r="J36" s="452" t="s">
        <v>182</v>
      </c>
      <c r="K36" s="452" t="s">
        <v>182</v>
      </c>
      <c r="L36" s="452" t="s">
        <v>182</v>
      </c>
      <c r="M36" s="452" t="s">
        <v>182</v>
      </c>
      <c r="N36" s="452" t="s">
        <v>182</v>
      </c>
      <c r="O36" s="452" t="s">
        <v>182</v>
      </c>
      <c r="P36" s="452" t="s">
        <v>182</v>
      </c>
      <c r="Q36" s="452" t="s">
        <v>182</v>
      </c>
      <c r="R36" s="452" t="s">
        <v>182</v>
      </c>
      <c r="S36" s="452" t="s">
        <v>182</v>
      </c>
      <c r="T36" s="452" t="s">
        <v>182</v>
      </c>
      <c r="U36" s="452" t="s">
        <v>182</v>
      </c>
      <c r="V36" s="452" t="s">
        <v>182</v>
      </c>
      <c r="W36" s="452" t="s">
        <v>182</v>
      </c>
      <c r="X36" s="452" t="s">
        <v>182</v>
      </c>
      <c r="Y36" s="452" t="s">
        <v>182</v>
      </c>
      <c r="Z36" s="186" t="s">
        <v>174</v>
      </c>
      <c r="AA36" s="224"/>
      <c r="AB36" s="186" t="s">
        <v>174</v>
      </c>
    </row>
    <row r="37" spans="1:28" ht="32.25" customHeight="1" x14ac:dyDescent="0.25">
      <c r="B37" s="187"/>
      <c r="C37" s="452" t="s">
        <v>182</v>
      </c>
      <c r="D37" s="452" t="s">
        <v>182</v>
      </c>
      <c r="E37" s="452" t="s">
        <v>182</v>
      </c>
      <c r="F37" s="452" t="s">
        <v>182</v>
      </c>
      <c r="G37" s="452" t="s">
        <v>182</v>
      </c>
      <c r="H37" s="452" t="s">
        <v>182</v>
      </c>
      <c r="I37" s="452" t="s">
        <v>182</v>
      </c>
      <c r="J37" s="452" t="s">
        <v>182</v>
      </c>
      <c r="K37" s="452" t="s">
        <v>182</v>
      </c>
      <c r="L37" s="452" t="s">
        <v>182</v>
      </c>
      <c r="M37" s="452" t="s">
        <v>182</v>
      </c>
      <c r="N37" s="452" t="s">
        <v>182</v>
      </c>
      <c r="O37" s="452" t="s">
        <v>182</v>
      </c>
      <c r="P37" s="452" t="s">
        <v>182</v>
      </c>
      <c r="Q37" s="452" t="s">
        <v>182</v>
      </c>
      <c r="R37" s="452" t="s">
        <v>182</v>
      </c>
      <c r="S37" s="452" t="s">
        <v>182</v>
      </c>
      <c r="T37" s="452" t="s">
        <v>182</v>
      </c>
      <c r="U37" s="452" t="s">
        <v>182</v>
      </c>
      <c r="V37" s="452" t="s">
        <v>182</v>
      </c>
      <c r="W37" s="452" t="s">
        <v>182</v>
      </c>
      <c r="X37" s="452" t="s">
        <v>182</v>
      </c>
      <c r="Y37" s="452" t="s">
        <v>182</v>
      </c>
      <c r="Z37" s="186" t="s">
        <v>174</v>
      </c>
      <c r="AA37" s="224"/>
    </row>
    <row r="38" spans="1:28" ht="32.25" customHeight="1" x14ac:dyDescent="0.25">
      <c r="A38" s="186" t="s">
        <v>174</v>
      </c>
      <c r="B38" s="187"/>
      <c r="C38" s="452" t="s">
        <v>182</v>
      </c>
      <c r="D38" s="452" t="s">
        <v>182</v>
      </c>
      <c r="E38" s="452" t="s">
        <v>182</v>
      </c>
      <c r="F38" s="452" t="s">
        <v>182</v>
      </c>
      <c r="G38" s="452" t="s">
        <v>182</v>
      </c>
      <c r="H38" s="452" t="s">
        <v>182</v>
      </c>
      <c r="I38" s="452" t="s">
        <v>182</v>
      </c>
      <c r="J38" s="452" t="s">
        <v>182</v>
      </c>
      <c r="K38" s="452" t="s">
        <v>182</v>
      </c>
      <c r="L38" s="452" t="s">
        <v>182</v>
      </c>
      <c r="M38" s="452" t="s">
        <v>182</v>
      </c>
      <c r="N38" s="452" t="s">
        <v>182</v>
      </c>
      <c r="O38" s="452" t="s">
        <v>182</v>
      </c>
      <c r="P38" s="452" t="s">
        <v>182</v>
      </c>
      <c r="Q38" s="452" t="s">
        <v>182</v>
      </c>
      <c r="R38" s="452" t="s">
        <v>182</v>
      </c>
      <c r="S38" s="452" t="s">
        <v>182</v>
      </c>
      <c r="T38" s="452" t="s">
        <v>182</v>
      </c>
      <c r="U38" s="452" t="s">
        <v>182</v>
      </c>
      <c r="V38" s="452" t="s">
        <v>182</v>
      </c>
      <c r="W38" s="452" t="s">
        <v>182</v>
      </c>
      <c r="X38" s="452" t="s">
        <v>182</v>
      </c>
      <c r="Y38" s="452" t="s">
        <v>182</v>
      </c>
      <c r="Z38" s="197" t="s">
        <v>174</v>
      </c>
      <c r="AA38" s="224"/>
      <c r="AB38" s="186" t="s">
        <v>174</v>
      </c>
    </row>
    <row r="39" spans="1:28" ht="32.25" customHeight="1" x14ac:dyDescent="0.25">
      <c r="B39" s="187"/>
      <c r="C39" s="452" t="s">
        <v>182</v>
      </c>
      <c r="D39" s="452" t="s">
        <v>182</v>
      </c>
      <c r="E39" s="452" t="s">
        <v>182</v>
      </c>
      <c r="F39" s="452" t="s">
        <v>182</v>
      </c>
      <c r="G39" s="452" t="s">
        <v>182</v>
      </c>
      <c r="H39" s="452" t="s">
        <v>182</v>
      </c>
      <c r="I39" s="452" t="s">
        <v>182</v>
      </c>
      <c r="J39" s="452" t="s">
        <v>182</v>
      </c>
      <c r="K39" s="452" t="s">
        <v>182</v>
      </c>
      <c r="L39" s="452" t="s">
        <v>182</v>
      </c>
      <c r="M39" s="452" t="s">
        <v>182</v>
      </c>
      <c r="N39" s="452" t="s">
        <v>182</v>
      </c>
      <c r="O39" s="452" t="s">
        <v>182</v>
      </c>
      <c r="P39" s="452" t="s">
        <v>182</v>
      </c>
      <c r="Q39" s="452" t="s">
        <v>182</v>
      </c>
      <c r="R39" s="452" t="s">
        <v>182</v>
      </c>
      <c r="S39" s="452" t="s">
        <v>182</v>
      </c>
      <c r="T39" s="452" t="s">
        <v>182</v>
      </c>
      <c r="U39" s="452" t="s">
        <v>182</v>
      </c>
      <c r="V39" s="452" t="s">
        <v>182</v>
      </c>
      <c r="W39" s="452" t="s">
        <v>182</v>
      </c>
      <c r="X39" s="452" t="s">
        <v>182</v>
      </c>
      <c r="Y39" s="452" t="s">
        <v>182</v>
      </c>
      <c r="Z39" s="197"/>
      <c r="AA39" s="224"/>
    </row>
    <row r="40" spans="1:28" ht="32.25" customHeight="1" x14ac:dyDescent="0.25">
      <c r="A40" s="186" t="s">
        <v>174</v>
      </c>
      <c r="B40" s="187"/>
      <c r="C40" s="452" t="s">
        <v>182</v>
      </c>
      <c r="D40" s="452" t="s">
        <v>182</v>
      </c>
      <c r="E40" s="452" t="s">
        <v>182</v>
      </c>
      <c r="F40" s="452" t="s">
        <v>182</v>
      </c>
      <c r="G40" s="452" t="s">
        <v>182</v>
      </c>
      <c r="H40" s="452" t="s">
        <v>182</v>
      </c>
      <c r="I40" s="452" t="s">
        <v>182</v>
      </c>
      <c r="J40" s="452" t="s">
        <v>182</v>
      </c>
      <c r="K40" s="452" t="s">
        <v>182</v>
      </c>
      <c r="L40" s="452" t="s">
        <v>182</v>
      </c>
      <c r="M40" s="452" t="s">
        <v>182</v>
      </c>
      <c r="N40" s="452" t="s">
        <v>182</v>
      </c>
      <c r="O40" s="452" t="s">
        <v>182</v>
      </c>
      <c r="P40" s="452" t="s">
        <v>182</v>
      </c>
      <c r="Q40" s="452" t="s">
        <v>182</v>
      </c>
      <c r="R40" s="452" t="s">
        <v>182</v>
      </c>
      <c r="S40" s="452" t="s">
        <v>182</v>
      </c>
      <c r="T40" s="452" t="s">
        <v>182</v>
      </c>
      <c r="U40" s="452" t="s">
        <v>182</v>
      </c>
      <c r="V40" s="452" t="s">
        <v>182</v>
      </c>
      <c r="W40" s="452" t="s">
        <v>182</v>
      </c>
      <c r="X40" s="452" t="s">
        <v>182</v>
      </c>
      <c r="Y40" s="452" t="s">
        <v>182</v>
      </c>
      <c r="Z40" s="186" t="s">
        <v>174</v>
      </c>
      <c r="AA40" s="224"/>
      <c r="AB40" s="186" t="s">
        <v>174</v>
      </c>
    </row>
    <row r="41" spans="1:28" ht="32.25" customHeight="1" x14ac:dyDescent="0.25">
      <c r="A41" s="186" t="s">
        <v>174</v>
      </c>
      <c r="B41" s="187"/>
      <c r="C41" s="452" t="s">
        <v>182</v>
      </c>
      <c r="D41" s="452" t="s">
        <v>182</v>
      </c>
      <c r="E41" s="452" t="s">
        <v>182</v>
      </c>
      <c r="F41" s="452" t="s">
        <v>182</v>
      </c>
      <c r="G41" s="452" t="s">
        <v>182</v>
      </c>
      <c r="H41" s="452" t="s">
        <v>182</v>
      </c>
      <c r="I41" s="452" t="s">
        <v>182</v>
      </c>
      <c r="J41" s="452" t="s">
        <v>182</v>
      </c>
      <c r="K41" s="452" t="s">
        <v>182</v>
      </c>
      <c r="L41" s="452" t="s">
        <v>182</v>
      </c>
      <c r="M41" s="452" t="s">
        <v>182</v>
      </c>
      <c r="N41" s="452" t="s">
        <v>182</v>
      </c>
      <c r="O41" s="452" t="s">
        <v>182</v>
      </c>
      <c r="P41" s="452" t="s">
        <v>182</v>
      </c>
      <c r="Q41" s="452" t="s">
        <v>182</v>
      </c>
      <c r="R41" s="452" t="s">
        <v>182</v>
      </c>
      <c r="S41" s="452" t="s">
        <v>182</v>
      </c>
      <c r="T41" s="452" t="s">
        <v>182</v>
      </c>
      <c r="U41" s="452" t="s">
        <v>182</v>
      </c>
      <c r="V41" s="452" t="s">
        <v>182</v>
      </c>
      <c r="W41" s="452" t="s">
        <v>182</v>
      </c>
      <c r="X41" s="452" t="s">
        <v>182</v>
      </c>
      <c r="Y41" s="452" t="s">
        <v>182</v>
      </c>
      <c r="Z41" s="186" t="s">
        <v>174</v>
      </c>
      <c r="AA41" s="224"/>
      <c r="AB41" s="186" t="s">
        <v>174</v>
      </c>
    </row>
    <row r="42" spans="1:28" ht="32.25" customHeight="1" x14ac:dyDescent="0.25">
      <c r="B42" s="187"/>
      <c r="C42" s="452" t="s">
        <v>182</v>
      </c>
      <c r="D42" s="452" t="s">
        <v>182</v>
      </c>
      <c r="E42" s="452" t="s">
        <v>182</v>
      </c>
      <c r="F42" s="452" t="s">
        <v>182</v>
      </c>
      <c r="G42" s="452" t="s">
        <v>182</v>
      </c>
      <c r="H42" s="452" t="s">
        <v>182</v>
      </c>
      <c r="I42" s="452" t="s">
        <v>182</v>
      </c>
      <c r="J42" s="452" t="s">
        <v>182</v>
      </c>
      <c r="K42" s="452" t="s">
        <v>182</v>
      </c>
      <c r="L42" s="452" t="s">
        <v>182</v>
      </c>
      <c r="M42" s="452" t="s">
        <v>182</v>
      </c>
      <c r="N42" s="452" t="s">
        <v>182</v>
      </c>
      <c r="O42" s="452" t="s">
        <v>182</v>
      </c>
      <c r="P42" s="452" t="s">
        <v>182</v>
      </c>
      <c r="Q42" s="452" t="s">
        <v>182</v>
      </c>
      <c r="R42" s="452" t="s">
        <v>182</v>
      </c>
      <c r="S42" s="452" t="s">
        <v>182</v>
      </c>
      <c r="T42" s="452" t="s">
        <v>182</v>
      </c>
      <c r="U42" s="452" t="s">
        <v>182</v>
      </c>
      <c r="V42" s="452" t="s">
        <v>182</v>
      </c>
      <c r="W42" s="452" t="s">
        <v>182</v>
      </c>
      <c r="X42" s="452" t="s">
        <v>182</v>
      </c>
      <c r="Y42" s="452" t="s">
        <v>182</v>
      </c>
      <c r="AA42" s="224"/>
    </row>
    <row r="43" spans="1:28" ht="32.25" customHeight="1" x14ac:dyDescent="0.25">
      <c r="A43" s="186" t="s">
        <v>174</v>
      </c>
      <c r="B43" s="187"/>
      <c r="C43" s="452" t="s">
        <v>182</v>
      </c>
      <c r="D43" s="452" t="s">
        <v>182</v>
      </c>
      <c r="E43" s="452" t="s">
        <v>182</v>
      </c>
      <c r="F43" s="452" t="s">
        <v>182</v>
      </c>
      <c r="G43" s="452" t="s">
        <v>182</v>
      </c>
      <c r="H43" s="452" t="s">
        <v>182</v>
      </c>
      <c r="I43" s="452" t="s">
        <v>182</v>
      </c>
      <c r="J43" s="452" t="s">
        <v>182</v>
      </c>
      <c r="K43" s="452" t="s">
        <v>182</v>
      </c>
      <c r="L43" s="452" t="s">
        <v>182</v>
      </c>
      <c r="M43" s="452" t="s">
        <v>182</v>
      </c>
      <c r="N43" s="452" t="s">
        <v>182</v>
      </c>
      <c r="O43" s="452" t="s">
        <v>182</v>
      </c>
      <c r="P43" s="452" t="s">
        <v>182</v>
      </c>
      <c r="Q43" s="452" t="s">
        <v>182</v>
      </c>
      <c r="R43" s="452" t="s">
        <v>182</v>
      </c>
      <c r="S43" s="452" t="s">
        <v>182</v>
      </c>
      <c r="T43" s="452" t="s">
        <v>182</v>
      </c>
      <c r="U43" s="452" t="s">
        <v>182</v>
      </c>
      <c r="V43" s="452" t="s">
        <v>182</v>
      </c>
      <c r="W43" s="452" t="s">
        <v>182</v>
      </c>
      <c r="X43" s="452" t="s">
        <v>182</v>
      </c>
      <c r="Y43" s="452" t="s">
        <v>182</v>
      </c>
      <c r="Z43" s="197" t="s">
        <v>174</v>
      </c>
      <c r="AA43" s="224"/>
      <c r="AB43" s="186" t="s">
        <v>174</v>
      </c>
    </row>
    <row r="44" spans="1:28" ht="32.25" customHeight="1" x14ac:dyDescent="0.25">
      <c r="B44" s="187"/>
      <c r="C44" s="452" t="s">
        <v>182</v>
      </c>
      <c r="D44" s="452" t="s">
        <v>182</v>
      </c>
      <c r="E44" s="452" t="s">
        <v>182</v>
      </c>
      <c r="F44" s="452" t="s">
        <v>182</v>
      </c>
      <c r="G44" s="452" t="s">
        <v>182</v>
      </c>
      <c r="H44" s="452" t="s">
        <v>182</v>
      </c>
      <c r="I44" s="452" t="s">
        <v>182</v>
      </c>
      <c r="J44" s="452" t="s">
        <v>182</v>
      </c>
      <c r="K44" s="452" t="s">
        <v>182</v>
      </c>
      <c r="L44" s="452" t="s">
        <v>182</v>
      </c>
      <c r="M44" s="452" t="s">
        <v>182</v>
      </c>
      <c r="N44" s="452" t="s">
        <v>182</v>
      </c>
      <c r="O44" s="452" t="s">
        <v>182</v>
      </c>
      <c r="P44" s="452" t="s">
        <v>182</v>
      </c>
      <c r="Q44" s="452" t="s">
        <v>182</v>
      </c>
      <c r="R44" s="452" t="s">
        <v>182</v>
      </c>
      <c r="S44" s="452" t="s">
        <v>182</v>
      </c>
      <c r="T44" s="452" t="s">
        <v>182</v>
      </c>
      <c r="U44" s="452" t="s">
        <v>182</v>
      </c>
      <c r="V44" s="452" t="s">
        <v>182</v>
      </c>
      <c r="W44" s="452" t="s">
        <v>182</v>
      </c>
      <c r="X44" s="452" t="s">
        <v>182</v>
      </c>
      <c r="Y44" s="452" t="s">
        <v>182</v>
      </c>
    </row>
    <row r="45" spans="1:28" ht="32.25" customHeight="1" x14ac:dyDescent="0.25">
      <c r="B45" s="187"/>
      <c r="C45" s="452" t="s">
        <v>182</v>
      </c>
      <c r="D45" s="452" t="s">
        <v>182</v>
      </c>
      <c r="E45" s="452" t="s">
        <v>182</v>
      </c>
      <c r="F45" s="452" t="s">
        <v>182</v>
      </c>
      <c r="G45" s="452" t="s">
        <v>182</v>
      </c>
      <c r="H45" s="452" t="s">
        <v>182</v>
      </c>
      <c r="I45" s="452" t="s">
        <v>182</v>
      </c>
      <c r="J45" s="452" t="s">
        <v>182</v>
      </c>
      <c r="K45" s="452" t="s">
        <v>182</v>
      </c>
      <c r="L45" s="452" t="s">
        <v>182</v>
      </c>
      <c r="M45" s="452" t="s">
        <v>182</v>
      </c>
      <c r="N45" s="452" t="s">
        <v>182</v>
      </c>
      <c r="O45" s="452" t="s">
        <v>182</v>
      </c>
      <c r="P45" s="452" t="s">
        <v>182</v>
      </c>
      <c r="Q45" s="452" t="s">
        <v>182</v>
      </c>
      <c r="R45" s="452" t="s">
        <v>182</v>
      </c>
      <c r="S45" s="452" t="s">
        <v>182</v>
      </c>
      <c r="T45" s="452" t="s">
        <v>182</v>
      </c>
      <c r="U45" s="452" t="s">
        <v>182</v>
      </c>
      <c r="V45" s="452" t="s">
        <v>182</v>
      </c>
      <c r="W45" s="452" t="s">
        <v>182</v>
      </c>
      <c r="X45" s="452" t="s">
        <v>182</v>
      </c>
      <c r="Y45" s="452" t="s">
        <v>182</v>
      </c>
    </row>
    <row r="46" spans="1:28" ht="32.25" customHeight="1" x14ac:dyDescent="0.25">
      <c r="B46" s="187"/>
      <c r="C46" s="452" t="s">
        <v>182</v>
      </c>
      <c r="D46" s="452" t="s">
        <v>182</v>
      </c>
      <c r="E46" s="452" t="s">
        <v>182</v>
      </c>
      <c r="F46" s="452" t="s">
        <v>182</v>
      </c>
      <c r="G46" s="452" t="s">
        <v>182</v>
      </c>
      <c r="H46" s="452" t="s">
        <v>182</v>
      </c>
      <c r="I46" s="452" t="s">
        <v>182</v>
      </c>
      <c r="J46" s="452" t="s">
        <v>182</v>
      </c>
      <c r="K46" s="452" t="s">
        <v>182</v>
      </c>
      <c r="L46" s="452" t="s">
        <v>182</v>
      </c>
      <c r="M46" s="452" t="s">
        <v>182</v>
      </c>
      <c r="N46" s="452" t="s">
        <v>182</v>
      </c>
      <c r="O46" s="452" t="s">
        <v>182</v>
      </c>
      <c r="P46" s="452" t="s">
        <v>182</v>
      </c>
      <c r="Q46" s="452" t="s">
        <v>182</v>
      </c>
      <c r="R46" s="452" t="s">
        <v>182</v>
      </c>
      <c r="S46" s="452" t="s">
        <v>182</v>
      </c>
      <c r="T46" s="452" t="s">
        <v>182</v>
      </c>
      <c r="U46" s="452" t="s">
        <v>182</v>
      </c>
      <c r="V46" s="452" t="s">
        <v>182</v>
      </c>
      <c r="W46" s="452" t="s">
        <v>182</v>
      </c>
      <c r="X46" s="452" t="s">
        <v>182</v>
      </c>
      <c r="Y46" s="452" t="s">
        <v>182</v>
      </c>
    </row>
    <row r="47" spans="1:28" ht="32.25" customHeight="1" x14ac:dyDescent="0.25">
      <c r="B47" s="187"/>
      <c r="C47" s="452" t="s">
        <v>182</v>
      </c>
      <c r="D47" s="452" t="s">
        <v>182</v>
      </c>
      <c r="E47" s="452" t="s">
        <v>182</v>
      </c>
      <c r="F47" s="452" t="s">
        <v>182</v>
      </c>
      <c r="G47" s="452" t="s">
        <v>182</v>
      </c>
      <c r="H47" s="452" t="s">
        <v>182</v>
      </c>
      <c r="I47" s="452" t="s">
        <v>182</v>
      </c>
      <c r="J47" s="452" t="s">
        <v>182</v>
      </c>
      <c r="K47" s="452" t="s">
        <v>182</v>
      </c>
      <c r="L47" s="452" t="s">
        <v>182</v>
      </c>
      <c r="M47" s="452" t="s">
        <v>182</v>
      </c>
      <c r="N47" s="452" t="s">
        <v>182</v>
      </c>
      <c r="O47" s="452" t="s">
        <v>182</v>
      </c>
      <c r="P47" s="452" t="s">
        <v>182</v>
      </c>
      <c r="Q47" s="452" t="s">
        <v>182</v>
      </c>
      <c r="R47" s="452" t="s">
        <v>182</v>
      </c>
      <c r="S47" s="452" t="s">
        <v>182</v>
      </c>
      <c r="T47" s="452" t="s">
        <v>182</v>
      </c>
      <c r="U47" s="452" t="s">
        <v>182</v>
      </c>
      <c r="V47" s="452" t="s">
        <v>182</v>
      </c>
      <c r="W47" s="452" t="s">
        <v>182</v>
      </c>
      <c r="X47" s="452" t="s">
        <v>182</v>
      </c>
      <c r="Y47" s="452" t="s">
        <v>182</v>
      </c>
    </row>
    <row r="48" spans="1:28" ht="32.25" customHeight="1" x14ac:dyDescent="0.25">
      <c r="B48" s="187"/>
      <c r="C48" s="452" t="s">
        <v>182</v>
      </c>
      <c r="D48" s="452" t="s">
        <v>182</v>
      </c>
      <c r="E48" s="452" t="s">
        <v>182</v>
      </c>
      <c r="F48" s="452" t="s">
        <v>182</v>
      </c>
      <c r="G48" s="452" t="s">
        <v>182</v>
      </c>
      <c r="H48" s="452" t="s">
        <v>182</v>
      </c>
      <c r="I48" s="452" t="s">
        <v>182</v>
      </c>
      <c r="J48" s="452" t="s">
        <v>182</v>
      </c>
      <c r="K48" s="452" t="s">
        <v>182</v>
      </c>
      <c r="L48" s="452" t="s">
        <v>182</v>
      </c>
      <c r="M48" s="452" t="s">
        <v>182</v>
      </c>
      <c r="N48" s="452" t="s">
        <v>182</v>
      </c>
      <c r="O48" s="452" t="s">
        <v>182</v>
      </c>
      <c r="P48" s="452" t="s">
        <v>182</v>
      </c>
      <c r="Q48" s="452" t="s">
        <v>182</v>
      </c>
      <c r="R48" s="452" t="s">
        <v>182</v>
      </c>
      <c r="S48" s="452" t="s">
        <v>182</v>
      </c>
      <c r="T48" s="452" t="s">
        <v>182</v>
      </c>
      <c r="U48" s="452" t="s">
        <v>182</v>
      </c>
      <c r="V48" s="452" t="s">
        <v>182</v>
      </c>
      <c r="W48" s="452" t="s">
        <v>182</v>
      </c>
      <c r="X48" s="452" t="s">
        <v>182</v>
      </c>
      <c r="Y48" s="452" t="s">
        <v>182</v>
      </c>
    </row>
    <row r="49" spans="2:25" ht="32.25" customHeight="1" x14ac:dyDescent="0.25">
      <c r="B49" s="187"/>
      <c r="C49" s="452" t="s">
        <v>182</v>
      </c>
      <c r="D49" s="452" t="s">
        <v>182</v>
      </c>
      <c r="E49" s="452" t="s">
        <v>182</v>
      </c>
      <c r="F49" s="452" t="s">
        <v>182</v>
      </c>
      <c r="G49" s="452" t="s">
        <v>182</v>
      </c>
      <c r="H49" s="452" t="s">
        <v>182</v>
      </c>
      <c r="I49" s="452" t="s">
        <v>182</v>
      </c>
      <c r="J49" s="452" t="s">
        <v>182</v>
      </c>
      <c r="K49" s="452" t="s">
        <v>182</v>
      </c>
      <c r="L49" s="452" t="s">
        <v>182</v>
      </c>
      <c r="M49" s="452" t="s">
        <v>182</v>
      </c>
      <c r="N49" s="452" t="s">
        <v>182</v>
      </c>
      <c r="O49" s="452" t="s">
        <v>182</v>
      </c>
      <c r="P49" s="452" t="s">
        <v>182</v>
      </c>
      <c r="Q49" s="452" t="s">
        <v>182</v>
      </c>
      <c r="R49" s="452" t="s">
        <v>182</v>
      </c>
      <c r="S49" s="452" t="s">
        <v>182</v>
      </c>
      <c r="T49" s="452" t="s">
        <v>182</v>
      </c>
      <c r="U49" s="452" t="s">
        <v>182</v>
      </c>
      <c r="V49" s="452" t="s">
        <v>182</v>
      </c>
      <c r="W49" s="452" t="s">
        <v>182</v>
      </c>
      <c r="X49" s="452" t="s">
        <v>182</v>
      </c>
      <c r="Y49" s="452" t="s">
        <v>182</v>
      </c>
    </row>
    <row r="50" spans="2:25" ht="32.25" customHeight="1" x14ac:dyDescent="0.25">
      <c r="C50" s="433">
        <f ca="1">+AVERAGE(C19:C47)</f>
        <v>0.87381818181818183</v>
      </c>
      <c r="D50" s="433" t="e">
        <f ca="1">+AVERAGE(D19:D47)</f>
        <v>#REF!</v>
      </c>
      <c r="E50" s="433" t="s">
        <v>182</v>
      </c>
      <c r="F50" s="433" t="e">
        <f ca="1">+AVERAGE(F19:F47)</f>
        <v>#REF!</v>
      </c>
      <c r="G50" s="433">
        <f>+AVERAGE(G19:G47)</f>
        <v>0.62867346938775515</v>
      </c>
      <c r="H50" s="433">
        <f>+AVERAGE(H19:H47)</f>
        <v>0.83479492317969273</v>
      </c>
      <c r="I50" s="433">
        <f>+AVERAGE(I19:I47)</f>
        <v>0.69495536309127237</v>
      </c>
      <c r="J50" s="433">
        <f>+AVERAGE(J19:J47)</f>
        <v>0.36238857142857145</v>
      </c>
      <c r="K50" s="433" t="s">
        <v>182</v>
      </c>
      <c r="L50" s="433" t="s">
        <v>182</v>
      </c>
      <c r="M50" s="433">
        <f>+AVERAGE(M19:M47)</f>
        <v>0.57947567030784508</v>
      </c>
      <c r="N50" s="433" t="s">
        <v>182</v>
      </c>
      <c r="O50" s="433">
        <f t="shared" ref="O50:T50" si="3">+AVERAGE(O19:O47)</f>
        <v>0.6978428571428571</v>
      </c>
      <c r="P50" s="433">
        <f t="shared" si="3"/>
        <v>0.73531629392971243</v>
      </c>
      <c r="Q50" s="433">
        <f t="shared" si="3"/>
        <v>0.87066445403252568</v>
      </c>
      <c r="R50" s="433">
        <f t="shared" si="3"/>
        <v>0.88924743443557586</v>
      </c>
      <c r="S50" s="433" t="e">
        <f t="shared" si="3"/>
        <v>#DIV/0!</v>
      </c>
      <c r="T50" s="433">
        <f t="shared" si="3"/>
        <v>0.8757664233576643</v>
      </c>
      <c r="U50" s="433" t="s">
        <v>182</v>
      </c>
      <c r="V50" s="433" t="s">
        <v>182</v>
      </c>
      <c r="W50" s="433" t="e">
        <f>+AVERAGE(W19:W47)</f>
        <v>#REF!</v>
      </c>
      <c r="X50" s="433">
        <f>+AVERAGE(X19:X47)</f>
        <v>0.74429698083994578</v>
      </c>
      <c r="Y50" s="433">
        <f>+AVERAGE(Y19:Y47)</f>
        <v>0.82320000000000004</v>
      </c>
    </row>
    <row r="53" spans="2:25" ht="32.25" customHeight="1" thickBot="1" x14ac:dyDescent="0.3"/>
    <row r="54" spans="2:25" ht="32.25" customHeight="1" thickBot="1" x14ac:dyDescent="0.3">
      <c r="C54" s="312" t="s">
        <v>182</v>
      </c>
    </row>
    <row r="56" spans="2:25" ht="32.25" customHeight="1" x14ac:dyDescent="0.25">
      <c r="C56" s="313" t="s">
        <v>182</v>
      </c>
    </row>
    <row r="57" spans="2:25" ht="32.25" customHeight="1" thickBot="1" x14ac:dyDescent="0.3"/>
    <row r="58" spans="2:25" ht="32.25" customHeight="1" thickBot="1" x14ac:dyDescent="0.3">
      <c r="C58" s="318" t="s">
        <v>182</v>
      </c>
    </row>
    <row r="59" spans="2:25" ht="32.25" customHeight="1" thickBot="1" x14ac:dyDescent="0.3"/>
    <row r="60" spans="2:25" ht="32.25" customHeight="1" thickBot="1" x14ac:dyDescent="0.3">
      <c r="C60" s="319" t="s">
        <v>182</v>
      </c>
    </row>
  </sheetData>
  <conditionalFormatting sqref="A54:B54 D54:XFD54 A58:B58 D58:XFD58 A59:XFD59 A60:B60 D60:XFD60 A61:XFD1048576 Z19:XFD47 A20:A47 A50 Z50:XFD50">
    <cfRule type="cellIs" dxfId="13877" priority="661" operator="equal">
      <formula>"."</formula>
    </cfRule>
  </conditionalFormatting>
  <conditionalFormatting sqref="A19:B19 U19:X19 B20:B49">
    <cfRule type="cellIs" dxfId="13876" priority="560" operator="equal">
      <formula>"."</formula>
    </cfRule>
  </conditionalFormatting>
  <conditionalFormatting sqref="A1:XFD2">
    <cfRule type="cellIs" dxfId="13875" priority="664" operator="equal">
      <formula>"."</formula>
    </cfRule>
  </conditionalFormatting>
  <conditionalFormatting sqref="A16:XFD18">
    <cfRule type="cellIs" dxfId="13874" priority="641" operator="equal">
      <formula>"."</formula>
    </cfRule>
  </conditionalFormatting>
  <conditionalFormatting sqref="A55:XFD57">
    <cfRule type="cellIs" dxfId="13873" priority="657" operator="equal">
      <formula>"."</formula>
    </cfRule>
  </conditionalFormatting>
  <conditionalFormatting sqref="B50:Y50">
    <cfRule type="cellIs" dxfId="13872" priority="659" operator="equal">
      <formula>"."</formula>
    </cfRule>
  </conditionalFormatting>
  <conditionalFormatting sqref="C56 C20:Y50 E19 M19:N19">
    <cfRule type="cellIs" dxfId="13871" priority="658" operator="between">
      <formula>$AA$1</formula>
      <formula>$AB$1</formula>
    </cfRule>
  </conditionalFormatting>
  <conditionalFormatting sqref="U19:X19">
    <cfRule type="cellIs" dxfId="13870" priority="491" operator="between">
      <formula>$AA$1</formula>
      <formula>$AB$1</formula>
    </cfRule>
    <cfRule type="cellIs" dxfId="13869" priority="492" operator="equal">
      <formula>"."</formula>
    </cfRule>
    <cfRule type="cellIs" dxfId="13868" priority="493" operator="between">
      <formula>$AA$1</formula>
      <formula>$AB$1</formula>
    </cfRule>
    <cfRule type="cellIs" dxfId="13867" priority="494" operator="equal">
      <formula>"."</formula>
    </cfRule>
    <cfRule type="cellIs" dxfId="13866" priority="500" operator="equal">
      <formula>"."</formula>
    </cfRule>
    <cfRule type="cellIs" dxfId="13865" priority="501" operator="between">
      <formula>$AA$1</formula>
      <formula>$AB$1</formula>
    </cfRule>
    <cfRule type="cellIs" dxfId="13864" priority="502" operator="equal">
      <formula>"."</formula>
    </cfRule>
    <cfRule type="cellIs" dxfId="13863" priority="503" operator="between">
      <formula>$AA$1</formula>
      <formula>$AB$1</formula>
    </cfRule>
    <cfRule type="cellIs" dxfId="13862" priority="504" operator="equal">
      <formula>"."</formula>
    </cfRule>
    <cfRule type="cellIs" dxfId="13861" priority="505" operator="between">
      <formula>$AA$1</formula>
      <formula>$AB$1</formula>
    </cfRule>
    <cfRule type="cellIs" dxfId="13860" priority="506" operator="equal">
      <formula>"."</formula>
    </cfRule>
    <cfRule type="cellIs" dxfId="13859" priority="507" operator="between">
      <formula>$AA$1</formula>
      <formula>$AB$1</formula>
    </cfRule>
    <cfRule type="cellIs" dxfId="13858" priority="508" operator="equal">
      <formula>"."</formula>
    </cfRule>
    <cfRule type="cellIs" dxfId="13857" priority="509" operator="between">
      <formula>$AA$1</formula>
      <formula>$AB$1</formula>
    </cfRule>
    <cfRule type="cellIs" dxfId="13856" priority="510" operator="equal">
      <formula>"."</formula>
    </cfRule>
    <cfRule type="cellIs" dxfId="13855" priority="511" operator="between">
      <formula>$AA$1</formula>
      <formula>$AB$1</formula>
    </cfRule>
    <cfRule type="cellIs" dxfId="13854" priority="512" operator="equal">
      <formula>"."</formula>
    </cfRule>
    <cfRule type="cellIs" dxfId="13853" priority="513" operator="between">
      <formula>$AA$1</formula>
      <formula>$AB$1</formula>
    </cfRule>
    <cfRule type="cellIs" dxfId="13852" priority="514" operator="equal">
      <formula>"."</formula>
    </cfRule>
    <cfRule type="cellIs" dxfId="13851" priority="515" operator="between">
      <formula>$AA$1</formula>
      <formula>$AB$1</formula>
    </cfRule>
    <cfRule type="cellIs" dxfId="13850" priority="516" operator="equal">
      <formula>"."</formula>
    </cfRule>
    <cfRule type="cellIs" dxfId="13849" priority="517" operator="between">
      <formula>$AA$1</formula>
      <formula>$AB$1</formula>
    </cfRule>
    <cfRule type="cellIs" dxfId="13848" priority="518" operator="equal">
      <formula>"."</formula>
    </cfRule>
    <cfRule type="cellIs" dxfId="13847" priority="519" operator="between">
      <formula>$AA$1</formula>
      <formula>$AB$1</formula>
    </cfRule>
    <cfRule type="cellIs" dxfId="13846" priority="520" operator="equal">
      <formula>"."</formula>
    </cfRule>
    <cfRule type="cellIs" dxfId="13845" priority="521" operator="between">
      <formula>$AA$1</formula>
      <formula>$AB$1</formula>
    </cfRule>
    <cfRule type="cellIs" dxfId="13844" priority="522" operator="equal">
      <formula>"."</formula>
    </cfRule>
    <cfRule type="cellIs" dxfId="13843" priority="523" operator="between">
      <formula>$AA$1</formula>
      <formula>$AB$1</formula>
    </cfRule>
    <cfRule type="cellIs" dxfId="13842" priority="524" operator="equal">
      <formula>"."</formula>
    </cfRule>
    <cfRule type="cellIs" dxfId="13841" priority="525" operator="between">
      <formula>$AA$1</formula>
      <formula>$AB$1</formula>
    </cfRule>
    <cfRule type="cellIs" dxfId="13840" priority="526" operator="equal">
      <formula>"."</formula>
    </cfRule>
    <cfRule type="cellIs" dxfId="13839" priority="527" operator="between">
      <formula>$AA$1</formula>
      <formula>$AB$1</formula>
    </cfRule>
    <cfRule type="cellIs" dxfId="13838" priority="528" operator="equal">
      <formula>"."</formula>
    </cfRule>
    <cfRule type="cellIs" dxfId="13837" priority="529" operator="between">
      <formula>$AA$1</formula>
      <formula>$AB$1</formula>
    </cfRule>
    <cfRule type="cellIs" dxfId="13836" priority="530" operator="equal">
      <formula>"."</formula>
    </cfRule>
    <cfRule type="cellIs" dxfId="13835" priority="531" operator="between">
      <formula>$AA$1</formula>
      <formula>$AB$1</formula>
    </cfRule>
    <cfRule type="cellIs" dxfId="13834" priority="532" operator="equal">
      <formula>"."</formula>
    </cfRule>
    <cfRule type="cellIs" dxfId="13833" priority="533" operator="between">
      <formula>$AA$1</formula>
      <formula>$AB$1</formula>
    </cfRule>
    <cfRule type="cellIs" dxfId="13832" priority="534" operator="equal">
      <formula>"."</formula>
    </cfRule>
    <cfRule type="cellIs" dxfId="13831" priority="535" operator="between">
      <formula>$AA$1</formula>
      <formula>$AB$1</formula>
    </cfRule>
    <cfRule type="cellIs" dxfId="13830" priority="536" operator="equal">
      <formula>"."</formula>
    </cfRule>
    <cfRule type="cellIs" dxfId="13829" priority="537" operator="between">
      <formula>$AA$1</formula>
      <formula>$AB$1</formula>
    </cfRule>
    <cfRule type="cellIs" dxfId="13828" priority="538" operator="equal">
      <formula>"."</formula>
    </cfRule>
    <cfRule type="cellIs" dxfId="13827" priority="539" operator="between">
      <formula>$AA$1</formula>
      <formula>$AB$1</formula>
    </cfRule>
    <cfRule type="cellIs" dxfId="13826" priority="540" operator="equal">
      <formula>"."</formula>
    </cfRule>
    <cfRule type="cellIs" dxfId="13825" priority="541" operator="between">
      <formula>$AA$1</formula>
      <formula>$AB$1</formula>
    </cfRule>
    <cfRule type="cellIs" dxfId="13824" priority="542" operator="equal">
      <formula>"."</formula>
    </cfRule>
    <cfRule type="cellIs" dxfId="13823" priority="543" operator="between">
      <formula>$AA$1</formula>
      <formula>$AB$1</formula>
    </cfRule>
    <cfRule type="cellIs" dxfId="13822" priority="544" operator="equal">
      <formula>"."</formula>
    </cfRule>
    <cfRule type="cellIs" dxfId="13821" priority="545" operator="between">
      <formula>$AA$1</formula>
      <formula>$AB$1</formula>
    </cfRule>
    <cfRule type="cellIs" dxfId="13820" priority="546" operator="equal">
      <formula>"."</formula>
    </cfRule>
    <cfRule type="cellIs" dxfId="13819" priority="547" operator="between">
      <formula>$AA$1</formula>
      <formula>$AB$1</formula>
    </cfRule>
    <cfRule type="cellIs" dxfId="13818" priority="548" operator="equal">
      <formula>"."</formula>
    </cfRule>
    <cfRule type="cellIs" dxfId="13817" priority="549" operator="between">
      <formula>$AA$1</formula>
      <formula>$AB$1</formula>
    </cfRule>
    <cfRule type="cellIs" dxfId="13816" priority="550" operator="equal">
      <formula>"."</formula>
    </cfRule>
    <cfRule type="cellIs" dxfId="13815" priority="551" operator="between">
      <formula>$AA$1</formula>
      <formula>$AB$1</formula>
    </cfRule>
    <cfRule type="cellIs" dxfId="13814" priority="552" operator="equal">
      <formula>"."</formula>
    </cfRule>
    <cfRule type="cellIs" dxfId="13813" priority="553" operator="between">
      <formula>$AA$1</formula>
      <formula>$AB$1</formula>
    </cfRule>
    <cfRule type="cellIs" dxfId="13812" priority="554" operator="equal">
      <formula>"."</formula>
    </cfRule>
    <cfRule type="cellIs" dxfId="13811" priority="555" operator="between">
      <formula>$AA$1</formula>
      <formula>$AB$1</formula>
    </cfRule>
    <cfRule type="cellIs" dxfId="13810" priority="556" operator="equal">
      <formula>"."</formula>
    </cfRule>
    <cfRule type="cellIs" dxfId="13809" priority="557" operator="between">
      <formula>$AA$1</formula>
      <formula>$AB$1</formula>
    </cfRule>
    <cfRule type="cellIs" dxfId="13808" priority="558" operator="equal">
      <formula>"."</formula>
    </cfRule>
    <cfRule type="cellIs" dxfId="13807" priority="559" operator="between">
      <formula>$AA$1</formula>
      <formula>$AB$1</formula>
    </cfRule>
    <cfRule type="cellIs" dxfId="13806" priority="561" operator="between">
      <formula>$AA$1</formula>
      <formula>$AB$1</formula>
    </cfRule>
  </conditionalFormatting>
  <conditionalFormatting sqref="C3:Y3">
    <cfRule type="cellIs" dxfId="13805" priority="651" operator="lessThan">
      <formula>0.8</formula>
    </cfRule>
  </conditionalFormatting>
  <conditionalFormatting sqref="C15:K15 M15:Q15 S15:U15 W15:Y15">
    <cfRule type="cellIs" dxfId="13804" priority="660" operator="lessThan">
      <formula>0.8</formula>
    </cfRule>
  </conditionalFormatting>
  <conditionalFormatting sqref="A51:W51 Y51:XFD51 A52:XFD53 N50 E50 C20:Y49 C19:T19">
    <cfRule type="cellIs" dxfId="13803" priority="662" operator="equal">
      <formula>"."</formula>
    </cfRule>
  </conditionalFormatting>
  <conditionalFormatting sqref="K50:L50 R50 U50:V50 L15 D50:E50 N50 C20:Y49 C19:T19">
    <cfRule type="cellIs" dxfId="13802" priority="663" operator="between">
      <formula>$AA$1</formula>
      <formula>$AB$1</formula>
    </cfRule>
  </conditionalFormatting>
  <conditionalFormatting sqref="K50:L50 N50 E50 C20:Y49 C19:T19">
    <cfRule type="cellIs" dxfId="13801" priority="637" operator="equal">
      <formula>"."</formula>
    </cfRule>
  </conditionalFormatting>
  <conditionalFormatting sqref="U50 N50 E50 C20:Y49 C19:T19">
    <cfRule type="cellIs" dxfId="13800" priority="619" operator="equal">
      <formula>"."</formula>
    </cfRule>
    <cfRule type="cellIs" dxfId="13799" priority="620" operator="between">
      <formula>$AA$1</formula>
      <formula>$AB$1</formula>
    </cfRule>
    <cfRule type="cellIs" dxfId="13798" priority="621" operator="equal">
      <formula>"."</formula>
    </cfRule>
    <cfRule type="cellIs" dxfId="13797" priority="622" operator="between">
      <formula>$AA$1</formula>
      <formula>$AB$1</formula>
    </cfRule>
  </conditionalFormatting>
  <conditionalFormatting sqref="U50:V50 N50 E50 C20:Y49 C19:T19">
    <cfRule type="cellIs" dxfId="13796" priority="623" operator="equal">
      <formula>"."</formula>
    </cfRule>
  </conditionalFormatting>
  <conditionalFormatting sqref="N50 E50 C20:Y49 C19:T19">
    <cfRule type="cellIs" dxfId="13795" priority="572" operator="between">
      <formula>$AA$1</formula>
      <formula>$AB$1</formula>
    </cfRule>
    <cfRule type="cellIs" dxfId="13794" priority="573" operator="equal">
      <formula>"."</formula>
    </cfRule>
    <cfRule type="cellIs" dxfId="13793" priority="580" operator="equal">
      <formula>"."</formula>
    </cfRule>
    <cfRule type="cellIs" dxfId="13792" priority="581" operator="between">
      <formula>$AA$1</formula>
      <formula>$AB$1</formula>
    </cfRule>
    <cfRule type="cellIs" dxfId="13791" priority="582" operator="equal">
      <formula>"."</formula>
    </cfRule>
    <cfRule type="cellIs" dxfId="13790" priority="583" operator="between">
      <formula>$AA$1</formula>
      <formula>$AB$1</formula>
    </cfRule>
    <cfRule type="cellIs" dxfId="13789" priority="584" operator="equal">
      <formula>"."</formula>
    </cfRule>
    <cfRule type="cellIs" dxfId="13788" priority="585" operator="between">
      <formula>$AA$1</formula>
      <formula>$AB$1</formula>
    </cfRule>
    <cfRule type="cellIs" dxfId="13787" priority="586" operator="equal">
      <formula>"."</formula>
    </cfRule>
    <cfRule type="cellIs" dxfId="13786" priority="587" operator="between">
      <formula>$AA$1</formula>
      <formula>$AB$1</formula>
    </cfRule>
    <cfRule type="cellIs" dxfId="13785" priority="588" operator="equal">
      <formula>"."</formula>
    </cfRule>
    <cfRule type="cellIs" dxfId="13784" priority="589" operator="between">
      <formula>$AA$1</formula>
      <formula>$AB$1</formula>
    </cfRule>
    <cfRule type="cellIs" dxfId="13783" priority="593" operator="equal">
      <formula>"."</formula>
    </cfRule>
    <cfRule type="cellIs" dxfId="13782" priority="594" operator="between">
      <formula>$AA$1</formula>
      <formula>$AB$1</formula>
    </cfRule>
    <cfRule type="cellIs" dxfId="13781" priority="595" operator="equal">
      <formula>"."</formula>
    </cfRule>
    <cfRule type="cellIs" dxfId="13780" priority="596" operator="between">
      <formula>$AA$1</formula>
      <formula>$AB$1</formula>
    </cfRule>
    <cfRule type="cellIs" dxfId="13779" priority="597" operator="equal">
      <formula>"."</formula>
    </cfRule>
    <cfRule type="cellIs" dxfId="13778" priority="598" operator="between">
      <formula>$AA$1</formula>
      <formula>$AB$1</formula>
    </cfRule>
    <cfRule type="cellIs" dxfId="13777" priority="599" operator="equal">
      <formula>"."</formula>
    </cfRule>
    <cfRule type="cellIs" dxfId="13776" priority="600" operator="between">
      <formula>$AA$1</formula>
      <formula>$AB$1</formula>
    </cfRule>
    <cfRule type="cellIs" dxfId="13775" priority="601" operator="equal">
      <formula>"."</formula>
    </cfRule>
    <cfRule type="cellIs" dxfId="13774" priority="602" operator="between">
      <formula>$AA$1</formula>
      <formula>$AB$1</formula>
    </cfRule>
    <cfRule type="cellIs" dxfId="13773" priority="603" operator="equal">
      <formula>"."</formula>
    </cfRule>
    <cfRule type="cellIs" dxfId="13772" priority="604" operator="between">
      <formula>$AA$1</formula>
      <formula>$AB$1</formula>
    </cfRule>
    <cfRule type="cellIs" dxfId="13771" priority="605" operator="equal">
      <formula>"."</formula>
    </cfRule>
    <cfRule type="cellIs" dxfId="13770" priority="606" operator="between">
      <formula>$AA$1</formula>
      <formula>$AB$1</formula>
    </cfRule>
    <cfRule type="cellIs" dxfId="13769" priority="607" operator="equal">
      <formula>"."</formula>
    </cfRule>
    <cfRule type="cellIs" dxfId="13768" priority="608" operator="between">
      <formula>$AA$1</formula>
      <formula>$AB$1</formula>
    </cfRule>
    <cfRule type="cellIs" dxfId="13767" priority="609" operator="equal">
      <formula>"."</formula>
    </cfRule>
    <cfRule type="cellIs" dxfId="13766" priority="610" operator="between">
      <formula>$AA$1</formula>
      <formula>$AB$1</formula>
    </cfRule>
    <cfRule type="cellIs" dxfId="13765" priority="611" operator="equal">
      <formula>"."</formula>
    </cfRule>
    <cfRule type="cellIs" dxfId="13764" priority="612" operator="between">
      <formula>$AA$1</formula>
      <formula>$AB$1</formula>
    </cfRule>
    <cfRule type="cellIs" dxfId="13763" priority="613" operator="equal">
      <formula>"."</formula>
    </cfRule>
    <cfRule type="cellIs" dxfId="13762" priority="614" operator="between">
      <formula>$AA$1</formula>
      <formula>$AB$1</formula>
    </cfRule>
    <cfRule type="cellIs" dxfId="13761" priority="615" operator="equal">
      <formula>"."</formula>
    </cfRule>
    <cfRule type="cellIs" dxfId="13760" priority="616" operator="between">
      <formula>$AA$1</formula>
      <formula>$AB$1</formula>
    </cfRule>
    <cfRule type="cellIs" dxfId="13759" priority="617" operator="equal">
      <formula>"."</formula>
    </cfRule>
    <cfRule type="cellIs" dxfId="13758" priority="618" operator="between">
      <formula>$AA$1</formula>
      <formula>$AB$1</formula>
    </cfRule>
    <cfRule type="cellIs" dxfId="13757" priority="624" operator="between">
      <formula>$AA$1</formula>
      <formula>$AB$1</formula>
    </cfRule>
    <cfRule type="cellIs" dxfId="13756" priority="625" operator="equal">
      <formula>"."</formula>
    </cfRule>
    <cfRule type="cellIs" dxfId="13755" priority="626" operator="between">
      <formula>$AA$1</formula>
      <formula>$AB$1</formula>
    </cfRule>
    <cfRule type="cellIs" dxfId="13754" priority="627" operator="equal">
      <formula>"."</formula>
    </cfRule>
    <cfRule type="cellIs" dxfId="13753" priority="628" operator="between">
      <formula>$AA$1</formula>
      <formula>$AB$1</formula>
    </cfRule>
    <cfRule type="cellIs" dxfId="13752" priority="629" operator="equal">
      <formula>"."</formula>
    </cfRule>
    <cfRule type="cellIs" dxfId="13751" priority="630" operator="between">
      <formula>$AA$1</formula>
      <formula>$AB$1</formula>
    </cfRule>
    <cfRule type="cellIs" dxfId="13750" priority="631" operator="equal">
      <formula>"."</formula>
    </cfRule>
    <cfRule type="cellIs" dxfId="13749" priority="632" operator="between">
      <formula>$AA$1</formula>
      <formula>$AB$1</formula>
    </cfRule>
    <cfRule type="cellIs" dxfId="13748" priority="633" operator="equal">
      <formula>"."</formula>
    </cfRule>
    <cfRule type="cellIs" dxfId="13747" priority="634" operator="between">
      <formula>$AA$1</formula>
      <formula>$AB$1</formula>
    </cfRule>
    <cfRule type="cellIs" dxfId="13746" priority="635" operator="equal">
      <formula>"."</formula>
    </cfRule>
    <cfRule type="cellIs" dxfId="13745" priority="636" operator="between">
      <formula>$AA$1</formula>
      <formula>$AB$1</formula>
    </cfRule>
    <cfRule type="cellIs" dxfId="13744" priority="638" operator="between">
      <formula>$AA$1</formula>
      <formula>$AB$1</formula>
    </cfRule>
    <cfRule type="cellIs" dxfId="13743" priority="639" operator="equal">
      <formula>"."</formula>
    </cfRule>
    <cfRule type="cellIs" dxfId="13742" priority="640" operator="between">
      <formula>$AA$1</formula>
      <formula>$AB$1</formula>
    </cfRule>
  </conditionalFormatting>
  <conditionalFormatting sqref="N50 E50 C20:Y49 C19:T19">
    <cfRule type="cellIs" dxfId="13741" priority="571" operator="equal">
      <formula>"."</formula>
    </cfRule>
  </conditionalFormatting>
  <conditionalFormatting sqref="N50 E50 C20:Y49 C19:T19">
    <cfRule type="cellIs" dxfId="13740" priority="570" operator="between">
      <formula>$AA$1</formula>
      <formula>$AB$1</formula>
    </cfRule>
  </conditionalFormatting>
  <conditionalFormatting sqref="N50 E50 C20:Y49 C19:T19">
    <cfRule type="cellIs" dxfId="13739" priority="648" operator="equal">
      <formula>"."</formula>
    </cfRule>
  </conditionalFormatting>
  <conditionalFormatting sqref="N50 E50 C20:Y49 C19:T19">
    <cfRule type="cellIs" dxfId="13738" priority="590" operator="equal">
      <formula>"."</formula>
    </cfRule>
  </conditionalFormatting>
  <conditionalFormatting sqref="U19:X19">
    <cfRule type="cellIs" dxfId="13737" priority="490" operator="equal">
      <formula>"."</formula>
    </cfRule>
    <cfRule type="cellIs" dxfId="13736" priority="499" operator="between">
      <formula>$AA$1</formula>
      <formula>$AB$1</formula>
    </cfRule>
  </conditionalFormatting>
  <conditionalFormatting sqref="U19:X19">
    <cfRule type="cellIs" dxfId="13735" priority="562" operator="equal">
      <formula>"."</formula>
    </cfRule>
    <cfRule type="cellIs" dxfId="13734" priority="563" operator="between">
      <formula>$AA$1</formula>
      <formula>$AB$1</formula>
    </cfRule>
  </conditionalFormatting>
  <conditionalFormatting sqref="U19:X19">
    <cfRule type="cellIs" dxfId="13733" priority="498" operator="equal">
      <formula>"."</formula>
    </cfRule>
  </conditionalFormatting>
  <conditionalFormatting sqref="N50 E50 C20:Y49 C19:T19">
    <cfRule type="cellIs" dxfId="13732" priority="579" operator="between">
      <formula>$AA$1</formula>
      <formula>$AB$1</formula>
    </cfRule>
    <cfRule type="cellIs" dxfId="13731" priority="592" operator="between">
      <formula>$AA$1</formula>
      <formula>$AB$1</formula>
    </cfRule>
  </conditionalFormatting>
  <conditionalFormatting sqref="N50 E50 C20:Y49 C19:T19">
    <cfRule type="cellIs" dxfId="13730" priority="569" operator="equal">
      <formula>"."</formula>
    </cfRule>
  </conditionalFormatting>
  <conditionalFormatting sqref="N50 E50 C20:Y49 C19:T19">
    <cfRule type="cellIs" dxfId="13729" priority="578" operator="equal">
      <formula>"."</formula>
    </cfRule>
  </conditionalFormatting>
  <conditionalFormatting sqref="C56 C20:Y49 C19:T20">
    <cfRule type="cellIs" dxfId="13728" priority="656" operator="between">
      <formula>$AA$1</formula>
      <formula>$AB$1</formula>
    </cfRule>
  </conditionalFormatting>
  <conditionalFormatting sqref="R15 L15">
    <cfRule type="cellIs" dxfId="13727" priority="653" operator="equal">
      <formula>"."</formula>
    </cfRule>
  </conditionalFormatting>
  <conditionalFormatting sqref="R15">
    <cfRule type="cellIs" dxfId="13726" priority="652" operator="between">
      <formula>$AA$1</formula>
      <formula>$AB$1</formula>
    </cfRule>
    <cfRule type="cellIs" dxfId="13725" priority="654" operator="between">
      <formula>$AA$1</formula>
      <formula>$AB$1</formula>
    </cfRule>
  </conditionalFormatting>
  <conditionalFormatting sqref="V15">
    <cfRule type="cellIs" dxfId="13724" priority="487" operator="between">
      <formula>$AA$1</formula>
      <formula>$AB$1</formula>
    </cfRule>
    <cfRule type="cellIs" dxfId="13723" priority="488" operator="equal">
      <formula>"."</formula>
    </cfRule>
    <cfRule type="cellIs" dxfId="13722" priority="489" operator="between">
      <formula>$AA$1</formula>
      <formula>$AB$1</formula>
    </cfRule>
  </conditionalFormatting>
  <conditionalFormatting sqref="V19">
    <cfRule type="cellIs" dxfId="13721" priority="495" operator="between">
      <formula>$AA$1</formula>
      <formula>$AB$1</formula>
    </cfRule>
    <cfRule type="cellIs" dxfId="13720" priority="496" operator="equal">
      <formula>"."</formula>
    </cfRule>
    <cfRule type="cellIs" dxfId="13719" priority="497" operator="between">
      <formula>$AA$1</formula>
      <formula>$AB$1</formula>
    </cfRule>
  </conditionalFormatting>
  <conditionalFormatting sqref="D50 C56 Y20:Y49">
    <cfRule type="cellIs" dxfId="13718" priority="655" operator="equal">
      <formula>"."</formula>
    </cfRule>
  </conditionalFormatting>
  <conditionalFormatting sqref="Y20:Y49">
    <cfRule type="cellIs" dxfId="13717" priority="564" operator="equal">
      <formula>"."</formula>
    </cfRule>
    <cfRule type="cellIs" dxfId="13716" priority="565" operator="between">
      <formula>$AA$1</formula>
      <formula>$AB$1</formula>
    </cfRule>
    <cfRule type="cellIs" dxfId="13715" priority="566" operator="equal">
      <formula>"."</formula>
    </cfRule>
    <cfRule type="cellIs" dxfId="13714" priority="567" operator="between">
      <formula>$AA$1</formula>
      <formula>$AB$1</formula>
    </cfRule>
    <cfRule type="cellIs" dxfId="13713" priority="591" operator="equal">
      <formula>"."</formula>
    </cfRule>
  </conditionalFormatting>
  <conditionalFormatting sqref="Z48:XFD49 A48:A49">
    <cfRule type="cellIs" dxfId="13712" priority="305" operator="equal">
      <formula>"."</formula>
    </cfRule>
  </conditionalFormatting>
  <conditionalFormatting sqref="Y19">
    <cfRule type="cellIs" dxfId="13711" priority="147" operator="equal">
      <formula>"."</formula>
    </cfRule>
  </conditionalFormatting>
  <conditionalFormatting sqref="Y19">
    <cfRule type="cellIs" dxfId="13710" priority="78" operator="between">
      <formula>$AA$1</formula>
      <formula>$AB$1</formula>
    </cfRule>
    <cfRule type="cellIs" dxfId="13709" priority="79" operator="equal">
      <formula>"."</formula>
    </cfRule>
    <cfRule type="cellIs" dxfId="13708" priority="80" operator="between">
      <formula>$AA$1</formula>
      <formula>$AB$1</formula>
    </cfRule>
    <cfRule type="cellIs" dxfId="13707" priority="81" operator="equal">
      <formula>"."</formula>
    </cfRule>
    <cfRule type="cellIs" dxfId="13706" priority="87" operator="equal">
      <formula>"."</formula>
    </cfRule>
    <cfRule type="cellIs" dxfId="13705" priority="88" operator="between">
      <formula>$AA$1</formula>
      <formula>$AB$1</formula>
    </cfRule>
    <cfRule type="cellIs" dxfId="13704" priority="89" operator="equal">
      <formula>"."</formula>
    </cfRule>
    <cfRule type="cellIs" dxfId="13703" priority="90" operator="between">
      <formula>$AA$1</formula>
      <formula>$AB$1</formula>
    </cfRule>
    <cfRule type="cellIs" dxfId="13702" priority="91" operator="equal">
      <formula>"."</formula>
    </cfRule>
    <cfRule type="cellIs" dxfId="13701" priority="92" operator="between">
      <formula>$AA$1</formula>
      <formula>$AB$1</formula>
    </cfRule>
    <cfRule type="cellIs" dxfId="13700" priority="93" operator="equal">
      <formula>"."</formula>
    </cfRule>
    <cfRule type="cellIs" dxfId="13699" priority="94" operator="between">
      <formula>$AA$1</formula>
      <formula>$AB$1</formula>
    </cfRule>
    <cfRule type="cellIs" dxfId="13698" priority="95" operator="equal">
      <formula>"."</formula>
    </cfRule>
    <cfRule type="cellIs" dxfId="13697" priority="96" operator="between">
      <formula>$AA$1</formula>
      <formula>$AB$1</formula>
    </cfRule>
    <cfRule type="cellIs" dxfId="13696" priority="97" operator="equal">
      <formula>"."</formula>
    </cfRule>
    <cfRule type="cellIs" dxfId="13695" priority="98" operator="between">
      <formula>$AA$1</formula>
      <formula>$AB$1</formula>
    </cfRule>
    <cfRule type="cellIs" dxfId="13694" priority="99" operator="equal">
      <formula>"."</formula>
    </cfRule>
    <cfRule type="cellIs" dxfId="13693" priority="100" operator="between">
      <formula>$AA$1</formula>
      <formula>$AB$1</formula>
    </cfRule>
    <cfRule type="cellIs" dxfId="13692" priority="101" operator="equal">
      <formula>"."</formula>
    </cfRule>
    <cfRule type="cellIs" dxfId="13691" priority="102" operator="between">
      <formula>$AA$1</formula>
      <formula>$AB$1</formula>
    </cfRule>
    <cfRule type="cellIs" dxfId="13690" priority="103" operator="equal">
      <formula>"."</formula>
    </cfRule>
    <cfRule type="cellIs" dxfId="13689" priority="104" operator="between">
      <formula>$AA$1</formula>
      <formula>$AB$1</formula>
    </cfRule>
    <cfRule type="cellIs" dxfId="13688" priority="105" operator="equal">
      <formula>"."</formula>
    </cfRule>
    <cfRule type="cellIs" dxfId="13687" priority="106" operator="between">
      <formula>$AA$1</formula>
      <formula>$AB$1</formula>
    </cfRule>
    <cfRule type="cellIs" dxfId="13686" priority="107" operator="equal">
      <formula>"."</formula>
    </cfRule>
    <cfRule type="cellIs" dxfId="13685" priority="108" operator="between">
      <formula>$AA$1</formula>
      <formula>$AB$1</formula>
    </cfRule>
    <cfRule type="cellIs" dxfId="13684" priority="109" operator="equal">
      <formula>"."</formula>
    </cfRule>
    <cfRule type="cellIs" dxfId="13683" priority="110" operator="between">
      <formula>$AA$1</formula>
      <formula>$AB$1</formula>
    </cfRule>
    <cfRule type="cellIs" dxfId="13682" priority="111" operator="equal">
      <formula>"."</formula>
    </cfRule>
    <cfRule type="cellIs" dxfId="13681" priority="112" operator="between">
      <formula>$AA$1</formula>
      <formula>$AB$1</formula>
    </cfRule>
    <cfRule type="cellIs" dxfId="13680" priority="113" operator="equal">
      <formula>"."</formula>
    </cfRule>
    <cfRule type="cellIs" dxfId="13679" priority="114" operator="between">
      <formula>$AA$1</formula>
      <formula>$AB$1</formula>
    </cfRule>
    <cfRule type="cellIs" dxfId="13678" priority="115" operator="equal">
      <formula>"."</formula>
    </cfRule>
    <cfRule type="cellIs" dxfId="13677" priority="116" operator="between">
      <formula>$AA$1</formula>
      <formula>$AB$1</formula>
    </cfRule>
    <cfRule type="cellIs" dxfId="13676" priority="117" operator="equal">
      <formula>"."</formula>
    </cfRule>
    <cfRule type="cellIs" dxfId="13675" priority="118" operator="between">
      <formula>$AA$1</formula>
      <formula>$AB$1</formula>
    </cfRule>
    <cfRule type="cellIs" dxfId="13674" priority="119" operator="equal">
      <formula>"."</formula>
    </cfRule>
    <cfRule type="cellIs" dxfId="13673" priority="120" operator="between">
      <formula>$AA$1</formula>
      <formula>$AB$1</formula>
    </cfRule>
    <cfRule type="cellIs" dxfId="13672" priority="121" operator="equal">
      <formula>"."</formula>
    </cfRule>
    <cfRule type="cellIs" dxfId="13671" priority="122" operator="between">
      <formula>$AA$1</formula>
      <formula>$AB$1</formula>
    </cfRule>
    <cfRule type="cellIs" dxfId="13670" priority="123" operator="equal">
      <formula>"."</formula>
    </cfRule>
    <cfRule type="cellIs" dxfId="13669" priority="124" operator="between">
      <formula>$AA$1</formula>
      <formula>$AB$1</formula>
    </cfRule>
    <cfRule type="cellIs" dxfId="13668" priority="125" operator="equal">
      <formula>"."</formula>
    </cfRule>
    <cfRule type="cellIs" dxfId="13667" priority="126" operator="between">
      <formula>$AA$1</formula>
      <formula>$AB$1</formula>
    </cfRule>
    <cfRule type="cellIs" dxfId="13666" priority="127" operator="equal">
      <formula>"."</formula>
    </cfRule>
    <cfRule type="cellIs" dxfId="13665" priority="128" operator="between">
      <formula>$AA$1</formula>
      <formula>$AB$1</formula>
    </cfRule>
    <cfRule type="cellIs" dxfId="13664" priority="129" operator="equal">
      <formula>"."</formula>
    </cfRule>
    <cfRule type="cellIs" dxfId="13663" priority="130" operator="between">
      <formula>$AA$1</formula>
      <formula>$AB$1</formula>
    </cfRule>
    <cfRule type="cellIs" dxfId="13662" priority="131" operator="equal">
      <formula>"."</formula>
    </cfRule>
    <cfRule type="cellIs" dxfId="13661" priority="132" operator="between">
      <formula>$AA$1</formula>
      <formula>$AB$1</formula>
    </cfRule>
    <cfRule type="cellIs" dxfId="13660" priority="133" operator="equal">
      <formula>"."</formula>
    </cfRule>
    <cfRule type="cellIs" dxfId="13659" priority="134" operator="between">
      <formula>$AA$1</formula>
      <formula>$AB$1</formula>
    </cfRule>
    <cfRule type="cellIs" dxfId="13658" priority="135" operator="equal">
      <formula>"."</formula>
    </cfRule>
    <cfRule type="cellIs" dxfId="13657" priority="136" operator="between">
      <formula>$AA$1</formula>
      <formula>$AB$1</formula>
    </cfRule>
    <cfRule type="cellIs" dxfId="13656" priority="137" operator="equal">
      <formula>"."</formula>
    </cfRule>
    <cfRule type="cellIs" dxfId="13655" priority="138" operator="between">
      <formula>$AA$1</formula>
      <formula>$AB$1</formula>
    </cfRule>
    <cfRule type="cellIs" dxfId="13654" priority="139" operator="equal">
      <formula>"."</formula>
    </cfRule>
    <cfRule type="cellIs" dxfId="13653" priority="140" operator="between">
      <formula>$AA$1</formula>
      <formula>$AB$1</formula>
    </cfRule>
    <cfRule type="cellIs" dxfId="13652" priority="141" operator="equal">
      <formula>"."</formula>
    </cfRule>
    <cfRule type="cellIs" dxfId="13651" priority="142" operator="between">
      <formula>$AA$1</formula>
      <formula>$AB$1</formula>
    </cfRule>
    <cfRule type="cellIs" dxfId="13650" priority="143" operator="equal">
      <formula>"."</formula>
    </cfRule>
    <cfRule type="cellIs" dxfId="13649" priority="144" operator="between">
      <formula>$AA$1</formula>
      <formula>$AB$1</formula>
    </cfRule>
    <cfRule type="cellIs" dxfId="13648" priority="145" operator="equal">
      <formula>"."</formula>
    </cfRule>
    <cfRule type="cellIs" dxfId="13647" priority="146" operator="between">
      <formula>$AA$1</formula>
      <formula>$AB$1</formula>
    </cfRule>
    <cfRule type="cellIs" dxfId="13646" priority="148" operator="between">
      <formula>$AA$1</formula>
      <formula>$AB$1</formula>
    </cfRule>
  </conditionalFormatting>
  <conditionalFormatting sqref="Y19">
    <cfRule type="cellIs" dxfId="13645" priority="77" operator="equal">
      <formula>"."</formula>
    </cfRule>
    <cfRule type="cellIs" dxfId="13644" priority="86" operator="between">
      <formula>$AA$1</formula>
      <formula>$AB$1</formula>
    </cfRule>
  </conditionalFormatting>
  <conditionalFormatting sqref="Y19">
    <cfRule type="cellIs" dxfId="13643" priority="149" operator="equal">
      <formula>"."</formula>
    </cfRule>
    <cfRule type="cellIs" dxfId="13642" priority="150" operator="between">
      <formula>$AA$1</formula>
      <formula>$AB$1</formula>
    </cfRule>
  </conditionalFormatting>
  <conditionalFormatting sqref="Y19">
    <cfRule type="cellIs" dxfId="13641" priority="85" operator="equal">
      <formula>"."</formula>
    </cfRule>
  </conditionalFormatting>
  <conditionalFormatting sqref="Y19">
    <cfRule type="cellIs" dxfId="13640" priority="82" operator="between">
      <formula>$AA$1</formula>
      <formula>$AB$1</formula>
    </cfRule>
    <cfRule type="cellIs" dxfId="13639" priority="83" operator="equal">
      <formula>"."</formula>
    </cfRule>
    <cfRule type="cellIs" dxfId="13638" priority="84" operator="between">
      <formula>$AA$1</formula>
      <formula>$AB$1</formula>
    </cfRule>
  </conditionalFormatting>
  <conditionalFormatting sqref="E19">
    <cfRule type="cellIs" dxfId="13637" priority="76" operator="equal">
      <formula>"."</formula>
    </cfRule>
  </conditionalFormatting>
  <conditionalFormatting sqref="E19">
    <cfRule type="cellIs" dxfId="13636" priority="75" operator="equal">
      <formula>"."</formula>
    </cfRule>
  </conditionalFormatting>
  <conditionalFormatting sqref="N19">
    <cfRule type="cellIs" dxfId="13635" priority="74" operator="equal">
      <formula>"."</formula>
    </cfRule>
  </conditionalFormatting>
  <conditionalFormatting sqref="N19">
    <cfRule type="cellIs" dxfId="13634" priority="73" operator="equal">
      <formula>"."</formula>
    </cfRule>
  </conditionalFormatting>
  <conditionalFormatting sqref="C4:Y14">
    <cfRule type="cellIs" dxfId="13633" priority="70" operator="between">
      <formula>$AA$1</formula>
      <formula>$AB$1</formula>
    </cfRule>
  </conditionalFormatting>
  <conditionalFormatting sqref="C4:Y14">
    <cfRule type="cellIs" dxfId="13632" priority="71" operator="equal">
      <formula>"."</formula>
    </cfRule>
  </conditionalFormatting>
  <conditionalFormatting sqref="C4:Y14">
    <cfRule type="cellIs" dxfId="13631" priority="72" operator="between">
      <formula>$AA$1</formula>
      <formula>$AB$1</formula>
    </cfRule>
  </conditionalFormatting>
  <conditionalFormatting sqref="C4:Y14">
    <cfRule type="cellIs" dxfId="13630" priority="64" operator="equal">
      <formula>"."</formula>
    </cfRule>
  </conditionalFormatting>
  <conditionalFormatting sqref="C4:Y14">
    <cfRule type="cellIs" dxfId="13629" priority="46" operator="equal">
      <formula>"."</formula>
    </cfRule>
    <cfRule type="cellIs" dxfId="13628" priority="47" operator="between">
      <formula>$AA$1</formula>
      <formula>$AB$1</formula>
    </cfRule>
    <cfRule type="cellIs" dxfId="13627" priority="48" operator="equal">
      <formula>"."</formula>
    </cfRule>
    <cfRule type="cellIs" dxfId="13626" priority="49" operator="between">
      <formula>$AA$1</formula>
      <formula>$AB$1</formula>
    </cfRule>
  </conditionalFormatting>
  <conditionalFormatting sqref="C4:Y14">
    <cfRule type="cellIs" dxfId="13625" priority="50" operator="equal">
      <formula>"."</formula>
    </cfRule>
  </conditionalFormatting>
  <conditionalFormatting sqref="C4:Y14">
    <cfRule type="cellIs" dxfId="13624" priority="4" operator="between">
      <formula>$AA$1</formula>
      <formula>$AB$1</formula>
    </cfRule>
    <cfRule type="cellIs" dxfId="13623" priority="5" operator="equal">
      <formula>"."</formula>
    </cfRule>
    <cfRule type="cellIs" dxfId="13622" priority="8" operator="equal">
      <formula>"."</formula>
    </cfRule>
    <cfRule type="cellIs" dxfId="13621" priority="9" operator="between">
      <formula>$AA$1</formula>
      <formula>$AB$1</formula>
    </cfRule>
    <cfRule type="cellIs" dxfId="13620" priority="10" operator="equal">
      <formula>"."</formula>
    </cfRule>
    <cfRule type="cellIs" dxfId="13619" priority="11" operator="between">
      <formula>$AA$1</formula>
      <formula>$AB$1</formula>
    </cfRule>
    <cfRule type="cellIs" dxfId="13618" priority="12" operator="equal">
      <formula>"."</formula>
    </cfRule>
    <cfRule type="cellIs" dxfId="13617" priority="13" operator="between">
      <formula>$AA$1</formula>
      <formula>$AB$1</formula>
    </cfRule>
    <cfRule type="cellIs" dxfId="13616" priority="14" operator="equal">
      <formula>"."</formula>
    </cfRule>
    <cfRule type="cellIs" dxfId="13615" priority="15" operator="between">
      <formula>$AA$1</formula>
      <formula>$AB$1</formula>
    </cfRule>
    <cfRule type="cellIs" dxfId="13614" priority="16" operator="equal">
      <formula>"."</formula>
    </cfRule>
    <cfRule type="cellIs" dxfId="13613" priority="17" operator="between">
      <formula>$AA$1</formula>
      <formula>$AB$1</formula>
    </cfRule>
    <cfRule type="cellIs" dxfId="13612" priority="20" operator="equal">
      <formula>"."</formula>
    </cfRule>
    <cfRule type="cellIs" dxfId="13611" priority="21" operator="between">
      <formula>$AA$1</formula>
      <formula>$AB$1</formula>
    </cfRule>
    <cfRule type="cellIs" dxfId="13610" priority="22" operator="equal">
      <formula>"."</formula>
    </cfRule>
    <cfRule type="cellIs" dxfId="13609" priority="23" operator="between">
      <formula>$AA$1</formula>
      <formula>$AB$1</formula>
    </cfRule>
    <cfRule type="cellIs" dxfId="13608" priority="24" operator="equal">
      <formula>"."</formula>
    </cfRule>
    <cfRule type="cellIs" dxfId="13607" priority="25" operator="between">
      <formula>$AA$1</formula>
      <formula>$AB$1</formula>
    </cfRule>
    <cfRule type="cellIs" dxfId="13606" priority="26" operator="equal">
      <formula>"."</formula>
    </cfRule>
    <cfRule type="cellIs" dxfId="13605" priority="27" operator="between">
      <formula>$AA$1</formula>
      <formula>$AB$1</formula>
    </cfRule>
    <cfRule type="cellIs" dxfId="13604" priority="28" operator="equal">
      <formula>"."</formula>
    </cfRule>
    <cfRule type="cellIs" dxfId="13603" priority="29" operator="between">
      <formula>$AA$1</formula>
      <formula>$AB$1</formula>
    </cfRule>
    <cfRule type="cellIs" dxfId="13602" priority="30" operator="equal">
      <formula>"."</formula>
    </cfRule>
    <cfRule type="cellIs" dxfId="13601" priority="31" operator="between">
      <formula>$AA$1</formula>
      <formula>$AB$1</formula>
    </cfRule>
    <cfRule type="cellIs" dxfId="13600" priority="32" operator="equal">
      <formula>"."</formula>
    </cfRule>
    <cfRule type="cellIs" dxfId="13599" priority="33" operator="between">
      <formula>$AA$1</formula>
      <formula>$AB$1</formula>
    </cfRule>
    <cfRule type="cellIs" dxfId="13598" priority="34" operator="equal">
      <formula>"."</formula>
    </cfRule>
    <cfRule type="cellIs" dxfId="13597" priority="35" operator="between">
      <formula>$AA$1</formula>
      <formula>$AB$1</formula>
    </cfRule>
    <cfRule type="cellIs" dxfId="13596" priority="36" operator="equal">
      <formula>"."</formula>
    </cfRule>
    <cfRule type="cellIs" dxfId="13595" priority="37" operator="between">
      <formula>$AA$1</formula>
      <formula>$AB$1</formula>
    </cfRule>
    <cfRule type="cellIs" dxfId="13594" priority="38" operator="equal">
      <formula>"."</formula>
    </cfRule>
    <cfRule type="cellIs" dxfId="13593" priority="39" operator="between">
      <formula>$AA$1</formula>
      <formula>$AB$1</formula>
    </cfRule>
    <cfRule type="cellIs" dxfId="13592" priority="40" operator="equal">
      <formula>"."</formula>
    </cfRule>
    <cfRule type="cellIs" dxfId="13591" priority="41" operator="between">
      <formula>$AA$1</formula>
      <formula>$AB$1</formula>
    </cfRule>
    <cfRule type="cellIs" dxfId="13590" priority="42" operator="equal">
      <formula>"."</formula>
    </cfRule>
    <cfRule type="cellIs" dxfId="13589" priority="43" operator="between">
      <formula>$AA$1</formula>
      <formula>$AB$1</formula>
    </cfRule>
    <cfRule type="cellIs" dxfId="13588" priority="44" operator="equal">
      <formula>"."</formula>
    </cfRule>
    <cfRule type="cellIs" dxfId="13587" priority="45" operator="between">
      <formula>$AA$1</formula>
      <formula>$AB$1</formula>
    </cfRule>
    <cfRule type="cellIs" dxfId="13586" priority="51" operator="between">
      <formula>$AA$1</formula>
      <formula>$AB$1</formula>
    </cfRule>
    <cfRule type="cellIs" dxfId="13585" priority="52" operator="equal">
      <formula>"."</formula>
    </cfRule>
    <cfRule type="cellIs" dxfId="13584" priority="53" operator="between">
      <formula>$AA$1</formula>
      <formula>$AB$1</formula>
    </cfRule>
    <cfRule type="cellIs" dxfId="13583" priority="54" operator="equal">
      <formula>"."</formula>
    </cfRule>
    <cfRule type="cellIs" dxfId="13582" priority="55" operator="between">
      <formula>$AA$1</formula>
      <formula>$AB$1</formula>
    </cfRule>
    <cfRule type="cellIs" dxfId="13581" priority="56" operator="equal">
      <formula>"."</formula>
    </cfRule>
    <cfRule type="cellIs" dxfId="13580" priority="57" operator="between">
      <formula>$AA$1</formula>
      <formula>$AB$1</formula>
    </cfRule>
    <cfRule type="cellIs" dxfId="13579" priority="58" operator="equal">
      <formula>"."</formula>
    </cfRule>
    <cfRule type="cellIs" dxfId="13578" priority="59" operator="between">
      <formula>$AA$1</formula>
      <formula>$AB$1</formula>
    </cfRule>
    <cfRule type="cellIs" dxfId="13577" priority="60" operator="equal">
      <formula>"."</formula>
    </cfRule>
    <cfRule type="cellIs" dxfId="13576" priority="61" operator="between">
      <formula>$AA$1</formula>
      <formula>$AB$1</formula>
    </cfRule>
    <cfRule type="cellIs" dxfId="13575" priority="62" operator="equal">
      <formula>"."</formula>
    </cfRule>
    <cfRule type="cellIs" dxfId="13574" priority="63" operator="between">
      <formula>$AA$1</formula>
      <formula>$AB$1</formula>
    </cfRule>
    <cfRule type="cellIs" dxfId="13573" priority="65" operator="between">
      <formula>$AA$1</formula>
      <formula>$AB$1</formula>
    </cfRule>
    <cfRule type="cellIs" dxfId="13572" priority="66" operator="equal">
      <formula>"."</formula>
    </cfRule>
    <cfRule type="cellIs" dxfId="13571" priority="67" operator="between">
      <formula>$AA$1</formula>
      <formula>$AB$1</formula>
    </cfRule>
  </conditionalFormatting>
  <conditionalFormatting sqref="C4:Y14">
    <cfRule type="cellIs" dxfId="13570" priority="3" operator="equal">
      <formula>"."</formula>
    </cfRule>
  </conditionalFormatting>
  <conditionalFormatting sqref="C4:Y14">
    <cfRule type="cellIs" dxfId="13569" priority="2" operator="between">
      <formula>$AA$1</formula>
      <formula>$AB$1</formula>
    </cfRule>
  </conditionalFormatting>
  <conditionalFormatting sqref="C4:Y14">
    <cfRule type="cellIs" dxfId="13568" priority="68" operator="equal">
      <formula>"."</formula>
    </cfRule>
  </conditionalFormatting>
  <conditionalFormatting sqref="C4:Y14">
    <cfRule type="cellIs" dxfId="13567" priority="18" operator="equal">
      <formula>"."</formula>
    </cfRule>
  </conditionalFormatting>
  <conditionalFormatting sqref="C4:Y14">
    <cfRule type="cellIs" dxfId="13566" priority="7" operator="between">
      <formula>$AA$1</formula>
      <formula>$AB$1</formula>
    </cfRule>
    <cfRule type="cellIs" dxfId="13565" priority="19" operator="between">
      <formula>$AA$1</formula>
      <formula>$AB$1</formula>
    </cfRule>
  </conditionalFormatting>
  <conditionalFormatting sqref="C4:Y14">
    <cfRule type="cellIs" dxfId="13564" priority="1" operator="equal">
      <formula>"."</formula>
    </cfRule>
  </conditionalFormatting>
  <conditionalFormatting sqref="C4:Y14">
    <cfRule type="cellIs" dxfId="13563" priority="6" operator="equal">
      <formula>"."</formula>
    </cfRule>
  </conditionalFormatting>
  <conditionalFormatting sqref="C4:Y14">
    <cfRule type="cellIs" dxfId="13562" priority="69" operator="between">
      <formula>$AA$1</formula>
      <formula>$AB$1</formula>
    </cfRule>
  </conditionalFormatting>
  <printOptions horizontalCentered="1" verticalCentered="1"/>
  <pageMargins left="0" right="0" top="0" bottom="0" header="0" footer="0"/>
  <pageSetup paperSize="9" scale="3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F185"/>
  <sheetViews>
    <sheetView zoomScale="18" zoomScaleNormal="18" zoomScaleSheetLayoutView="10" workbookViewId="0">
      <pane xSplit="11" ySplit="5" topLeftCell="X63" activePane="bottomRight" state="frozen"/>
      <selection pane="topRight" activeCell="L1" sqref="L1"/>
      <selection pane="bottomLeft" activeCell="A6" sqref="A6"/>
      <selection pane="bottomRight" activeCell="AV35" sqref="AV35:BE35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3" width="27.7109375" style="91" customWidth="1"/>
    <col min="24" max="24" width="27.5703125" style="91" customWidth="1"/>
    <col min="25" max="25" width="32" style="91" customWidth="1"/>
    <col min="26" max="26" width="40.7109375" style="91" customWidth="1"/>
    <col min="27" max="27" width="40" style="91" customWidth="1"/>
    <col min="28" max="28" width="41.42578125" style="91" hidden="1" customWidth="1"/>
    <col min="29" max="29" width="30.28515625" style="91" customWidth="1"/>
    <col min="30" max="30" width="30.140625" style="95" customWidth="1"/>
    <col min="31" max="32" width="27.42578125" style="155" hidden="1" customWidth="1"/>
    <col min="33" max="33" width="32.42578125" style="98" hidden="1" customWidth="1"/>
    <col min="34" max="34" width="36" style="98" hidden="1" customWidth="1"/>
    <col min="35" max="35" width="35.42578125" style="98" hidden="1" customWidth="1"/>
    <col min="36" max="36" width="27.7109375" style="183" hidden="1" customWidth="1"/>
    <col min="37" max="37" width="37.7109375" style="91" hidden="1" customWidth="1"/>
    <col min="38" max="38" width="29" style="91" hidden="1" customWidth="1"/>
    <col min="39" max="39" width="30.28515625" style="91" hidden="1" customWidth="1"/>
    <col min="40" max="41" width="9.140625" style="91" customWidth="1"/>
    <col min="42" max="42" width="37.7109375" style="91" customWidth="1"/>
    <col min="43" max="43" width="25" style="434" hidden="1" customWidth="1"/>
    <col min="44" max="44" width="64.7109375" style="91" hidden="1" customWidth="1"/>
    <col min="45" max="45" width="34" style="91" hidden="1" customWidth="1"/>
    <col min="46" max="46" width="20.42578125" style="91" hidden="1" customWidth="1"/>
    <col min="47" max="47" width="36.140625" style="91" hidden="1" customWidth="1"/>
    <col min="48" max="48" width="64" style="91" customWidth="1"/>
    <col min="49" max="56" width="20.42578125" style="91" customWidth="1"/>
    <col min="57" max="95" width="9.140625" style="91" customWidth="1"/>
    <col min="96" max="16384" width="11.42578125" style="91"/>
  </cols>
  <sheetData>
    <row r="1" spans="2:57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91" t="s">
        <v>357</v>
      </c>
      <c r="AC1" s="519" t="s">
        <v>182</v>
      </c>
      <c r="AD1" s="519"/>
      <c r="AS1" s="91" t="s">
        <v>182</v>
      </c>
    </row>
    <row r="2" spans="2:57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390"/>
      <c r="Z2" s="437"/>
      <c r="AA2" s="390"/>
      <c r="AB2" s="96"/>
      <c r="AC2" s="520">
        <f>+AH2/AG2</f>
        <v>0.72612576570452914</v>
      </c>
      <c r="AD2" s="520"/>
      <c r="AG2" s="183">
        <f>+SUBTOTAL(9,AG6:AG107)</f>
        <v>308947.5</v>
      </c>
      <c r="AH2" s="183">
        <f>+SUBTOTAL(9,AH6:AH107)</f>
        <v>224334.74000000002</v>
      </c>
      <c r="AS2" s="91">
        <v>0.59793648334624327</v>
      </c>
    </row>
    <row r="3" spans="2:57" ht="94.5" customHeight="1" x14ac:dyDescent="0.9">
      <c r="B3" s="461"/>
      <c r="C3" s="461"/>
      <c r="D3" s="461"/>
      <c r="E3" s="461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Y3" s="394"/>
      <c r="Z3" s="395" t="s">
        <v>17</v>
      </c>
      <c r="AA3" s="461"/>
      <c r="AB3" s="96"/>
      <c r="AC3" s="520"/>
      <c r="AD3" s="520"/>
      <c r="AG3" s="183"/>
      <c r="AH3" s="183"/>
      <c r="AP3" s="440">
        <v>8.75</v>
      </c>
    </row>
    <row r="4" spans="2:57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Z4" s="170">
        <f>+SUMIF($L$6:$L$90,Z3,$Z$6:$Z$90)</f>
        <v>5002</v>
      </c>
      <c r="AA4" s="144" t="s">
        <v>28</v>
      </c>
      <c r="AB4" s="145"/>
      <c r="AC4" s="524" t="str">
        <f ca="1">RIGHT(CELL("filename",A1),LEN(CELL("filename",A1))-FIND("]",CELL("filename",A1)))</f>
        <v>02-01-2026</v>
      </c>
      <c r="AD4" s="524"/>
      <c r="AE4" s="397">
        <f>+SUM(AE6:AE95)</f>
        <v>5149.125</v>
      </c>
      <c r="AF4" s="397"/>
      <c r="AG4" s="98"/>
      <c r="AH4" s="98"/>
      <c r="AI4" s="398">
        <v>8.25</v>
      </c>
      <c r="AP4" s="437">
        <f>+SUBTOTAL(9,AP6:AP91)</f>
        <v>-117.375</v>
      </c>
      <c r="AQ4" s="243"/>
      <c r="AS4" s="399">
        <v>46014</v>
      </c>
      <c r="AV4" s="441"/>
    </row>
    <row r="5" spans="2:57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163" t="s">
        <v>109</v>
      </c>
      <c r="Z5" s="150" t="s">
        <v>13</v>
      </c>
      <c r="AA5" s="150" t="s">
        <v>14</v>
      </c>
      <c r="AB5" s="153"/>
      <c r="AC5" s="153" t="s">
        <v>15</v>
      </c>
      <c r="AD5" s="154" t="s">
        <v>417</v>
      </c>
      <c r="AE5" s="156"/>
      <c r="AF5" s="156"/>
      <c r="AJ5" s="394"/>
      <c r="AK5" s="403"/>
      <c r="AP5" s="404" t="s">
        <v>415</v>
      </c>
      <c r="AQ5" s="243"/>
      <c r="AS5" s="232" t="s">
        <v>15</v>
      </c>
    </row>
    <row r="6" spans="2:57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439" t="str">
        <f>+G7</f>
        <v>NEGRONI-202942</v>
      </c>
      <c r="H6" s="106"/>
      <c r="I6" s="106"/>
      <c r="J6" s="107" t="s">
        <v>20</v>
      </c>
      <c r="K6" s="108" t="s">
        <v>23</v>
      </c>
      <c r="L6" s="100" t="s">
        <v>21</v>
      </c>
      <c r="M6" s="448">
        <v>100</v>
      </c>
      <c r="N6" s="448">
        <v>100</v>
      </c>
      <c r="O6" s="448">
        <v>100</v>
      </c>
      <c r="P6" s="448"/>
      <c r="Q6" s="448"/>
      <c r="R6" s="448"/>
      <c r="S6" s="448"/>
      <c r="T6" s="448"/>
      <c r="U6" s="448"/>
      <c r="V6" s="448"/>
      <c r="W6" s="448"/>
      <c r="X6" s="447">
        <f>IF(AP7="","",SUM(M6:W6)-(-(AP7-SUM(M6:W6))/$AP$3)*SUM($M$2:$W$2))</f>
        <v>300</v>
      </c>
      <c r="Y6" s="533">
        <f>+X8</f>
        <v>0</v>
      </c>
      <c r="Z6" s="450">
        <f t="shared" ref="Z6:Z75" si="0">+SUM(L6:W6)</f>
        <v>300</v>
      </c>
      <c r="AA6" s="343">
        <f>+AB6+Z6</f>
        <v>6024</v>
      </c>
      <c r="AB6" s="343">
        <v>5724</v>
      </c>
      <c r="AC6" s="344"/>
      <c r="AD6" s="345"/>
      <c r="AE6" s="346"/>
      <c r="AF6" s="347">
        <f t="shared" ref="AF6:AF81" si="1">TRUNC(AE6)+(AE6-TRUNC(AE6))*60/100</f>
        <v>0</v>
      </c>
      <c r="AG6" s="341">
        <f t="shared" ref="AG6:AG81" si="2">+AE6*60</f>
        <v>0</v>
      </c>
      <c r="AH6" s="341"/>
      <c r="AI6" s="341"/>
      <c r="AJ6" s="348"/>
      <c r="AK6" s="349"/>
      <c r="AL6" s="341"/>
      <c r="AM6" s="341"/>
      <c r="AN6" s="341"/>
      <c r="AO6" s="341"/>
      <c r="AP6" s="350"/>
      <c r="AQ6" s="434"/>
      <c r="AS6" s="390"/>
      <c r="AU6" s="390"/>
    </row>
    <row r="7" spans="2:57" s="98" customFormat="1" ht="62.25" customHeight="1" x14ac:dyDescent="1.35">
      <c r="B7" s="351">
        <v>1</v>
      </c>
      <c r="C7" s="406">
        <f>+B7</f>
        <v>1</v>
      </c>
      <c r="D7" s="407" t="s">
        <v>427</v>
      </c>
      <c r="E7" s="111"/>
      <c r="F7" s="111" t="s">
        <v>428</v>
      </c>
      <c r="G7" s="106" t="s">
        <v>429</v>
      </c>
      <c r="H7" s="111"/>
      <c r="I7" s="111" t="s">
        <v>430</v>
      </c>
      <c r="J7" s="113">
        <v>48.06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15</v>
      </c>
      <c r="V7" s="214"/>
      <c r="W7" s="214"/>
      <c r="X7" s="123">
        <f>+IF(H8="s",0,IF(Z7=0,0,IF(COUNTA(M7:W7)=AJ9+0.75,SUMIF($C:$C,B7,$Z:$Z)/AJ9,SUMIF($C:$C,B7,$Z:$Z)/(COUNTA(M7:W7)))))</f>
        <v>60</v>
      </c>
      <c r="Y7" s="534"/>
      <c r="Z7" s="134">
        <f t="shared" si="0"/>
        <v>495</v>
      </c>
      <c r="AA7" s="354">
        <f>+Z7+AB7</f>
        <v>5633</v>
      </c>
      <c r="AB7" s="354">
        <v>5138</v>
      </c>
      <c r="AC7" s="355">
        <f>+AA6-AA7</f>
        <v>391</v>
      </c>
      <c r="AD7" s="131">
        <f>+IF(((Z8+(Z9/2))*60)=0,"",(J7*Z7)/((Z8+(Z9/2))*60))</f>
        <v>0.87381818181818183</v>
      </c>
      <c r="AE7" s="347">
        <f>+Z8+Z9/2</f>
        <v>453.75</v>
      </c>
      <c r="AF7" s="347">
        <f t="shared" si="1"/>
        <v>453.45</v>
      </c>
      <c r="AG7" s="341">
        <f t="shared" si="2"/>
        <v>27225</v>
      </c>
      <c r="AH7" s="341">
        <f>+Z7*J7</f>
        <v>23789.7</v>
      </c>
      <c r="AI7" s="356">
        <f>+Z7-(AE7*K7/K9)</f>
        <v>0</v>
      </c>
      <c r="AJ7" s="348"/>
      <c r="AK7" s="349"/>
      <c r="AL7" s="341"/>
      <c r="AM7" s="341"/>
      <c r="AN7" s="341"/>
      <c r="AO7" s="341"/>
      <c r="AP7" s="339">
        <f>-300+Z6</f>
        <v>0</v>
      </c>
      <c r="AQ7" s="434">
        <v>1.5</v>
      </c>
      <c r="AS7" s="390">
        <v>586</v>
      </c>
      <c r="AU7" s="390">
        <f>+AS7-AC7</f>
        <v>195</v>
      </c>
      <c r="AV7" s="535"/>
      <c r="AW7" s="535"/>
      <c r="AX7" s="535"/>
      <c r="AY7" s="535"/>
      <c r="AZ7" s="535"/>
      <c r="BA7" s="535"/>
      <c r="BB7" s="535"/>
      <c r="BC7" s="535"/>
      <c r="BD7" s="535"/>
      <c r="BE7" s="535"/>
    </row>
    <row r="8" spans="2:57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113">
        <f>+IFERROR(IF(K9=0,0,IF((LOOKUP(2,1/(M8:W8&lt;&gt;""),M8:W8)-K9)&lt;0,0,IF(K9=0,"",LOOKUP(2,1/(M8:W8&lt;&gt;""),M8:W8)-K9))),0)</f>
        <v>0</v>
      </c>
      <c r="H8" s="411"/>
      <c r="I8" s="113"/>
      <c r="J8" s="113">
        <v>1</v>
      </c>
      <c r="K8" s="114" t="s">
        <v>22</v>
      </c>
      <c r="L8" s="102" t="s">
        <v>18</v>
      </c>
      <c r="M8" s="448">
        <v>55</v>
      </c>
      <c r="N8" s="448">
        <v>55</v>
      </c>
      <c r="O8" s="448">
        <v>55</v>
      </c>
      <c r="P8" s="448">
        <v>55</v>
      </c>
      <c r="Q8" s="448">
        <v>55</v>
      </c>
      <c r="R8" s="448">
        <v>55</v>
      </c>
      <c r="S8" s="448">
        <v>55</v>
      </c>
      <c r="T8" s="448">
        <v>55</v>
      </c>
      <c r="U8" s="448">
        <v>55</v>
      </c>
      <c r="V8" s="448"/>
      <c r="W8" s="448"/>
      <c r="X8" s="160">
        <f>+IF(H8="l",IF(COUNTA(M7:W7)=AJ9+0.75,Z7-K7*AJ9,Z7-(K7*COUNTA(M7:W7))),IF(H8="s",0,IF(COUNTA(M7:W7)=AJ9+0.75,SUMIF($C:$C,B7,$Z:$Z)-K7*AJ9,SUMIF($C:$C,B7,$Z:$Z)-K7*COUNTA(M7:W7))))</f>
        <v>0</v>
      </c>
      <c r="Y8" s="534"/>
      <c r="Z8" s="462">
        <f>+SUM(M8:W8)-U8*0.75</f>
        <v>453.75</v>
      </c>
      <c r="AA8" s="360"/>
      <c r="AB8" s="360"/>
      <c r="AC8" s="362"/>
      <c r="AD8" s="363"/>
      <c r="AE8" s="346"/>
      <c r="AF8" s="347">
        <f t="shared" si="1"/>
        <v>0</v>
      </c>
      <c r="AG8" s="341">
        <f t="shared" si="2"/>
        <v>0</v>
      </c>
      <c r="AH8" s="341"/>
      <c r="AI8" s="341"/>
      <c r="AJ8" s="348"/>
      <c r="AK8" s="349">
        <f>+IF(AJ9=7.75,SUM(M8:S8)+T8*0.75,IF(AJ9=8,SUM(M8:T8),IF(AJ9=7.25,SUM(M8:S8)+T8*0.25,IF(AJ9=8.25,SUM(M8:T8)+U8*0.25,IF(AJ9=8.75,SUM(M8:T8)+U8*0.75,0)))))</f>
        <v>453.75</v>
      </c>
      <c r="AL8" s="341">
        <f>+AK8-Z8</f>
        <v>0</v>
      </c>
      <c r="AM8" s="341"/>
      <c r="AN8" s="341"/>
      <c r="AO8" s="341"/>
      <c r="AP8" s="438"/>
      <c r="AQ8" s="434"/>
      <c r="AS8" s="390"/>
      <c r="AU8" s="390"/>
    </row>
    <row r="9" spans="2:57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444">
        <f>+SUMPRODUCT((M8:W8&lt;&gt;"")*(M8:W8&lt;&gt;0)*(M8:W8-K9))</f>
        <v>0</v>
      </c>
      <c r="H9" s="117"/>
      <c r="I9" s="442"/>
      <c r="J9" s="165">
        <f>+IF(K9="","",IF(K7=0,"",(K7*J7)/(K9*60)))</f>
        <v>0.87381818181818194</v>
      </c>
      <c r="K9" s="118">
        <v>55</v>
      </c>
      <c r="L9" s="104" t="s">
        <v>19</v>
      </c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451"/>
      <c r="Y9" s="365">
        <v>36.08</v>
      </c>
      <c r="Z9" s="463">
        <f>+SUM(M9:W9)-U9*0.75</f>
        <v>0</v>
      </c>
      <c r="AA9" s="367"/>
      <c r="AB9" s="367"/>
      <c r="AC9" s="368">
        <f>+IFERROR(AC7/(K7*$AP$3),"")</f>
        <v>0.74476190476190474</v>
      </c>
      <c r="AD9" s="369"/>
      <c r="AE9" s="347"/>
      <c r="AF9" s="347">
        <f t="shared" si="1"/>
        <v>0</v>
      </c>
      <c r="AG9" s="341">
        <f t="shared" si="2"/>
        <v>0</v>
      </c>
      <c r="AH9" s="341"/>
      <c r="AI9" s="356"/>
      <c r="AJ9" s="370">
        <f>+$AI$4</f>
        <v>8.25</v>
      </c>
      <c r="AK9" s="349">
        <f>+IF(AJ9=7.75,SUM(M9:S9)+T9*0.75,IF(AJ9=8,SUM(M9:T9),IF(AJ9=7.25,SUM(M9:S9)+T9*0.25,IF(AJ9=8.25,SUM(M9:T9)+U9*0.25,IF(AJ9=8.75,SUM(M9:T9)+U9*0.75,0)))))</f>
        <v>0</v>
      </c>
      <c r="AL9" s="341">
        <f>+AK9-Z9</f>
        <v>0</v>
      </c>
      <c r="AM9" s="341"/>
      <c r="AN9" s="341"/>
      <c r="AO9" s="341"/>
      <c r="AP9" s="369"/>
      <c r="AQ9" s="434"/>
      <c r="AS9" s="390">
        <v>1.1161904761904762</v>
      </c>
      <c r="AU9" s="390"/>
    </row>
    <row r="10" spans="2:57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439" t="str">
        <f>+G11</f>
        <v>7394-595-401</v>
      </c>
      <c r="H10" s="106"/>
      <c r="I10" s="106"/>
      <c r="J10" s="107" t="s">
        <v>20</v>
      </c>
      <c r="K10" s="108" t="s">
        <v>23</v>
      </c>
      <c r="L10" s="100" t="s">
        <v>21</v>
      </c>
      <c r="M10" s="448"/>
      <c r="N10" s="448"/>
      <c r="O10" s="448"/>
      <c r="P10" s="448"/>
      <c r="Q10" s="448"/>
      <c r="R10" s="448">
        <v>250</v>
      </c>
      <c r="S10" s="448"/>
      <c r="T10" s="448"/>
      <c r="U10" s="448"/>
      <c r="V10" s="448"/>
      <c r="W10" s="448"/>
      <c r="X10" s="447">
        <f>IF(AP11="","",SUM(M10:W10)-(-(AP11-SUM(M10:W10))/$AP$3)*SUM($M$2:$W$2))</f>
        <v>250</v>
      </c>
      <c r="Y10" s="533">
        <f>+X12</f>
        <v>0</v>
      </c>
      <c r="Z10" s="450">
        <f t="shared" ref="Z10:Z11" si="3">+SUM(L10:W10)</f>
        <v>250</v>
      </c>
      <c r="AA10" s="343">
        <f>+AB10+Z10</f>
        <v>250</v>
      </c>
      <c r="AB10" s="343"/>
      <c r="AC10" s="344"/>
      <c r="AD10" s="345"/>
      <c r="AE10" s="346"/>
      <c r="AF10" s="347">
        <f t="shared" ref="AF10:AF13" si="4">TRUNC(AE10)+(AE10-TRUNC(AE10))*60/100</f>
        <v>0</v>
      </c>
      <c r="AG10" s="341">
        <f t="shared" ref="AG10:AG13" si="5">+AE10*60</f>
        <v>0</v>
      </c>
      <c r="AH10" s="341"/>
      <c r="AI10" s="341"/>
      <c r="AJ10" s="348"/>
      <c r="AK10" s="349"/>
      <c r="AL10" s="341"/>
      <c r="AM10" s="341"/>
      <c r="AN10" s="341"/>
      <c r="AO10" s="341"/>
      <c r="AP10" s="350"/>
      <c r="AQ10" s="434"/>
      <c r="AS10" s="390"/>
      <c r="AU10" s="390"/>
    </row>
    <row r="11" spans="2:57" s="98" customFormat="1" ht="62.25" customHeight="1" x14ac:dyDescent="1.35">
      <c r="B11" s="351">
        <v>1</v>
      </c>
      <c r="C11" s="406">
        <f>+B11</f>
        <v>1</v>
      </c>
      <c r="D11" s="407" t="s">
        <v>439</v>
      </c>
      <c r="E11" s="111"/>
      <c r="F11" s="111" t="s">
        <v>35</v>
      </c>
      <c r="G11" s="106" t="s">
        <v>440</v>
      </c>
      <c r="H11" s="111"/>
      <c r="I11" s="111" t="s">
        <v>33</v>
      </c>
      <c r="J11" s="113"/>
      <c r="K11" s="130"/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123">
        <f>+IF(H12="s",0,IF(Z11=0,0,IF(COUNTA(M11:W11)=AJ13+0.75,SUMIF($C:$C,B11,$Z:$Z)/AJ13,SUMIF($C:$C,B11,$Z:$Z)/(COUNTA(M11:W11)))))</f>
        <v>0</v>
      </c>
      <c r="Y11" s="534"/>
      <c r="Z11" s="134">
        <f t="shared" si="3"/>
        <v>0</v>
      </c>
      <c r="AA11" s="354">
        <f>+Z11+AB11</f>
        <v>0</v>
      </c>
      <c r="AB11" s="354"/>
      <c r="AC11" s="355">
        <f>+AA10-AA11</f>
        <v>250</v>
      </c>
      <c r="AD11" s="131" t="str">
        <f>+IF(((Z12+(Z13/2))*60)=0,"",(J11*Z11)/((Z12+(Z13/2))*60))</f>
        <v/>
      </c>
      <c r="AE11" s="347">
        <f>+Z12+Z13/2</f>
        <v>0</v>
      </c>
      <c r="AF11" s="347">
        <f t="shared" si="4"/>
        <v>0</v>
      </c>
      <c r="AG11" s="341">
        <f t="shared" si="5"/>
        <v>0</v>
      </c>
      <c r="AH11" s="341">
        <f>+Z11*J11</f>
        <v>0</v>
      </c>
      <c r="AI11" s="356" t="e">
        <f>+Z11-(AE11*K11/K13)</f>
        <v>#DIV/0!</v>
      </c>
      <c r="AJ11" s="348"/>
      <c r="AK11" s="349"/>
      <c r="AL11" s="341"/>
      <c r="AM11" s="341"/>
      <c r="AN11" s="341"/>
      <c r="AO11" s="341"/>
      <c r="AP11" s="339">
        <f>-50+Z10</f>
        <v>200</v>
      </c>
      <c r="AQ11" s="434"/>
      <c r="AS11" s="390"/>
      <c r="AU11" s="390">
        <f>+AS11-AC11</f>
        <v>-250</v>
      </c>
      <c r="AV11" s="535"/>
      <c r="AW11" s="535"/>
      <c r="AX11" s="535"/>
      <c r="AY11" s="535"/>
      <c r="AZ11" s="535"/>
      <c r="BA11" s="535"/>
      <c r="BB11" s="535"/>
      <c r="BC11" s="535"/>
      <c r="BD11" s="535"/>
      <c r="BE11" s="535"/>
    </row>
    <row r="12" spans="2:57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113">
        <f>+IFERROR(IF(K13=0,0,IF((LOOKUP(2,1/(M12:W12&lt;&gt;""),M12:W12)-K13)&lt;0,0,IF(K13=0,"",LOOKUP(2,1/(M12:W12&lt;&gt;""),M12:W12)-K13))),0)</f>
        <v>0</v>
      </c>
      <c r="H12" s="411" t="s">
        <v>412</v>
      </c>
      <c r="I12" s="113"/>
      <c r="J12" s="113"/>
      <c r="K12" s="114" t="s">
        <v>22</v>
      </c>
      <c r="L12" s="102" t="s">
        <v>18</v>
      </c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160">
        <f>+IF(H12="l",IF(COUNTA(M11:W11)=AJ13+0.75,Z11-K11*AJ13,Z11-(K11*COUNTA(M11:W11))),IF(H12="s",0,IF(COUNTA(M11:W11)=AJ13+0.75,SUMIF($C:$C,B11,$Z:$Z)-K11*AJ13,SUMIF($C:$C,B11,$Z:$Z)-K11*COUNTA(M11:W11))))</f>
        <v>0</v>
      </c>
      <c r="Y12" s="534"/>
      <c r="Z12" s="462">
        <f>+SUM(M12:W12)-U12*0.75</f>
        <v>0</v>
      </c>
      <c r="AA12" s="360"/>
      <c r="AB12" s="360"/>
      <c r="AC12" s="362"/>
      <c r="AD12" s="363"/>
      <c r="AE12" s="346"/>
      <c r="AF12" s="347">
        <f t="shared" si="4"/>
        <v>0</v>
      </c>
      <c r="AG12" s="341">
        <f t="shared" si="5"/>
        <v>0</v>
      </c>
      <c r="AH12" s="341"/>
      <c r="AI12" s="341"/>
      <c r="AJ12" s="348"/>
      <c r="AK12" s="349">
        <f>+IF(AJ13=7.75,SUM(M12:S12)+T12*0.75,IF(AJ13=8,SUM(M12:T12),IF(AJ13=7.25,SUM(M12:S12)+T12*0.25,IF(AJ13=8.25,SUM(M12:T12)+U12*0.25,IF(AJ13=8.75,SUM(M12:T12)+U12*0.75,0)))))</f>
        <v>0</v>
      </c>
      <c r="AL12" s="341">
        <f>+AK12-Z12</f>
        <v>0</v>
      </c>
      <c r="AM12" s="341"/>
      <c r="AN12" s="341"/>
      <c r="AO12" s="341"/>
      <c r="AP12" s="438"/>
      <c r="AQ12" s="434"/>
      <c r="AS12" s="390"/>
      <c r="AU12" s="390"/>
    </row>
    <row r="13" spans="2:57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444">
        <f>+SUMPRODUCT((M12:W12&lt;&gt;"")*(M12:W12&lt;&gt;0)*(M12:W12-K13))</f>
        <v>0</v>
      </c>
      <c r="H13" s="117"/>
      <c r="I13" s="442"/>
      <c r="J13" s="165" t="str">
        <f>+IF(K13="","",IF(K11=0,"",(K11*J11)/(K13*60)))</f>
        <v/>
      </c>
      <c r="K13" s="118"/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451"/>
      <c r="Y13" s="365"/>
      <c r="Z13" s="463">
        <f>+SUM(M13:W13)-U13*0.75</f>
        <v>0</v>
      </c>
      <c r="AA13" s="367"/>
      <c r="AB13" s="367"/>
      <c r="AC13" s="368" t="str">
        <f>+IFERROR(AC11/(K11*$AP$3),"")</f>
        <v/>
      </c>
      <c r="AD13" s="369"/>
      <c r="AE13" s="347"/>
      <c r="AF13" s="347">
        <f t="shared" si="4"/>
        <v>0</v>
      </c>
      <c r="AG13" s="341">
        <f t="shared" si="5"/>
        <v>0</v>
      </c>
      <c r="AH13" s="341"/>
      <c r="AI13" s="356"/>
      <c r="AJ13" s="370">
        <f>+$AI$4</f>
        <v>8.25</v>
      </c>
      <c r="AK13" s="349">
        <f>+IF(AJ13=7.75,SUM(M13:S13)+T13*0.75,IF(AJ13=8,SUM(M13:T13),IF(AJ13=7.25,SUM(M13:S13)+T13*0.25,IF(AJ13=8.25,SUM(M13:T13)+U13*0.25,IF(AJ13=8.75,SUM(M13:T13)+U13*0.75,0)))))</f>
        <v>0</v>
      </c>
      <c r="AL13" s="341">
        <f>+AK13-Z13</f>
        <v>0</v>
      </c>
      <c r="AM13" s="341"/>
      <c r="AN13" s="341"/>
      <c r="AO13" s="341"/>
      <c r="AP13" s="369"/>
      <c r="AQ13" s="434"/>
      <c r="AS13" s="390"/>
      <c r="AU13" s="390"/>
    </row>
    <row r="14" spans="2:57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439" t="str">
        <f>+G15</f>
        <v>NEGRONI-202942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100</v>
      </c>
      <c r="N14" s="448">
        <v>50</v>
      </c>
      <c r="O14" s="448">
        <v>100</v>
      </c>
      <c r="P14" s="448">
        <v>100</v>
      </c>
      <c r="Q14" s="448">
        <v>100</v>
      </c>
      <c r="R14" s="448">
        <v>100</v>
      </c>
      <c r="S14" s="448">
        <v>100</v>
      </c>
      <c r="T14" s="448"/>
      <c r="U14" s="448"/>
      <c r="V14" s="448"/>
      <c r="W14" s="448"/>
      <c r="X14" s="447">
        <f t="shared" ref="X14" si="6">IF(AP15="","",SUM(M14:W14)-(-(AP15-SUM(M14:W14))/$AP$3)*SUM($M$2:$W$2))</f>
        <v>650</v>
      </c>
      <c r="Y14" s="533">
        <f>+X16</f>
        <v>-58</v>
      </c>
      <c r="Z14" s="450">
        <f t="shared" si="0"/>
        <v>650</v>
      </c>
      <c r="AA14" s="343">
        <f>+AB14+Z14</f>
        <v>5477</v>
      </c>
      <c r="AB14" s="343">
        <v>4827</v>
      </c>
      <c r="AC14" s="344"/>
      <c r="AD14" s="345"/>
      <c r="AE14" s="346"/>
      <c r="AF14" s="347">
        <f t="shared" si="1"/>
        <v>0</v>
      </c>
      <c r="AG14" s="341">
        <f t="shared" si="2"/>
        <v>0</v>
      </c>
      <c r="AH14" s="341"/>
      <c r="AI14" s="341"/>
      <c r="AJ14" s="348"/>
      <c r="AK14" s="349"/>
      <c r="AL14" s="341"/>
      <c r="AM14" s="341"/>
      <c r="AN14" s="341"/>
      <c r="AO14" s="341"/>
      <c r="AP14" s="350"/>
      <c r="AQ14" s="434"/>
      <c r="AS14" s="390"/>
      <c r="AU14" s="390"/>
    </row>
    <row r="15" spans="2:57" s="98" customFormat="1" ht="62.25" customHeight="1" x14ac:dyDescent="1.35">
      <c r="B15" s="351">
        <v>2</v>
      </c>
      <c r="C15" s="406">
        <f>+B15</f>
        <v>2</v>
      </c>
      <c r="D15" s="407" t="s">
        <v>427</v>
      </c>
      <c r="E15" s="111"/>
      <c r="F15" s="111" t="s">
        <v>428</v>
      </c>
      <c r="G15" s="106" t="s">
        <v>429</v>
      </c>
      <c r="H15" s="111"/>
      <c r="I15" s="111" t="s">
        <v>430</v>
      </c>
      <c r="J15" s="113">
        <v>48.06</v>
      </c>
      <c r="K15" s="130">
        <v>60</v>
      </c>
      <c r="L15" s="101" t="s">
        <v>17</v>
      </c>
      <c r="M15" s="214">
        <v>60</v>
      </c>
      <c r="N15" s="214">
        <v>40</v>
      </c>
      <c r="O15" s="214">
        <v>65</v>
      </c>
      <c r="P15" s="214">
        <v>65</v>
      </c>
      <c r="Q15" s="214">
        <v>55</v>
      </c>
      <c r="R15" s="214">
        <v>34</v>
      </c>
      <c r="S15" s="214">
        <v>48</v>
      </c>
      <c r="T15" s="214">
        <v>60</v>
      </c>
      <c r="U15" s="214">
        <v>10</v>
      </c>
      <c r="V15" s="214"/>
      <c r="W15" s="214"/>
      <c r="X15" s="123">
        <f>+IF(H16="s",0,IF(Z15=0,0,IF(COUNTA(M15:W15)=AJ17+0.75,SUMIF($C:$C,B15,$Z:$Z)/AJ17,SUMIF($C:$C,B15,$Z:$Z)/(COUNTA(M15:W15)))))</f>
        <v>52.969696969696969</v>
      </c>
      <c r="Y15" s="534"/>
      <c r="Z15" s="134">
        <f t="shared" si="0"/>
        <v>437</v>
      </c>
      <c r="AA15" s="354">
        <f>+Z15+AB15</f>
        <v>4598</v>
      </c>
      <c r="AB15" s="354">
        <v>4161</v>
      </c>
      <c r="AC15" s="355">
        <f>+AA14-AA15</f>
        <v>879</v>
      </c>
      <c r="AD15" s="131">
        <f>+IF(((Z16+(Z17/2))*60)=0,"",(J15*Z15)/((Z16+(Z17/2))*60))</f>
        <v>0.77143140495867768</v>
      </c>
      <c r="AE15" s="347">
        <f>+Z16+Z17/2</f>
        <v>453.75</v>
      </c>
      <c r="AF15" s="347">
        <f t="shared" si="1"/>
        <v>453.45</v>
      </c>
      <c r="AG15" s="341">
        <f t="shared" si="2"/>
        <v>27225</v>
      </c>
      <c r="AH15" s="341">
        <f>+Z15*J15</f>
        <v>21002.22</v>
      </c>
      <c r="AI15" s="356">
        <f>+Z15-(AE15*K15/K17)</f>
        <v>-58</v>
      </c>
      <c r="AJ15" s="348"/>
      <c r="AK15" s="349"/>
      <c r="AL15" s="341"/>
      <c r="AM15" s="341"/>
      <c r="AN15" s="341"/>
      <c r="AO15" s="341"/>
      <c r="AP15" s="339">
        <f t="shared" ref="AP15:AP75" si="7">IF(AQ15=0,"",AS15-(($AP$3*K15)+($AP$3*K15)*AQ15)+Z14)</f>
        <v>3.5</v>
      </c>
      <c r="AQ15" s="434">
        <v>1.5</v>
      </c>
      <c r="AS15" s="390">
        <v>666</v>
      </c>
      <c r="AU15" s="390">
        <f>+AS15-AC15</f>
        <v>-213</v>
      </c>
      <c r="AV15" s="535"/>
      <c r="AW15" s="535"/>
      <c r="AX15" s="535"/>
      <c r="AY15" s="535"/>
      <c r="AZ15" s="535"/>
      <c r="BA15" s="535"/>
      <c r="BB15" s="535"/>
      <c r="BC15" s="535"/>
      <c r="BD15" s="535"/>
      <c r="BE15" s="535"/>
    </row>
    <row r="16" spans="2:57" s="98" customFormat="1" ht="62.25" customHeight="1" x14ac:dyDescent="0.9">
      <c r="B16" s="357">
        <f>+B15</f>
        <v>2</v>
      </c>
      <c r="C16" s="408"/>
      <c r="D16" s="184"/>
      <c r="E16" s="111">
        <f>+B15</f>
        <v>2</v>
      </c>
      <c r="F16" s="409"/>
      <c r="G16" s="113">
        <f>+IFERROR(IF(K17=0,0,IF((LOOKUP(2,1/(M16:W16&lt;&gt;""),M16:W16)-K17)&lt;0,0,IF(K17=0,"",LOOKUP(2,1/(M16:W16&lt;&gt;""),M16:W16)-K17))),0)</f>
        <v>0</v>
      </c>
      <c r="H16" s="411"/>
      <c r="I16" s="113"/>
      <c r="J16" s="113">
        <v>1</v>
      </c>
      <c r="K16" s="114" t="s">
        <v>22</v>
      </c>
      <c r="L16" s="102" t="s">
        <v>18</v>
      </c>
      <c r="M16" s="448">
        <v>55</v>
      </c>
      <c r="N16" s="448">
        <v>55</v>
      </c>
      <c r="O16" s="448">
        <v>55</v>
      </c>
      <c r="P16" s="448">
        <v>55</v>
      </c>
      <c r="Q16" s="448">
        <v>55</v>
      </c>
      <c r="R16" s="448">
        <v>55</v>
      </c>
      <c r="S16" s="448">
        <v>55</v>
      </c>
      <c r="T16" s="448">
        <v>55</v>
      </c>
      <c r="U16" s="448">
        <v>55</v>
      </c>
      <c r="V16" s="448"/>
      <c r="W16" s="448"/>
      <c r="X16" s="160">
        <f>+IF(H16="l",IF(COUNTA(M15:W15)=AJ17+0.75,Z15-K15*AJ17,Z15-(K15*COUNTA(M15:W15))),IF(H16="s",0,IF(COUNTA(M15:W15)=AJ17+0.75,SUMIF($C:$C,B15,$Z:$Z)-K15*AJ17,SUMIF($C:$C,B15,$Z:$Z)-K15*COUNTA(M15:W15))))</f>
        <v>-58</v>
      </c>
      <c r="Y16" s="534"/>
      <c r="Z16" s="462">
        <f t="shared" ref="Z16:Z17" si="8">+SUM(M16:W16)-U16*0.75</f>
        <v>453.75</v>
      </c>
      <c r="AA16" s="360"/>
      <c r="AB16" s="360"/>
      <c r="AC16" s="362"/>
      <c r="AD16" s="363"/>
      <c r="AE16" s="346"/>
      <c r="AF16" s="347">
        <f t="shared" si="1"/>
        <v>0</v>
      </c>
      <c r="AG16" s="341">
        <f t="shared" si="2"/>
        <v>0</v>
      </c>
      <c r="AH16" s="341"/>
      <c r="AI16" s="341"/>
      <c r="AJ16" s="348"/>
      <c r="AK16" s="349">
        <f>+IF(AJ17=7.75,SUM(M16:S16)+T16*0.75,IF(AJ17=8,SUM(M16:T16),IF(AJ17=7.25,SUM(M16:S16)+T16*0.25,IF(AJ17=8.25,SUM(M16:T16)+U16*0.25,IF(AJ17=8.75,SUM(M16:T16)+U16*0.75,0)))))</f>
        <v>453.75</v>
      </c>
      <c r="AL16" s="341">
        <f>+AK16-Z16</f>
        <v>0</v>
      </c>
      <c r="AM16" s="341"/>
      <c r="AN16" s="341"/>
      <c r="AO16" s="341"/>
      <c r="AP16" s="438"/>
      <c r="AQ16" s="434"/>
      <c r="AS16" s="390"/>
      <c r="AU16" s="390"/>
    </row>
    <row r="17" spans="2:57" s="98" customFormat="1" ht="62.25" customHeight="1" thickBot="1" x14ac:dyDescent="0.95">
      <c r="B17" s="364">
        <f>+B15</f>
        <v>2</v>
      </c>
      <c r="C17" s="410"/>
      <c r="D17" s="174" t="s">
        <v>419</v>
      </c>
      <c r="E17" s="175">
        <f>+E16+100</f>
        <v>102</v>
      </c>
      <c r="F17" s="175"/>
      <c r="G17" s="444">
        <f>+SUMPRODUCT((M16:W16&lt;&gt;"")*(M16:W16&lt;&gt;0)*(M16:W16-K17))</f>
        <v>0</v>
      </c>
      <c r="H17" s="117"/>
      <c r="I17" s="442"/>
      <c r="J17" s="165">
        <f>+IF(K17="","",IF(K15=0,"",(K15*J15)/(K17*60)))</f>
        <v>0.87381818181818194</v>
      </c>
      <c r="K17" s="118">
        <v>55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451"/>
      <c r="Y17" s="365">
        <v>36.14</v>
      </c>
      <c r="Z17" s="463">
        <f t="shared" si="8"/>
        <v>0</v>
      </c>
      <c r="AA17" s="367"/>
      <c r="AB17" s="367"/>
      <c r="AC17" s="368">
        <f>+IFERROR(AC15/(K15*$AP$3),"")</f>
        <v>1.6742857142857144</v>
      </c>
      <c r="AD17" s="369"/>
      <c r="AE17" s="347"/>
      <c r="AF17" s="347">
        <f t="shared" si="1"/>
        <v>0</v>
      </c>
      <c r="AG17" s="341">
        <f t="shared" si="2"/>
        <v>0</v>
      </c>
      <c r="AH17" s="341"/>
      <c r="AI17" s="356"/>
      <c r="AJ17" s="370">
        <f>+$AI$4</f>
        <v>8.25</v>
      </c>
      <c r="AK17" s="349">
        <f>+IF(AJ17=7.75,SUM(M17:S17)+T17*0.75,IF(AJ17=8,SUM(M17:T17),IF(AJ17=7.25,SUM(M17:S17)+T17*0.25,IF(AJ17=8.25,SUM(M17:T17)+U17*0.25,IF(AJ17=8.75,SUM(M17:T17)+U17*0.75,0)))))</f>
        <v>0</v>
      </c>
      <c r="AL17" s="341">
        <f>+AK17-Z17</f>
        <v>0</v>
      </c>
      <c r="AM17" s="341"/>
      <c r="AN17" s="341"/>
      <c r="AO17" s="341"/>
      <c r="AP17" s="369"/>
      <c r="AQ17" s="434"/>
      <c r="AS17" s="390">
        <v>1.2685714285714285</v>
      </c>
      <c r="AU17" s="390"/>
    </row>
    <row r="18" spans="2:57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439">
        <f>+G19</f>
        <v>0</v>
      </c>
      <c r="H18" s="106"/>
      <c r="I18" s="106"/>
      <c r="J18" s="107" t="s">
        <v>20</v>
      </c>
      <c r="K18" s="108" t="s">
        <v>23</v>
      </c>
      <c r="L18" s="100" t="s">
        <v>21</v>
      </c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47" t="str">
        <f t="shared" ref="X18" si="9">IF(AP19="","",SUM(M18:W18)-(-(AP19-SUM(M18:W18))/$AP$3)*SUM($M$2:$W$2))</f>
        <v/>
      </c>
      <c r="Y18" s="533">
        <f>+X20</f>
        <v>0</v>
      </c>
      <c r="Z18" s="450">
        <f t="shared" si="0"/>
        <v>0</v>
      </c>
      <c r="AA18" s="343">
        <f>+AB18+Z18</f>
        <v>0</v>
      </c>
      <c r="AB18" s="343">
        <v>0</v>
      </c>
      <c r="AC18" s="344"/>
      <c r="AD18" s="345"/>
      <c r="AE18" s="346"/>
      <c r="AF18" s="347"/>
      <c r="AG18" s="341"/>
      <c r="AH18" s="341"/>
      <c r="AI18" s="341"/>
      <c r="AJ18" s="348"/>
      <c r="AK18" s="349"/>
      <c r="AL18" s="341"/>
      <c r="AM18" s="341"/>
      <c r="AN18" s="341"/>
      <c r="AO18" s="341"/>
      <c r="AP18" s="350"/>
      <c r="AQ18" s="434"/>
      <c r="AS18" s="390"/>
      <c r="AU18" s="390"/>
    </row>
    <row r="19" spans="2:57" s="98" customFormat="1" ht="62.25" customHeight="1" x14ac:dyDescent="1.35">
      <c r="B19" s="351">
        <v>3</v>
      </c>
      <c r="C19" s="406">
        <v>3</v>
      </c>
      <c r="D19" s="407"/>
      <c r="E19" s="111"/>
      <c r="F19" s="111"/>
      <c r="G19" s="106"/>
      <c r="H19" s="111"/>
      <c r="I19" s="111"/>
      <c r="J19" s="113"/>
      <c r="K19" s="130"/>
      <c r="L19" s="101" t="s">
        <v>17</v>
      </c>
      <c r="M19" s="454"/>
      <c r="N19" s="454"/>
      <c r="O19" s="454"/>
      <c r="P19" s="454"/>
      <c r="Q19" s="454"/>
      <c r="R19" s="454"/>
      <c r="S19" s="454"/>
      <c r="T19" s="454"/>
      <c r="U19" s="454"/>
      <c r="V19" s="454"/>
      <c r="W19" s="454"/>
      <c r="X19" s="123">
        <f>+IF(H20="s",0,IF(Z19=0,0,IF(COUNTA(M19:W19)=AJ21+0.75,SUMIF($C:$C,B19,$Z:$Z)/AJ21,SUMIF($C:$C,B19,$Z:$Z)/(COUNTA(M19:W19)))))</f>
        <v>0</v>
      </c>
      <c r="Y19" s="534"/>
      <c r="Z19" s="134">
        <f t="shared" si="0"/>
        <v>0</v>
      </c>
      <c r="AA19" s="354">
        <f>+Z19+AB19</f>
        <v>0</v>
      </c>
      <c r="AB19" s="354">
        <v>0</v>
      </c>
      <c r="AC19" s="355">
        <f>+AA18-AA19</f>
        <v>0</v>
      </c>
      <c r="AD19" s="131" t="str">
        <f>+IF(((Z20+(Z21/2))*60)=0,"",(J19*Z19)/((Z20+(Z21/2))*60))</f>
        <v/>
      </c>
      <c r="AE19" s="347"/>
      <c r="AF19" s="347"/>
      <c r="AG19" s="341"/>
      <c r="AH19" s="341"/>
      <c r="AI19" s="356"/>
      <c r="AJ19" s="348"/>
      <c r="AK19" s="349"/>
      <c r="AL19" s="341"/>
      <c r="AM19" s="341"/>
      <c r="AN19" s="341"/>
      <c r="AO19" s="341"/>
      <c r="AP19" s="339" t="str">
        <f t="shared" si="7"/>
        <v/>
      </c>
      <c r="AQ19" s="434"/>
      <c r="AS19" s="390">
        <v>0</v>
      </c>
      <c r="AU19" s="390">
        <f t="shared" ref="AU19" si="10">+AS19-AC19</f>
        <v>0</v>
      </c>
      <c r="AV19" s="535"/>
      <c r="AW19" s="535"/>
      <c r="AX19" s="535"/>
      <c r="AY19" s="535"/>
      <c r="AZ19" s="535"/>
      <c r="BA19" s="535"/>
      <c r="BB19" s="535"/>
      <c r="BC19" s="535"/>
      <c r="BD19" s="535"/>
      <c r="BE19" s="535"/>
    </row>
    <row r="20" spans="2:57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113">
        <f>+IFERROR(IF(K21=0,0,IF((LOOKUP(2,1/(M20:W20&lt;&gt;""),M20:W20)-K21)&lt;0,0,IF(K21=0,"",LOOKUP(2,1/(M20:W20&lt;&gt;""),M20:W20)-K21))),0)</f>
        <v>0</v>
      </c>
      <c r="H20" s="411" t="s">
        <v>414</v>
      </c>
      <c r="I20" s="113"/>
      <c r="J20" s="113"/>
      <c r="K20" s="114" t="s">
        <v>22</v>
      </c>
      <c r="L20" s="102" t="s">
        <v>18</v>
      </c>
      <c r="M20" s="453"/>
      <c r="N20" s="453"/>
      <c r="O20" s="453"/>
      <c r="P20" s="453"/>
      <c r="Q20" s="453"/>
      <c r="R20" s="453"/>
      <c r="S20" s="453"/>
      <c r="T20" s="453"/>
      <c r="U20" s="453"/>
      <c r="V20" s="453"/>
      <c r="W20" s="453"/>
      <c r="X20" s="160">
        <f>+IF(H20="l",IF(COUNTA(M19:W19)=AJ21+0.75,Z19-K19*AJ21,Z19-(K19*COUNTA(M19:W19))),IF(H20="s",0,IF(COUNTA(M19:W19)=AJ21+0.75,SUMIF($C:$C,B19,$Z:$Z)-K19*AJ21,SUMIF($C:$C,B19,$Z:$Z)-K19*COUNTA(M19:W19))))</f>
        <v>0</v>
      </c>
      <c r="Y20" s="534"/>
      <c r="Z20" s="462">
        <f t="shared" ref="Z20:Z21" si="11">+SUM(M20:W20)-U20*0.75</f>
        <v>0</v>
      </c>
      <c r="AA20" s="360"/>
      <c r="AB20" s="360"/>
      <c r="AC20" s="362"/>
      <c r="AD20" s="363"/>
      <c r="AE20" s="346"/>
      <c r="AF20" s="347"/>
      <c r="AG20" s="341"/>
      <c r="AH20" s="341"/>
      <c r="AI20" s="341"/>
      <c r="AJ20" s="348"/>
      <c r="AK20" s="349"/>
      <c r="AL20" s="341"/>
      <c r="AM20" s="341"/>
      <c r="AN20" s="341"/>
      <c r="AO20" s="341"/>
      <c r="AP20" s="438"/>
      <c r="AQ20" s="434"/>
      <c r="AS20" s="390"/>
      <c r="AU20" s="390"/>
    </row>
    <row r="21" spans="2:57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444">
        <f>+SUMPRODUCT((M20:W20&lt;&gt;"")*(M20:W20&lt;&gt;0)*(M20:W20-K21))</f>
        <v>0</v>
      </c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451"/>
      <c r="Y21" s="371"/>
      <c r="Z21" s="463">
        <f t="shared" si="11"/>
        <v>0</v>
      </c>
      <c r="AA21" s="367"/>
      <c r="AB21" s="367"/>
      <c r="AC21" s="368" t="str">
        <f>+IFERROR(AC19/(K19*$AP$3),"")</f>
        <v/>
      </c>
      <c r="AD21" s="369"/>
      <c r="AE21" s="347"/>
      <c r="AF21" s="347"/>
      <c r="AG21" s="341"/>
      <c r="AH21" s="341"/>
      <c r="AI21" s="356"/>
      <c r="AJ21" s="370">
        <f>+$AI$4</f>
        <v>8.25</v>
      </c>
      <c r="AK21" s="349"/>
      <c r="AL21" s="341"/>
      <c r="AM21" s="341"/>
      <c r="AN21" s="341"/>
      <c r="AO21" s="341"/>
      <c r="AP21" s="369"/>
      <c r="AQ21" s="434"/>
      <c r="AS21" s="390" t="s">
        <v>416</v>
      </c>
      <c r="AU21" s="390"/>
    </row>
    <row r="22" spans="2:57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439" t="str">
        <f>+G23</f>
        <v>2215-518-800</v>
      </c>
      <c r="H22" s="106"/>
      <c r="I22" s="106"/>
      <c r="J22" s="107" t="s">
        <v>20</v>
      </c>
      <c r="K22" s="108" t="s">
        <v>23</v>
      </c>
      <c r="L22" s="100" t="s">
        <v>21</v>
      </c>
      <c r="M22" s="448">
        <v>120</v>
      </c>
      <c r="N22" s="448">
        <v>72</v>
      </c>
      <c r="O22" s="448">
        <v>60</v>
      </c>
      <c r="P22" s="448"/>
      <c r="Q22" s="448"/>
      <c r="R22" s="448"/>
      <c r="S22" s="448"/>
      <c r="T22" s="448"/>
      <c r="U22" s="448"/>
      <c r="V22" s="448"/>
      <c r="W22" s="448"/>
      <c r="X22" s="447">
        <f t="shared" ref="X22" si="12">IF(AP23="","",SUM(M22:W22)-(-(AP23-SUM(M22:W22))/$AP$3)*SUM($M$2:$W$2))</f>
        <v>252</v>
      </c>
      <c r="Y22" s="533">
        <f>+X24</f>
        <v>0.75</v>
      </c>
      <c r="Z22" s="450">
        <f t="shared" si="0"/>
        <v>252</v>
      </c>
      <c r="AA22" s="343">
        <f>+AB22+Z22</f>
        <v>8799</v>
      </c>
      <c r="AB22" s="343">
        <v>8547</v>
      </c>
      <c r="AC22" s="344"/>
      <c r="AD22" s="345"/>
      <c r="AE22" s="346"/>
      <c r="AF22" s="347">
        <f t="shared" si="1"/>
        <v>0</v>
      </c>
      <c r="AG22" s="341">
        <f t="shared" si="2"/>
        <v>0</v>
      </c>
      <c r="AH22" s="341"/>
      <c r="AI22" s="341"/>
      <c r="AJ22" s="348"/>
      <c r="AK22" s="349"/>
      <c r="AL22" s="341"/>
      <c r="AM22" s="341"/>
      <c r="AN22" s="341"/>
      <c r="AO22" s="341"/>
      <c r="AP22" s="350"/>
      <c r="AQ22" s="434"/>
      <c r="AS22" s="390"/>
      <c r="AU22" s="390"/>
    </row>
    <row r="23" spans="2:57" s="98" customFormat="1" ht="62.25" customHeight="1" x14ac:dyDescent="0.9">
      <c r="B23" s="351">
        <v>4</v>
      </c>
      <c r="C23" s="406">
        <f>+B23</f>
        <v>4</v>
      </c>
      <c r="D23" s="407" t="s">
        <v>423</v>
      </c>
      <c r="E23" s="111"/>
      <c r="F23" s="111" t="s">
        <v>35</v>
      </c>
      <c r="G23" s="106" t="s">
        <v>424</v>
      </c>
      <c r="H23" s="111"/>
      <c r="I23" s="111" t="s">
        <v>33</v>
      </c>
      <c r="J23" s="113">
        <v>33.42</v>
      </c>
      <c r="K23" s="130">
        <v>61</v>
      </c>
      <c r="L23" s="101" t="s">
        <v>17</v>
      </c>
      <c r="M23" s="214">
        <v>50</v>
      </c>
      <c r="N23" s="214">
        <v>51</v>
      </c>
      <c r="O23" s="214">
        <v>55</v>
      </c>
      <c r="P23" s="214">
        <v>67</v>
      </c>
      <c r="Q23" s="214">
        <v>66</v>
      </c>
      <c r="R23" s="214">
        <v>61</v>
      </c>
      <c r="S23" s="214">
        <v>63</v>
      </c>
      <c r="T23" s="214">
        <v>61</v>
      </c>
      <c r="U23" s="214">
        <v>30</v>
      </c>
      <c r="V23" s="214"/>
      <c r="W23" s="214"/>
      <c r="X23" s="123">
        <f>+IF(H24="s",0,IF(Z23=0,0,IF(COUNTA(M23:W23)=AJ25+0.75,SUMIF($C:$C,B23,$Z:$Z)/AJ25,SUMIF($C:$C,B23,$Z:$Z)/(COUNTA(M23:W23)))))</f>
        <v>61.090909090909093</v>
      </c>
      <c r="Y23" s="534"/>
      <c r="Z23" s="134">
        <f t="shared" si="0"/>
        <v>504</v>
      </c>
      <c r="AA23" s="354">
        <f>+Z23+AB23</f>
        <v>8268</v>
      </c>
      <c r="AB23" s="354">
        <v>7764</v>
      </c>
      <c r="AC23" s="355">
        <f>+AA22-AA23</f>
        <v>531</v>
      </c>
      <c r="AD23" s="131">
        <f>+IF(((Z24+(Z25/2))*60)=0,"",(J23*Z23)/((Z24+(Z25/2))*60))</f>
        <v>0.87250349650349657</v>
      </c>
      <c r="AE23" s="347">
        <f>+Z24+Z25/2</f>
        <v>321.75</v>
      </c>
      <c r="AF23" s="347">
        <f t="shared" si="1"/>
        <v>321.45</v>
      </c>
      <c r="AG23" s="341">
        <f t="shared" si="2"/>
        <v>19305</v>
      </c>
      <c r="AH23" s="341">
        <f>+Z23*J23</f>
        <v>16843.68</v>
      </c>
      <c r="AI23" s="356">
        <f>+Z23-(AE23*K23/K25)</f>
        <v>-12.493421052631561</v>
      </c>
      <c r="AJ23" s="348"/>
      <c r="AK23" s="349"/>
      <c r="AL23" s="341"/>
      <c r="AM23" s="341"/>
      <c r="AN23" s="341"/>
      <c r="AO23" s="341"/>
      <c r="AP23" s="339">
        <f>-250+Z22</f>
        <v>2</v>
      </c>
      <c r="AQ23" s="434"/>
      <c r="AS23" s="390">
        <v>783</v>
      </c>
      <c r="AU23" s="390">
        <f t="shared" ref="AU23" si="13">+AS23-AC23</f>
        <v>252</v>
      </c>
    </row>
    <row r="24" spans="2:57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113">
        <f>+IFERROR(IF(K25=0,0,IF((LOOKUP(2,1/(M24:W24&lt;&gt;""),M24:W24)-K25)&lt;0,0,IF(K25=0,"",LOOKUP(2,1/(M24:W24&lt;&gt;""),M24:W24)-K25))),0)</f>
        <v>1</v>
      </c>
      <c r="H24" s="411"/>
      <c r="I24" s="113"/>
      <c r="J24" s="113">
        <v>1</v>
      </c>
      <c r="K24" s="114" t="s">
        <v>22</v>
      </c>
      <c r="L24" s="102" t="s">
        <v>18</v>
      </c>
      <c r="M24" s="448">
        <v>39</v>
      </c>
      <c r="N24" s="448">
        <v>39</v>
      </c>
      <c r="O24" s="448">
        <v>39</v>
      </c>
      <c r="P24" s="448">
        <v>39</v>
      </c>
      <c r="Q24" s="448">
        <v>39</v>
      </c>
      <c r="R24" s="448">
        <v>39</v>
      </c>
      <c r="S24" s="448">
        <v>39</v>
      </c>
      <c r="T24" s="448">
        <v>39</v>
      </c>
      <c r="U24" s="448">
        <v>39</v>
      </c>
      <c r="V24" s="448"/>
      <c r="W24" s="448"/>
      <c r="X24" s="160">
        <f>+IF(H24="l",IF(COUNTA(M23:W23)=AJ25+0.75,Z23-K23*AJ25,Z23-(K23*COUNTA(M23:W23))),IF(H24="s",0,IF(COUNTA(M23:W23)=AJ25+0.75,SUMIF($C:$C,B23,$Z:$Z)-K23*AJ25,SUMIF($C:$C,B23,$Z:$Z)-K23*COUNTA(M23:W23))))</f>
        <v>0.75</v>
      </c>
      <c r="Y24" s="534"/>
      <c r="Z24" s="462">
        <f t="shared" ref="Z24:Z25" si="14">+SUM(M24:W24)-U24*0.75</f>
        <v>321.75</v>
      </c>
      <c r="AA24" s="360"/>
      <c r="AB24" s="360"/>
      <c r="AC24" s="362"/>
      <c r="AD24" s="363"/>
      <c r="AE24" s="346"/>
      <c r="AF24" s="347">
        <f t="shared" si="1"/>
        <v>0</v>
      </c>
      <c r="AG24" s="341">
        <f t="shared" si="2"/>
        <v>0</v>
      </c>
      <c r="AH24" s="341"/>
      <c r="AI24" s="341"/>
      <c r="AJ24" s="348"/>
      <c r="AK24" s="349">
        <f>+IF(AJ25=7.75,SUM(M24:S24)+T24*0.75,IF(AJ25=8,SUM(M24:T24),IF(AJ25=7.25,SUM(M24:S24)+T24*0.25,IF(AJ25=8.25,SUM(M24:T24)+U24*0.25,IF(AJ25=8.75,SUM(M24:T24)+U24*0.75,0)))))</f>
        <v>321.75</v>
      </c>
      <c r="AL24" s="341">
        <f>+AK24-Z24</f>
        <v>0</v>
      </c>
      <c r="AM24" s="341"/>
      <c r="AN24" s="341"/>
      <c r="AO24" s="341"/>
      <c r="AP24" s="438"/>
      <c r="AQ24" s="434"/>
      <c r="AS24" s="390"/>
      <c r="AU24" s="390"/>
    </row>
    <row r="25" spans="2:57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444">
        <f>+SUMPRODUCT((M24:W24&lt;&gt;"")*(M24:W24&lt;&gt;0)*(M24:W24-K25))</f>
        <v>9</v>
      </c>
      <c r="H25" s="117"/>
      <c r="I25" s="442"/>
      <c r="J25" s="165">
        <f>+IF(K25="","",IF(K23=0,"",(K23*J23)/(K25*60)))</f>
        <v>0.8941315789473685</v>
      </c>
      <c r="K25" s="118">
        <v>38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451"/>
      <c r="Y25" s="365">
        <v>24.63</v>
      </c>
      <c r="Z25" s="463">
        <f t="shared" si="14"/>
        <v>0</v>
      </c>
      <c r="AA25" s="367"/>
      <c r="AB25" s="367"/>
      <c r="AC25" s="368">
        <f>+IFERROR(AC23/(K23*$AP$3),"")</f>
        <v>0.99484777517564404</v>
      </c>
      <c r="AD25" s="369"/>
      <c r="AE25" s="347"/>
      <c r="AF25" s="347">
        <f t="shared" si="1"/>
        <v>0</v>
      </c>
      <c r="AG25" s="341">
        <f t="shared" si="2"/>
        <v>0</v>
      </c>
      <c r="AH25" s="341"/>
      <c r="AI25" s="356"/>
      <c r="AJ25" s="370">
        <f>+$AI$4</f>
        <v>8.25</v>
      </c>
      <c r="AK25" s="349">
        <f>+IF(AJ25=7.75,SUM(M25:S25)+T25*0.75,IF(AJ25=8,SUM(M25:T25),IF(AJ25=7.25,SUM(M25:S25)+T25*0.25,IF(AJ25=8.25,SUM(M25:T25)+U25*0.25,IF(AJ25=8.75,SUM(M25:T25)+U25*0.75,0)))))</f>
        <v>0</v>
      </c>
      <c r="AL25" s="341">
        <f>+AK25-Z25</f>
        <v>0</v>
      </c>
      <c r="AM25" s="341"/>
      <c r="AN25" s="341"/>
      <c r="AO25" s="341"/>
      <c r="AP25" s="369"/>
      <c r="AQ25" s="434"/>
      <c r="AS25" s="390">
        <v>1.4669789227166277</v>
      </c>
      <c r="AU25" s="390"/>
    </row>
    <row r="26" spans="2:57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439" t="str">
        <f>+G27</f>
        <v>2259-600-730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/>
      <c r="O26" s="448"/>
      <c r="P26" s="448"/>
      <c r="Q26" s="448"/>
      <c r="R26" s="448"/>
      <c r="S26" s="448">
        <v>180</v>
      </c>
      <c r="T26" s="448"/>
      <c r="U26" s="448"/>
      <c r="V26" s="448"/>
      <c r="W26" s="448"/>
      <c r="X26" s="447">
        <f t="shared" ref="X26" si="15">IF(AP27="","",SUM(M26:W26)-(-(AP27-SUM(M26:W26))/$AP$3)*SUM($M$2:$W$2))</f>
        <v>180</v>
      </c>
      <c r="Y26" s="533">
        <f>+X28</f>
        <v>0</v>
      </c>
      <c r="Z26" s="450">
        <f t="shared" ref="Z26:Z27" si="16">+SUM(L26:W26)</f>
        <v>180</v>
      </c>
      <c r="AA26" s="343">
        <f>+AB26+Z26</f>
        <v>180</v>
      </c>
      <c r="AB26" s="343"/>
      <c r="AC26" s="344"/>
      <c r="AD26" s="345"/>
      <c r="AE26" s="346"/>
      <c r="AF26" s="347">
        <f t="shared" ref="AF26:AF29" si="17">TRUNC(AE26)+(AE26-TRUNC(AE26))*60/100</f>
        <v>0</v>
      </c>
      <c r="AG26" s="341">
        <f t="shared" ref="AG26:AG29" si="18">+AE26*60</f>
        <v>0</v>
      </c>
      <c r="AH26" s="341"/>
      <c r="AI26" s="341"/>
      <c r="AJ26" s="348"/>
      <c r="AK26" s="349"/>
      <c r="AL26" s="341"/>
      <c r="AM26" s="341"/>
      <c r="AN26" s="341"/>
      <c r="AO26" s="341"/>
      <c r="AP26" s="350"/>
      <c r="AQ26" s="434"/>
      <c r="AS26" s="390"/>
      <c r="AU26" s="390"/>
    </row>
    <row r="27" spans="2:57" s="98" customFormat="1" ht="62.25" customHeight="1" x14ac:dyDescent="0.9">
      <c r="B27" s="351">
        <v>4</v>
      </c>
      <c r="C27" s="406">
        <f>+B27</f>
        <v>4</v>
      </c>
      <c r="D27" s="407" t="s">
        <v>441</v>
      </c>
      <c r="E27" s="111"/>
      <c r="F27" s="111" t="s">
        <v>35</v>
      </c>
      <c r="G27" s="106" t="s">
        <v>442</v>
      </c>
      <c r="H27" s="111"/>
      <c r="I27" s="111" t="s">
        <v>33</v>
      </c>
      <c r="J27" s="113">
        <v>35.68</v>
      </c>
      <c r="K27" s="130">
        <v>65</v>
      </c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123">
        <f>+IF(H28="s",0,IF(Z27=0,0,IF(COUNTA(M27:W27)=AJ29+0.75,SUMIF($C:$C,B27,$Z:$Z)/AJ29,SUMIF($C:$C,B27,$Z:$Z)/(COUNTA(M27:W27)))))</f>
        <v>0</v>
      </c>
      <c r="Y27" s="534"/>
      <c r="Z27" s="134">
        <f t="shared" si="16"/>
        <v>0</v>
      </c>
      <c r="AA27" s="354">
        <f>+Z27+AB27</f>
        <v>0</v>
      </c>
      <c r="AB27" s="354"/>
      <c r="AC27" s="355">
        <f>+AA26-AA27</f>
        <v>180</v>
      </c>
      <c r="AD27" s="131" t="str">
        <f>+IF(((Z28+(Z29/2))*60)=0,"",(J27*Z27)/((Z28+(Z29/2))*60))</f>
        <v/>
      </c>
      <c r="AE27" s="347">
        <f>+Z28+Z29/2</f>
        <v>0</v>
      </c>
      <c r="AF27" s="347">
        <f t="shared" si="17"/>
        <v>0</v>
      </c>
      <c r="AG27" s="341">
        <f t="shared" si="18"/>
        <v>0</v>
      </c>
      <c r="AH27" s="341">
        <f>+Z27*J27</f>
        <v>0</v>
      </c>
      <c r="AI27" s="356">
        <f>+Z27-(AE27*K27/K29)</f>
        <v>0</v>
      </c>
      <c r="AJ27" s="348"/>
      <c r="AK27" s="349"/>
      <c r="AL27" s="341"/>
      <c r="AM27" s="341"/>
      <c r="AN27" s="341"/>
      <c r="AO27" s="341"/>
      <c r="AP27" s="339">
        <f>-120+Z26</f>
        <v>60</v>
      </c>
      <c r="AQ27" s="434"/>
      <c r="AS27" s="390"/>
      <c r="AU27" s="390">
        <f t="shared" ref="AU27" si="19">+AS27-AC27</f>
        <v>-180</v>
      </c>
    </row>
    <row r="28" spans="2:57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113">
        <f>+IFERROR(IF(K29=0,0,IF((LOOKUP(2,1/(M28:W28&lt;&gt;""),M28:W28)-K29)&lt;0,0,IF(K29=0,"",LOOKUP(2,1/(M28:W28&lt;&gt;""),M28:W28)-K29))),0)</f>
        <v>0</v>
      </c>
      <c r="H28" s="411" t="s">
        <v>412</v>
      </c>
      <c r="I28" s="113"/>
      <c r="J28" s="113">
        <v>0</v>
      </c>
      <c r="K28" s="114" t="s">
        <v>22</v>
      </c>
      <c r="L28" s="102" t="s">
        <v>18</v>
      </c>
      <c r="M28" s="448"/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160">
        <f>+IF(H28="l",IF(COUNTA(M27:W27)=AJ29+0.75,Z27-K27*AJ29,Z27-(K27*COUNTA(M27:W27))),IF(H28="s",0,IF(COUNTA(M27:W27)=AJ29+0.75,SUMIF($C:$C,B27,$Z:$Z)-K27*AJ29,SUMIF($C:$C,B27,$Z:$Z)-K27*COUNTA(M27:W27))))</f>
        <v>0</v>
      </c>
      <c r="Y28" s="534"/>
      <c r="Z28" s="462">
        <f t="shared" ref="Z28:Z29" si="20">+SUM(M28:W28)-U28*0.75</f>
        <v>0</v>
      </c>
      <c r="AA28" s="360"/>
      <c r="AB28" s="360"/>
      <c r="AC28" s="362"/>
      <c r="AD28" s="363"/>
      <c r="AE28" s="346"/>
      <c r="AF28" s="347">
        <f t="shared" si="17"/>
        <v>0</v>
      </c>
      <c r="AG28" s="341">
        <f t="shared" si="18"/>
        <v>0</v>
      </c>
      <c r="AH28" s="341"/>
      <c r="AI28" s="341"/>
      <c r="AJ28" s="348"/>
      <c r="AK28" s="349">
        <f>+IF(AJ29=7.75,SUM(M28:S28)+T28*0.75,IF(AJ29=8,SUM(M28:T28),IF(AJ29=7.25,SUM(M28:S28)+T28*0.25,IF(AJ29=8.25,SUM(M28:T28)+U28*0.25,IF(AJ29=8.75,SUM(M28:T28)+U28*0.75,0)))))</f>
        <v>0</v>
      </c>
      <c r="AL28" s="341">
        <f>+AK28-Z28</f>
        <v>0</v>
      </c>
      <c r="AM28" s="341"/>
      <c r="AN28" s="341"/>
      <c r="AO28" s="341"/>
      <c r="AP28" s="438"/>
      <c r="AQ28" s="434"/>
      <c r="AS28" s="390"/>
      <c r="AU28" s="390"/>
    </row>
    <row r="29" spans="2:57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444">
        <f>+SUMPRODUCT((M28:W28&lt;&gt;"")*(M28:W28&lt;&gt;0)*(M28:W28-K29))</f>
        <v>0</v>
      </c>
      <c r="H29" s="117"/>
      <c r="I29" s="442"/>
      <c r="J29" s="165">
        <v>0.44</v>
      </c>
      <c r="K29" s="118">
        <v>44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451"/>
      <c r="Y29" s="365"/>
      <c r="Z29" s="463">
        <f t="shared" si="20"/>
        <v>0</v>
      </c>
      <c r="AA29" s="367"/>
      <c r="AB29" s="367"/>
      <c r="AC29" s="368">
        <f>+IFERROR(AC27/(K27*$AP$3),"")</f>
        <v>0.31648351648351647</v>
      </c>
      <c r="AD29" s="369"/>
      <c r="AE29" s="347"/>
      <c r="AF29" s="347">
        <f t="shared" si="17"/>
        <v>0</v>
      </c>
      <c r="AG29" s="341">
        <f t="shared" si="18"/>
        <v>0</v>
      </c>
      <c r="AH29" s="341"/>
      <c r="AI29" s="356"/>
      <c r="AJ29" s="370">
        <f>+$AI$4</f>
        <v>8.25</v>
      </c>
      <c r="AK29" s="349">
        <f>+IF(AJ29=7.75,SUM(M29:S29)+T29*0.75,IF(AJ29=8,SUM(M29:T29),IF(AJ29=7.25,SUM(M29:S29)+T29*0.25,IF(AJ29=8.25,SUM(M29:T29)+U29*0.25,IF(AJ29=8.75,SUM(M29:T29)+U29*0.75,0)))))</f>
        <v>0</v>
      </c>
      <c r="AL29" s="341">
        <f>+AK29-Z29</f>
        <v>0</v>
      </c>
      <c r="AM29" s="341"/>
      <c r="AN29" s="341"/>
      <c r="AO29" s="341"/>
      <c r="AP29" s="369"/>
      <c r="AQ29" s="434"/>
      <c r="AS29" s="390"/>
      <c r="AU29" s="390"/>
    </row>
    <row r="30" spans="2:57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439" t="str">
        <f>+G31</f>
        <v>ATENAS-203645</v>
      </c>
      <c r="H30" s="106"/>
      <c r="I30" s="111"/>
      <c r="J30" s="107" t="s">
        <v>20</v>
      </c>
      <c r="K30" s="108" t="s">
        <v>23</v>
      </c>
      <c r="L30" s="100" t="s">
        <v>21</v>
      </c>
      <c r="M30" s="448">
        <v>100</v>
      </c>
      <c r="N30" s="448">
        <v>60</v>
      </c>
      <c r="O30" s="448">
        <v>100</v>
      </c>
      <c r="P30" s="448"/>
      <c r="Q30" s="448"/>
      <c r="R30" s="448"/>
      <c r="S30" s="448"/>
      <c r="T30" s="448"/>
      <c r="U30" s="448"/>
      <c r="V30" s="448"/>
      <c r="W30" s="448"/>
      <c r="X30" s="447">
        <f t="shared" ref="X30" si="21">IF(AP31="","",SUM(M30:W30)-(-(AP31-SUM(M30:W30))/$AP$3)*SUM($M$2:$W$2))</f>
        <v>260</v>
      </c>
      <c r="Y30" s="533">
        <f>+X32</f>
        <v>-88.75</v>
      </c>
      <c r="Z30" s="450">
        <f t="shared" si="0"/>
        <v>260</v>
      </c>
      <c r="AA30" s="343">
        <f>+AB30+Z30</f>
        <v>2356</v>
      </c>
      <c r="AB30" s="343">
        <v>2096</v>
      </c>
      <c r="AC30" s="344"/>
      <c r="AD30" s="345"/>
      <c r="AE30" s="346"/>
      <c r="AF30" s="347">
        <f t="shared" si="1"/>
        <v>0</v>
      </c>
      <c r="AG30" s="341">
        <f t="shared" si="2"/>
        <v>0</v>
      </c>
      <c r="AH30" s="341"/>
      <c r="AI30" s="341"/>
      <c r="AJ30" s="348"/>
      <c r="AK30" s="349"/>
      <c r="AL30" s="341"/>
      <c r="AM30" s="341"/>
      <c r="AN30" s="341"/>
      <c r="AO30" s="341"/>
      <c r="AP30" s="350"/>
      <c r="AQ30" s="434"/>
      <c r="AS30" s="390"/>
      <c r="AU30" s="390"/>
    </row>
    <row r="31" spans="2:57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106" t="s">
        <v>434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>
        <v>40</v>
      </c>
      <c r="N31" s="214">
        <v>40</v>
      </c>
      <c r="O31" s="214">
        <v>40</v>
      </c>
      <c r="P31" s="214">
        <v>23</v>
      </c>
      <c r="Q31" s="214">
        <v>40</v>
      </c>
      <c r="R31" s="214">
        <v>40</v>
      </c>
      <c r="S31" s="214">
        <v>32</v>
      </c>
      <c r="T31" s="214">
        <v>40</v>
      </c>
      <c r="U31" s="214">
        <v>4</v>
      </c>
      <c r="V31" s="214"/>
      <c r="W31" s="214"/>
      <c r="X31" s="123">
        <f>+IF(H32="s",0,IF(Z31=0,0,IF(COUNTA(M31:W31)=AJ33+0.75,SUMIF($C:$C,B31,$Z:$Z)/AJ33,SUMIF($C:$C,B31,$Z:$Z)/(COUNTA(M31:W31)))))</f>
        <v>36.242424242424242</v>
      </c>
      <c r="Y31" s="534"/>
      <c r="Z31" s="134">
        <f t="shared" si="0"/>
        <v>299</v>
      </c>
      <c r="AA31" s="354">
        <f>+Z31+AB31</f>
        <v>1586</v>
      </c>
      <c r="AB31" s="354">
        <v>1287</v>
      </c>
      <c r="AC31" s="355">
        <f>+AA30-AA31</f>
        <v>770</v>
      </c>
      <c r="AD31" s="131">
        <f>+IF(((Z32+(Z33/2))*60)=0,"",(J31*Z31)/((Z32+(Z33/2))*60))</f>
        <v>0.65797258297258299</v>
      </c>
      <c r="AE31" s="347">
        <f>+Z32+Z33/2</f>
        <v>462</v>
      </c>
      <c r="AF31" s="347">
        <f t="shared" si="1"/>
        <v>462</v>
      </c>
      <c r="AG31" s="341">
        <f t="shared" si="2"/>
        <v>27720</v>
      </c>
      <c r="AH31" s="341">
        <f>+Z31*J31</f>
        <v>18239</v>
      </c>
      <c r="AI31" s="356">
        <f>+Z31-(AE31*K31/K33)</f>
        <v>-88.75</v>
      </c>
      <c r="AJ31" s="348"/>
      <c r="AK31" s="349"/>
      <c r="AL31" s="341"/>
      <c r="AM31" s="341"/>
      <c r="AN31" s="341"/>
      <c r="AO31" s="341"/>
      <c r="AP31" s="339">
        <f t="shared" si="7"/>
        <v>40.875</v>
      </c>
      <c r="AQ31" s="434">
        <v>1.5</v>
      </c>
      <c r="AS31" s="390">
        <v>809</v>
      </c>
      <c r="AU31" s="390">
        <f t="shared" ref="AU31" si="22">+AS31-AC31</f>
        <v>39</v>
      </c>
    </row>
    <row r="32" spans="2:57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113">
        <f>+IFERROR(IF(K33=0,0,IF((LOOKUP(2,1/(M32:W32&lt;&gt;""),M32:W32)-K33)&lt;0,0,IF(K33=0,"",LOOKUP(2,1/(M32:W32&lt;&gt;""),M32:W32)-K33))),0)</f>
        <v>0</v>
      </c>
      <c r="H32" s="411"/>
      <c r="I32" s="113"/>
      <c r="J32" s="113">
        <v>1</v>
      </c>
      <c r="K32" s="114" t="s">
        <v>22</v>
      </c>
      <c r="L32" s="102" t="s">
        <v>18</v>
      </c>
      <c r="M32" s="448">
        <v>56</v>
      </c>
      <c r="N32" s="448">
        <v>56</v>
      </c>
      <c r="O32" s="448">
        <v>56</v>
      </c>
      <c r="P32" s="448">
        <v>56</v>
      </c>
      <c r="Q32" s="448">
        <v>56</v>
      </c>
      <c r="R32" s="448">
        <v>56</v>
      </c>
      <c r="S32" s="448">
        <v>56</v>
      </c>
      <c r="T32" s="448">
        <v>56</v>
      </c>
      <c r="U32" s="448">
        <v>56</v>
      </c>
      <c r="V32" s="448"/>
      <c r="W32" s="448"/>
      <c r="X32" s="160">
        <f>+IF(H32="l",IF(COUNTA(M31:W31)=AJ33+0.75,Z31-K31*AJ33,Z31-(K31*COUNTA(M31:W31))),IF(H32="s",0,IF(COUNTA(M31:W31)=AJ33+0.75,SUMIF($C:$C,B31,$Z:$Z)-K31*AJ33,SUMIF($C:$C,B31,$Z:$Z)-K31*COUNTA(M31:W31))))</f>
        <v>-88.75</v>
      </c>
      <c r="Y32" s="534"/>
      <c r="Z32" s="462">
        <f t="shared" ref="Z32:Z33" si="23">+SUM(M32:W32)-U32*0.75</f>
        <v>462</v>
      </c>
      <c r="AA32" s="360"/>
      <c r="AB32" s="360"/>
      <c r="AC32" s="362"/>
      <c r="AD32" s="363"/>
      <c r="AE32" s="346"/>
      <c r="AF32" s="347">
        <f t="shared" si="1"/>
        <v>0</v>
      </c>
      <c r="AG32" s="341">
        <f t="shared" si="2"/>
        <v>0</v>
      </c>
      <c r="AH32" s="341"/>
      <c r="AI32" s="356"/>
      <c r="AJ32" s="348"/>
      <c r="AK32" s="349">
        <f>+IF(AJ33=7.75,SUM(M32:S32)+T32*0.75,IF(AJ33=8,SUM(M32:T32),IF(AJ33=7.25,SUM(M32:S32)+T32*0.25,IF(AJ33=8.25,SUM(M32:T32)+U32*0.25,IF(AJ33=8.75,SUM(M32:T32)+U32*0.75,0)))))</f>
        <v>462</v>
      </c>
      <c r="AL32" s="341">
        <f>+AK32-Z32</f>
        <v>0</v>
      </c>
      <c r="AM32" s="341"/>
      <c r="AN32" s="341"/>
      <c r="AO32" s="341"/>
      <c r="AP32" s="438"/>
      <c r="AQ32" s="434"/>
      <c r="AS32" s="390"/>
      <c r="AU32" s="390"/>
    </row>
    <row r="33" spans="2:57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444">
        <f>+SUMPRODUCT((M32:W32&lt;&gt;"")*(M32:W32&lt;&gt;0)*(M32:W32-K33))</f>
        <v>0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451"/>
      <c r="Y33" s="371">
        <f>42.26+IF(COUNTA(M31:W31)=$AI$4+0.25,$AI$4-(Z31/K31),COUNTA(M31:W31)-(Z31/K31))</f>
        <v>44.898297872340422</v>
      </c>
      <c r="Z33" s="463">
        <f t="shared" si="23"/>
        <v>0</v>
      </c>
      <c r="AA33" s="367"/>
      <c r="AB33" s="367"/>
      <c r="AC33" s="368">
        <f>+IFERROR(AC31/(K31*$AP$3),"")</f>
        <v>1.8723404255319149</v>
      </c>
      <c r="AD33" s="369"/>
      <c r="AE33" s="347"/>
      <c r="AF33" s="347">
        <f t="shared" si="1"/>
        <v>0</v>
      </c>
      <c r="AG33" s="341">
        <f t="shared" si="2"/>
        <v>0</v>
      </c>
      <c r="AH33" s="341"/>
      <c r="AI33" s="356"/>
      <c r="AJ33" s="370">
        <f>+$AI$4</f>
        <v>8.25</v>
      </c>
      <c r="AK33" s="349">
        <f>+IF(AJ33=7.75,SUM(M33:S33)+T33*0.75,IF(AJ33=8,SUM(M33:T33),IF(AJ33=7.25,SUM(M33:S33)+T33*0.25,IF(AJ33=8.25,SUM(M33:T33)+U33*0.25,IF(AJ33=8.75,SUM(M33:T33)+U33*0.75,0)))))</f>
        <v>0</v>
      </c>
      <c r="AL33" s="341">
        <f>+AK33-Z33</f>
        <v>0</v>
      </c>
      <c r="AM33" s="341"/>
      <c r="AN33" s="341"/>
      <c r="AO33" s="341"/>
      <c r="AP33" s="369"/>
      <c r="AQ33" s="434"/>
      <c r="AS33" s="390">
        <v>1.9671732522796352</v>
      </c>
      <c r="AU33" s="390"/>
    </row>
    <row r="34" spans="2:57" s="98" customFormat="1" ht="62.25" customHeight="1" thickTop="1" x14ac:dyDescent="0.9">
      <c r="B34" s="342">
        <f>+B35</f>
        <v>6</v>
      </c>
      <c r="C34" s="405"/>
      <c r="D34" s="106"/>
      <c r="E34" s="106"/>
      <c r="F34" s="106"/>
      <c r="G34" s="439" t="str">
        <f>+G35</f>
        <v>2076-780-803</v>
      </c>
      <c r="H34" s="106"/>
      <c r="I34" s="111"/>
      <c r="J34" s="107" t="s">
        <v>20</v>
      </c>
      <c r="K34" s="108">
        <v>0</v>
      </c>
      <c r="L34" s="100" t="s">
        <v>21</v>
      </c>
      <c r="M34" s="448">
        <v>40</v>
      </c>
      <c r="N34" s="448">
        <v>40</v>
      </c>
      <c r="O34" s="448">
        <v>80</v>
      </c>
      <c r="P34" s="448">
        <v>40</v>
      </c>
      <c r="Q34" s="448">
        <v>40</v>
      </c>
      <c r="R34" s="448">
        <v>40</v>
      </c>
      <c r="S34" s="448">
        <v>40</v>
      </c>
      <c r="T34" s="448"/>
      <c r="U34" s="448"/>
      <c r="V34" s="448"/>
      <c r="W34" s="448"/>
      <c r="X34" s="447">
        <f t="shared" ref="X34" si="24">IF(AP35="","",SUM(M34:W34)-(-(AP35-SUM(M34:W34))/$AP$3)*SUM($M$2:$W$2))</f>
        <v>320</v>
      </c>
      <c r="Y34" s="533">
        <f>+X36</f>
        <v>-42.5</v>
      </c>
      <c r="Z34" s="450">
        <f t="shared" si="0"/>
        <v>320</v>
      </c>
      <c r="AA34" s="343">
        <f>+AB34+Z34</f>
        <v>2961</v>
      </c>
      <c r="AB34" s="343">
        <v>2641</v>
      </c>
      <c r="AC34" s="344"/>
      <c r="AD34" s="345"/>
      <c r="AE34" s="346"/>
      <c r="AF34" s="347">
        <f t="shared" si="1"/>
        <v>0</v>
      </c>
      <c r="AG34" s="341">
        <f t="shared" si="2"/>
        <v>0</v>
      </c>
      <c r="AH34" s="341"/>
      <c r="AI34" s="341"/>
      <c r="AJ34" s="348"/>
      <c r="AK34" s="349"/>
      <c r="AL34" s="341"/>
      <c r="AM34" s="341"/>
      <c r="AN34" s="341"/>
      <c r="AO34" s="341"/>
      <c r="AP34" s="350"/>
      <c r="AQ34" s="434"/>
      <c r="AS34" s="390"/>
      <c r="AU34" s="390"/>
    </row>
    <row r="35" spans="2:57" s="98" customFormat="1" ht="62.25" customHeight="1" x14ac:dyDescent="1.35">
      <c r="B35" s="351">
        <v>6</v>
      </c>
      <c r="C35" s="406">
        <f>+B35</f>
        <v>6</v>
      </c>
      <c r="D35" s="407" t="s">
        <v>436</v>
      </c>
      <c r="E35" s="111"/>
      <c r="F35" s="111" t="s">
        <v>35</v>
      </c>
      <c r="G35" s="106" t="s">
        <v>435</v>
      </c>
      <c r="H35" s="111"/>
      <c r="I35" s="111" t="s">
        <v>38</v>
      </c>
      <c r="J35" s="113">
        <v>38.729999999999997</v>
      </c>
      <c r="K35" s="130">
        <v>58</v>
      </c>
      <c r="L35" s="101" t="s">
        <v>17</v>
      </c>
      <c r="M35" s="214">
        <v>58</v>
      </c>
      <c r="N35" s="214">
        <v>36</v>
      </c>
      <c r="O35" s="214">
        <v>52</v>
      </c>
      <c r="P35" s="214">
        <v>52</v>
      </c>
      <c r="Q35" s="214">
        <v>52</v>
      </c>
      <c r="R35" s="214">
        <v>58</v>
      </c>
      <c r="S35" s="214">
        <v>58</v>
      </c>
      <c r="T35" s="214">
        <v>58</v>
      </c>
      <c r="U35" s="214">
        <v>12</v>
      </c>
      <c r="V35" s="214"/>
      <c r="W35" s="214"/>
      <c r="X35" s="123">
        <f>+IF(H36="s",0,IF(Z35=0,0,IF(COUNTA(M35:W35)=AJ37+0.75,SUMIF($C:$C,B35,$Z:$Z)/AJ37,SUMIF($C:$C,B35,$Z:$Z)/(COUNTA(M35:W35)))))</f>
        <v>52.848484848484851</v>
      </c>
      <c r="Y35" s="534"/>
      <c r="Z35" s="134">
        <f t="shared" si="0"/>
        <v>436</v>
      </c>
      <c r="AA35" s="354">
        <f>+Z35+AB35</f>
        <v>2354</v>
      </c>
      <c r="AB35" s="354">
        <v>1918</v>
      </c>
      <c r="AC35" s="355">
        <f>+AA34-AA35</f>
        <v>607</v>
      </c>
      <c r="AD35" s="131">
        <f>+IF(((Z36+(Z37/2))*60)=0,"",(J35*Z35)/((Z36+(Z37/2))*60))</f>
        <v>0.79334178999295268</v>
      </c>
      <c r="AE35" s="347">
        <f>+Z36+Z37/2</f>
        <v>354.75</v>
      </c>
      <c r="AF35" s="347">
        <f t="shared" si="1"/>
        <v>354.45</v>
      </c>
      <c r="AG35" s="341">
        <f t="shared" si="2"/>
        <v>21285</v>
      </c>
      <c r="AH35" s="341">
        <f>+Z35*J35</f>
        <v>16886.28</v>
      </c>
      <c r="AI35" s="356">
        <f>+Z35-(AE35*K35/K37)</f>
        <v>-53.892857142857167</v>
      </c>
      <c r="AJ35" s="348"/>
      <c r="AK35" s="349"/>
      <c r="AL35" s="341"/>
      <c r="AM35" s="341"/>
      <c r="AN35" s="341"/>
      <c r="AO35" s="341"/>
      <c r="AP35" s="339">
        <f t="shared" si="7"/>
        <v>-225.75</v>
      </c>
      <c r="AQ35" s="434">
        <v>1.5</v>
      </c>
      <c r="AS35" s="390">
        <v>723</v>
      </c>
      <c r="AU35" s="390">
        <f t="shared" ref="AU35" si="25">+AS35-AC35</f>
        <v>116</v>
      </c>
      <c r="AV35" s="535" t="s">
        <v>473</v>
      </c>
      <c r="AW35" s="535"/>
      <c r="AX35" s="535"/>
      <c r="AY35" s="535"/>
      <c r="AZ35" s="535"/>
      <c r="BA35" s="535"/>
      <c r="BB35" s="535"/>
      <c r="BC35" s="535"/>
      <c r="BD35" s="535"/>
      <c r="BE35" s="535"/>
    </row>
    <row r="36" spans="2:57" s="98" customFormat="1" ht="62.25" customHeight="1" x14ac:dyDescent="0.9">
      <c r="B36" s="357">
        <f>B35</f>
        <v>6</v>
      </c>
      <c r="C36" s="408"/>
      <c r="D36" s="184"/>
      <c r="E36" s="111">
        <f>+B35</f>
        <v>6</v>
      </c>
      <c r="F36" s="409"/>
      <c r="G36" s="113">
        <f>+IFERROR(IF(K37=0,0,IF((LOOKUP(2,1/(M36:W36&lt;&gt;""),M36:W36)-K37)&lt;0,0,IF(K37=0,"",LOOKUP(2,1/(M36:W36&lt;&gt;""),M36:W36)-K37))),0)</f>
        <v>1</v>
      </c>
      <c r="H36" s="411" t="s">
        <v>413</v>
      </c>
      <c r="I36" s="113"/>
      <c r="J36" s="113">
        <v>1</v>
      </c>
      <c r="K36" s="114" t="s">
        <v>22</v>
      </c>
      <c r="L36" s="102" t="s">
        <v>18</v>
      </c>
      <c r="M36" s="448">
        <v>43</v>
      </c>
      <c r="N36" s="448">
        <v>43</v>
      </c>
      <c r="O36" s="448">
        <v>43</v>
      </c>
      <c r="P36" s="448">
        <v>43</v>
      </c>
      <c r="Q36" s="448">
        <v>43</v>
      </c>
      <c r="R36" s="448">
        <v>43</v>
      </c>
      <c r="S36" s="448">
        <v>43</v>
      </c>
      <c r="T36" s="448">
        <v>43</v>
      </c>
      <c r="U36" s="448">
        <v>43</v>
      </c>
      <c r="V36" s="448"/>
      <c r="W36" s="448"/>
      <c r="X36" s="160">
        <f>+IF(H36="l",IF(COUNTA(M35:W35)=AJ37+0.75,Z35-K35*AJ37,Z35-(K35*COUNTA(M35:W35))),IF(H36="s",0,IF(COUNTA(M35:W35)=AJ37+0.75,SUMIF($C:$C,B35,$Z:$Z)-K35*AJ37,SUMIF($C:$C,B35,$Z:$Z)-K35*COUNTA(M35:W35))))</f>
        <v>-42.5</v>
      </c>
      <c r="Y36" s="534"/>
      <c r="Z36" s="462">
        <f t="shared" ref="Z36:Z37" si="26">+SUM(M36:W36)-U36*0.75</f>
        <v>354.75</v>
      </c>
      <c r="AA36" s="360"/>
      <c r="AB36" s="360"/>
      <c r="AC36" s="362"/>
      <c r="AD36" s="363"/>
      <c r="AE36" s="346"/>
      <c r="AF36" s="347">
        <f t="shared" si="1"/>
        <v>0</v>
      </c>
      <c r="AG36" s="341">
        <f t="shared" si="2"/>
        <v>0</v>
      </c>
      <c r="AH36" s="341"/>
      <c r="AI36" s="356"/>
      <c r="AJ36" s="348"/>
      <c r="AK36" s="349">
        <f>+IF(AJ37=7.75,SUM(M36:S36)+T36*0.75,IF(AJ37=8,SUM(M36:T36),IF(AJ37=7.25,SUM(M36:S36)+T36*0.25,IF(AJ37=8.25,SUM(M36:T36)+U36*0.25,IF(AJ37=8.75,SUM(M36:T36)+U36*0.75,0)))))</f>
        <v>354.75</v>
      </c>
      <c r="AL36" s="341">
        <f>+AK36-Z36</f>
        <v>0</v>
      </c>
      <c r="AM36" s="341"/>
      <c r="AN36" s="341"/>
      <c r="AO36" s="341"/>
      <c r="AP36" s="438"/>
      <c r="AQ36" s="434"/>
      <c r="AS36" s="390"/>
      <c r="AU36" s="390"/>
    </row>
    <row r="37" spans="2:57" s="98" customFormat="1" ht="62.25" customHeight="1" thickBot="1" x14ac:dyDescent="0.95">
      <c r="B37" s="364">
        <f>B35</f>
        <v>6</v>
      </c>
      <c r="C37" s="410"/>
      <c r="D37" s="174" t="s">
        <v>366</v>
      </c>
      <c r="E37" s="175">
        <f>+E36+100</f>
        <v>106</v>
      </c>
      <c r="F37" s="175"/>
      <c r="G37" s="444">
        <f>+SUMPRODUCT((M36:W36&lt;&gt;"")*(M36:W36&lt;&gt;0)*(M36:W36-K37))</f>
        <v>9</v>
      </c>
      <c r="H37" s="117"/>
      <c r="I37" s="442"/>
      <c r="J37" s="165">
        <f>+IF(K37="","",IF(K35=0,"",(K35*J35)/(K37*60)))</f>
        <v>0.89140476190476181</v>
      </c>
      <c r="K37" s="118">
        <v>42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451"/>
      <c r="Y37" s="371">
        <f>18.42+IF(COUNTA(M35:W35)=$AI$4+0.25,$AI$4-(Z35/K35),COUNTA(M35:W35)-(Z35/K35))</f>
        <v>19.902758620689657</v>
      </c>
      <c r="Z37" s="463">
        <f t="shared" si="26"/>
        <v>0</v>
      </c>
      <c r="AA37" s="367"/>
      <c r="AB37" s="367"/>
      <c r="AC37" s="368">
        <f>+IFERROR(AC35/(K35*$AP$3),"")</f>
        <v>1.1960591133004925</v>
      </c>
      <c r="AD37" s="369"/>
      <c r="AE37" s="347"/>
      <c r="AF37" s="347">
        <f t="shared" si="1"/>
        <v>0</v>
      </c>
      <c r="AG37" s="341">
        <f t="shared" si="2"/>
        <v>0</v>
      </c>
      <c r="AH37" s="341"/>
      <c r="AI37" s="356"/>
      <c r="AJ37" s="370">
        <f>+$AI$4</f>
        <v>8.25</v>
      </c>
      <c r="AK37" s="349">
        <f>+IF(AJ37=7.75,SUM(M37:S37)+T37*0.75,IF(AJ37=8,SUM(M37:T37),IF(AJ37=7.25,SUM(M37:S37)+T37*0.25,IF(AJ37=8.25,SUM(M37:T37)+U37*0.25,IF(AJ37=8.75,SUM(M37:T37)+U37*0.75,0)))))</f>
        <v>0</v>
      </c>
      <c r="AL37" s="341">
        <f>+AK37-Z37</f>
        <v>0</v>
      </c>
      <c r="AM37" s="341"/>
      <c r="AN37" s="341"/>
      <c r="AO37" s="341"/>
      <c r="AP37" s="369"/>
      <c r="AQ37" s="434"/>
      <c r="AS37" s="390">
        <v>1.4246305418719212</v>
      </c>
      <c r="AU37" s="390"/>
    </row>
    <row r="38" spans="2:57" s="98" customFormat="1" ht="62.25" customHeight="1" thickTop="1" x14ac:dyDescent="0.9">
      <c r="B38" s="342">
        <f>+B39</f>
        <v>7</v>
      </c>
      <c r="C38" s="405"/>
      <c r="D38" s="106"/>
      <c r="E38" s="106"/>
      <c r="F38" s="106"/>
      <c r="G38" s="439" t="str">
        <f>+G39</f>
        <v>2070-397-802</v>
      </c>
      <c r="H38" s="106"/>
      <c r="I38" s="106"/>
      <c r="J38" s="107" t="s">
        <v>20</v>
      </c>
      <c r="K38" s="108" t="s">
        <v>23</v>
      </c>
      <c r="L38" s="100" t="s">
        <v>21</v>
      </c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48"/>
      <c r="X38" s="447" t="str">
        <f t="shared" ref="X38" si="27">IF(AP39="","",SUM(M38:W38)-(-(AP39-SUM(M38:W38))/$AP$3)*SUM($M$2:$W$2))</f>
        <v/>
      </c>
      <c r="Y38" s="533">
        <f>+X40</f>
        <v>0</v>
      </c>
      <c r="Z38" s="450">
        <f t="shared" si="0"/>
        <v>0</v>
      </c>
      <c r="AA38" s="343">
        <f>+AB38+Z38</f>
        <v>3511</v>
      </c>
      <c r="AB38" s="343">
        <v>3511</v>
      </c>
      <c r="AC38" s="344"/>
      <c r="AD38" s="345"/>
      <c r="AE38" s="346"/>
      <c r="AF38" s="347">
        <f t="shared" si="1"/>
        <v>0</v>
      </c>
      <c r="AG38" s="341">
        <f t="shared" si="2"/>
        <v>0</v>
      </c>
      <c r="AH38" s="341"/>
      <c r="AI38" s="341"/>
      <c r="AJ38" s="348"/>
      <c r="AK38" s="349"/>
      <c r="AL38" s="341"/>
      <c r="AM38" s="341"/>
      <c r="AN38" s="341"/>
      <c r="AO38" s="341"/>
      <c r="AP38" s="350"/>
      <c r="AQ38" s="434"/>
      <c r="AS38" s="390"/>
      <c r="AU38" s="390"/>
    </row>
    <row r="39" spans="2:57" s="98" customFormat="1" ht="62.25" customHeight="1" x14ac:dyDescent="1.35">
      <c r="B39" s="351">
        <v>7</v>
      </c>
      <c r="C39" s="406">
        <f>+B39</f>
        <v>7</v>
      </c>
      <c r="D39" s="407" t="s">
        <v>425</v>
      </c>
      <c r="E39" s="111"/>
      <c r="F39" s="111" t="s">
        <v>35</v>
      </c>
      <c r="G39" s="106" t="s">
        <v>426</v>
      </c>
      <c r="H39" s="111"/>
      <c r="I39" s="111" t="s">
        <v>38</v>
      </c>
      <c r="J39" s="113">
        <v>39.299999999999997</v>
      </c>
      <c r="K39" s="130">
        <v>60</v>
      </c>
      <c r="L39" s="101" t="s">
        <v>17</v>
      </c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123">
        <f>+IF(H40="s",0,IF(Z39=0,0,IF(COUNTA(M39:W39)=AJ41+0.75,SUMIF($C:$C,B39,$Z:$Z)/AJ41,SUMIF($C:$C,B39,$Z:$Z)/(COUNTA(M39:W39)))))</f>
        <v>0</v>
      </c>
      <c r="Y39" s="534"/>
      <c r="Z39" s="134">
        <f t="shared" si="0"/>
        <v>0</v>
      </c>
      <c r="AA39" s="354">
        <f>+Z39+AB39</f>
        <v>3502</v>
      </c>
      <c r="AB39" s="354">
        <v>3502</v>
      </c>
      <c r="AC39" s="355">
        <f>+AA38-AA39</f>
        <v>9</v>
      </c>
      <c r="AD39" s="131" t="str">
        <f>+IF(((Z40+(Z41/2))*60)=0,"",(J39*Z39)/((Z40+(Z41/2))*60))</f>
        <v/>
      </c>
      <c r="AE39" s="347">
        <f>+Z40+Z41/2</f>
        <v>0</v>
      </c>
      <c r="AF39" s="347">
        <f t="shared" si="1"/>
        <v>0</v>
      </c>
      <c r="AG39" s="341">
        <f t="shared" si="2"/>
        <v>0</v>
      </c>
      <c r="AH39" s="341">
        <f>+Z39*J39</f>
        <v>0</v>
      </c>
      <c r="AI39" s="356">
        <f>+Z39-(AE39*K39/K41)</f>
        <v>0</v>
      </c>
      <c r="AJ39" s="348"/>
      <c r="AK39" s="349"/>
      <c r="AL39" s="341"/>
      <c r="AM39" s="341"/>
      <c r="AN39" s="341"/>
      <c r="AO39" s="341"/>
      <c r="AP39" s="339" t="str">
        <f t="shared" si="7"/>
        <v/>
      </c>
      <c r="AQ39" s="434"/>
      <c r="AS39" s="390">
        <v>9</v>
      </c>
      <c r="AU39" s="390">
        <f t="shared" ref="AU39" si="28">+AS39-AC39</f>
        <v>0</v>
      </c>
      <c r="AV39" s="535"/>
      <c r="AW39" s="535"/>
      <c r="AX39" s="535"/>
      <c r="AY39" s="535"/>
      <c r="AZ39" s="535"/>
      <c r="BA39" s="535"/>
      <c r="BB39" s="535"/>
      <c r="BC39" s="535"/>
      <c r="BD39" s="535"/>
      <c r="BE39" s="535"/>
    </row>
    <row r="40" spans="2:57" s="98" customFormat="1" ht="62.25" customHeight="1" x14ac:dyDescent="0.9">
      <c r="B40" s="357">
        <f>B39</f>
        <v>7</v>
      </c>
      <c r="C40" s="408"/>
      <c r="D40" s="184"/>
      <c r="E40" s="111">
        <f>+B39</f>
        <v>7</v>
      </c>
      <c r="F40" s="409"/>
      <c r="G40" s="113">
        <f>+IFERROR(IF(K41=0,0,IF((LOOKUP(2,1/(M40:W40&lt;&gt;""),M40:W40)-K41)&lt;0,0,IF(K41=0,"",LOOKUP(2,1/(M40:W40&lt;&gt;""),M40:W40)-K41))),0)</f>
        <v>0</v>
      </c>
      <c r="H40" s="411" t="s">
        <v>414</v>
      </c>
      <c r="I40" s="113"/>
      <c r="J40" s="113">
        <v>0</v>
      </c>
      <c r="K40" s="114" t="s">
        <v>22</v>
      </c>
      <c r="L40" s="102" t="s">
        <v>18</v>
      </c>
      <c r="M40" s="448"/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160">
        <f>+IF(H40="l",IF(COUNTA(M39:W39)=AJ41+0.75,Z39-K39*AJ41,Z39-(K39*COUNTA(M39:W39))),IF(H40="s",0,IF(COUNTA(M39:W39)=AJ41+0.75,SUMIF($C:$C,B39,$Z:$Z)-K39*AJ41,SUMIF($C:$C,B39,$Z:$Z)-K39*COUNTA(M39:W39))))</f>
        <v>0</v>
      </c>
      <c r="Y40" s="534"/>
      <c r="Z40" s="462">
        <f t="shared" ref="Z40:Z41" si="29">+SUM(M40:W40)-U40*0.75</f>
        <v>0</v>
      </c>
      <c r="AA40" s="360"/>
      <c r="AB40" s="360"/>
      <c r="AC40" s="362"/>
      <c r="AD40" s="363"/>
      <c r="AE40" s="346"/>
      <c r="AF40" s="347">
        <f t="shared" si="1"/>
        <v>0</v>
      </c>
      <c r="AG40" s="341">
        <f t="shared" si="2"/>
        <v>0</v>
      </c>
      <c r="AH40" s="341"/>
      <c r="AI40" s="341"/>
      <c r="AJ40" s="348"/>
      <c r="AK40" s="349">
        <f>+IF(AJ41=7.75,SUM(M40:S40)+T40*0.75,IF(AJ41=8,SUM(M40:T40),IF(AJ41=7.25,SUM(M40:S40)+T40*0.25,IF(AJ41=8.25,SUM(M40:T40)+U40*0.25,IF(AJ41=8.75,SUM(M40:T40)+U40*0.75,0)))))</f>
        <v>0</v>
      </c>
      <c r="AL40" s="341">
        <f>+AK40-Z40</f>
        <v>0</v>
      </c>
      <c r="AM40" s="341"/>
      <c r="AN40" s="341"/>
      <c r="AO40" s="341"/>
      <c r="AP40" s="438"/>
      <c r="AQ40" s="434"/>
      <c r="AS40" s="390"/>
      <c r="AU40" s="390"/>
    </row>
    <row r="41" spans="2:57" s="98" customFormat="1" ht="62.25" customHeight="1" thickBot="1" x14ac:dyDescent="0.95">
      <c r="B41" s="372">
        <f>B39</f>
        <v>7</v>
      </c>
      <c r="C41" s="410"/>
      <c r="D41" s="174" t="s">
        <v>93</v>
      </c>
      <c r="E41" s="175">
        <f>+E40+100</f>
        <v>107</v>
      </c>
      <c r="F41" s="175"/>
      <c r="G41" s="444">
        <f>+SUMPRODUCT((M40:W40&lt;&gt;"")*(M40:W40&lt;&gt;0)*(M40:W40-K41))</f>
        <v>0</v>
      </c>
      <c r="H41" s="117"/>
      <c r="I41" s="442"/>
      <c r="J41" s="165">
        <f>+IF(K41="","",IF(K39=0,"",(K39*J39)/(K41*60)))</f>
        <v>0.93571428571428572</v>
      </c>
      <c r="K41" s="118">
        <v>42</v>
      </c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451"/>
      <c r="Y41" s="371">
        <f>45.44+IF(COUNTA(M39:W39)=$AI$4+0.25,$AI$4-(Z39/K39),COUNTA(M39:W39)-(Z39/K39))</f>
        <v>45.44</v>
      </c>
      <c r="Z41" s="463">
        <f t="shared" si="29"/>
        <v>0</v>
      </c>
      <c r="AA41" s="367"/>
      <c r="AB41" s="367"/>
      <c r="AC41" s="368">
        <f>+IFERROR(AC39/(K39*$AP$3),"")</f>
        <v>1.7142857142857144E-2</v>
      </c>
      <c r="AD41" s="369"/>
      <c r="AE41" s="347"/>
      <c r="AF41" s="347">
        <f t="shared" si="1"/>
        <v>0</v>
      </c>
      <c r="AG41" s="341">
        <f t="shared" si="2"/>
        <v>0</v>
      </c>
      <c r="AH41" s="341"/>
      <c r="AI41" s="356"/>
      <c r="AJ41" s="370">
        <f>+$AI$4</f>
        <v>8.25</v>
      </c>
      <c r="AK41" s="349">
        <f>+IF(AJ41=7.75,SUM(M41:S41)+T41*0.75,IF(AJ41=8,SUM(M41:T41),IF(AJ41=7.25,SUM(M41:S41)+T41*0.25,IF(AJ41=8.25,SUM(M41:T41)+U41*0.25,IF(AJ41=8.75,SUM(M41:T41)+U41*0.75,0)))))</f>
        <v>0</v>
      </c>
      <c r="AL41" s="341">
        <f>+AK41-Z41</f>
        <v>0</v>
      </c>
      <c r="AM41" s="341"/>
      <c r="AN41" s="341"/>
      <c r="AO41" s="341"/>
      <c r="AP41" s="369"/>
      <c r="AQ41" s="434"/>
      <c r="AS41" s="390">
        <v>1.7142857142857144E-2</v>
      </c>
      <c r="AU41" s="390"/>
    </row>
    <row r="42" spans="2:57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439" t="str">
        <f>+G43</f>
        <v>2076-780-803</v>
      </c>
      <c r="H42" s="106"/>
      <c r="I42" s="106"/>
      <c r="J42" s="107" t="s">
        <v>20</v>
      </c>
      <c r="K42" s="108" t="s">
        <v>23</v>
      </c>
      <c r="L42" s="100" t="s">
        <v>21</v>
      </c>
      <c r="M42" s="448"/>
      <c r="N42" s="448">
        <v>40</v>
      </c>
      <c r="O42" s="448">
        <v>40</v>
      </c>
      <c r="P42" s="448">
        <v>80</v>
      </c>
      <c r="Q42" s="448">
        <v>80</v>
      </c>
      <c r="R42" s="448">
        <v>40</v>
      </c>
      <c r="S42" s="448">
        <v>40</v>
      </c>
      <c r="T42" s="448"/>
      <c r="U42" s="448"/>
      <c r="V42" s="448"/>
      <c r="W42" s="448"/>
      <c r="X42" s="447">
        <f t="shared" ref="X42" si="30">IF(AP43="","",SUM(M42:W42)-(-(AP43-SUM(M42:W42))/$AP$3)*SUM($M$2:$W$2))</f>
        <v>320</v>
      </c>
      <c r="Y42" s="533">
        <f>+X44</f>
        <v>-104.5</v>
      </c>
      <c r="Z42" s="450">
        <f t="shared" si="0"/>
        <v>320</v>
      </c>
      <c r="AA42" s="343">
        <f>+AB42+Z42</f>
        <v>2721</v>
      </c>
      <c r="AB42" s="343">
        <v>2401</v>
      </c>
      <c r="AC42" s="344"/>
      <c r="AD42" s="345"/>
      <c r="AE42" s="346"/>
      <c r="AF42" s="347">
        <f t="shared" si="1"/>
        <v>0</v>
      </c>
      <c r="AG42" s="341">
        <f t="shared" si="2"/>
        <v>0</v>
      </c>
      <c r="AH42" s="341"/>
      <c r="AI42" s="341"/>
      <c r="AJ42" s="348"/>
      <c r="AK42" s="349"/>
      <c r="AL42" s="341"/>
      <c r="AM42" s="341"/>
      <c r="AN42" s="341"/>
      <c r="AO42" s="341"/>
      <c r="AP42" s="350"/>
      <c r="AQ42" s="434"/>
      <c r="AS42" s="390"/>
      <c r="AU42" s="390"/>
    </row>
    <row r="43" spans="2:57" s="98" customFormat="1" ht="62.25" customHeight="1" x14ac:dyDescent="1.35">
      <c r="B43" s="351">
        <v>7</v>
      </c>
      <c r="C43" s="406">
        <f>+B43</f>
        <v>7</v>
      </c>
      <c r="D43" s="407" t="s">
        <v>436</v>
      </c>
      <c r="E43" s="111"/>
      <c r="F43" s="111" t="s">
        <v>35</v>
      </c>
      <c r="G43" s="106" t="s">
        <v>435</v>
      </c>
      <c r="H43" s="111"/>
      <c r="I43" s="111" t="s">
        <v>38</v>
      </c>
      <c r="J43" s="113">
        <v>38.729999999999997</v>
      </c>
      <c r="K43" s="130">
        <v>58</v>
      </c>
      <c r="L43" s="101" t="s">
        <v>17</v>
      </c>
      <c r="M43" s="214">
        <v>40</v>
      </c>
      <c r="N43" s="214">
        <v>40</v>
      </c>
      <c r="O43" s="214">
        <v>40</v>
      </c>
      <c r="P43" s="214">
        <v>24</v>
      </c>
      <c r="Q43" s="214">
        <v>35</v>
      </c>
      <c r="R43" s="214">
        <v>60</v>
      </c>
      <c r="S43" s="214">
        <v>65</v>
      </c>
      <c r="T43" s="214">
        <v>60</v>
      </c>
      <c r="U43" s="214">
        <v>10</v>
      </c>
      <c r="V43" s="214"/>
      <c r="W43" s="214"/>
      <c r="X43" s="123">
        <f>+IF(H44="s",0,IF(Z43=0,0,IF(COUNTA(M43:W43)=AJ45+0.75,SUMIF($C:$C,B43,$Z:$Z)/AJ45,SUMIF($C:$C,B43,$Z:$Z)/(COUNTA(M43:W43)))))</f>
        <v>45.333333333333336</v>
      </c>
      <c r="Y43" s="534"/>
      <c r="Z43" s="134">
        <f t="shared" si="0"/>
        <v>374</v>
      </c>
      <c r="AA43" s="354">
        <f>+Z43+AB43</f>
        <v>1928</v>
      </c>
      <c r="AB43" s="354">
        <v>1554</v>
      </c>
      <c r="AC43" s="355">
        <f>+AA42-AA43</f>
        <v>793</v>
      </c>
      <c r="AD43" s="131">
        <f>+IF(((Z44+(Z45/2))*60)=0,"",(J43*Z43)/((Z44+(Z45/2))*60))</f>
        <v>0.70512449799196786</v>
      </c>
      <c r="AE43" s="347">
        <f>+Z44+Z45/2</f>
        <v>342.375</v>
      </c>
      <c r="AF43" s="347">
        <f t="shared" si="1"/>
        <v>342.22500000000002</v>
      </c>
      <c r="AG43" s="341">
        <f t="shared" si="2"/>
        <v>20542.5</v>
      </c>
      <c r="AH43" s="341">
        <f>+Z43*J43</f>
        <v>14485.019999999999</v>
      </c>
      <c r="AI43" s="356">
        <f>+Z43-(AE43*K43/K45)</f>
        <v>-98.803571428571445</v>
      </c>
      <c r="AJ43" s="348"/>
      <c r="AK43" s="349"/>
      <c r="AL43" s="341"/>
      <c r="AM43" s="341"/>
      <c r="AN43" s="341"/>
      <c r="AO43" s="341"/>
      <c r="AP43" s="339">
        <f t="shared" si="7"/>
        <v>-101.75</v>
      </c>
      <c r="AQ43" s="434">
        <v>1.5</v>
      </c>
      <c r="AS43" s="390">
        <v>847</v>
      </c>
      <c r="AU43" s="390">
        <f t="shared" ref="AU43" si="31">+AS43-AC43</f>
        <v>54</v>
      </c>
      <c r="AV43" s="535" t="s">
        <v>473</v>
      </c>
      <c r="AW43" s="535"/>
      <c r="AX43" s="535"/>
      <c r="AY43" s="535"/>
      <c r="AZ43" s="535"/>
      <c r="BA43" s="535"/>
      <c r="BB43" s="535"/>
      <c r="BC43" s="535"/>
      <c r="BD43" s="535"/>
      <c r="BE43" s="535"/>
    </row>
    <row r="44" spans="2:57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113">
        <f>+IFERROR(IF(K45=0,0,IF((LOOKUP(2,1/(M44:W44&lt;&gt;""),M44:W44)-K45)&lt;0,0,IF(K45=0,"",LOOKUP(2,1/(M44:W44&lt;&gt;""),M44:W44)-K45))),0)</f>
        <v>0</v>
      </c>
      <c r="H44" s="411" t="s">
        <v>413</v>
      </c>
      <c r="I44" s="113"/>
      <c r="J44" s="113">
        <v>1</v>
      </c>
      <c r="K44" s="114" t="s">
        <v>22</v>
      </c>
      <c r="L44" s="102" t="s">
        <v>18</v>
      </c>
      <c r="M44" s="448">
        <v>41</v>
      </c>
      <c r="N44" s="448">
        <v>41</v>
      </c>
      <c r="O44" s="448">
        <v>41</v>
      </c>
      <c r="P44" s="448">
        <v>41</v>
      </c>
      <c r="Q44" s="448">
        <v>41</v>
      </c>
      <c r="R44" s="448">
        <v>41</v>
      </c>
      <c r="S44" s="448">
        <v>41</v>
      </c>
      <c r="T44" s="448">
        <v>41</v>
      </c>
      <c r="U44" s="448">
        <v>41</v>
      </c>
      <c r="V44" s="448"/>
      <c r="W44" s="448"/>
      <c r="X44" s="160">
        <f>+IF(H44="l",IF(COUNTA(M43:W43)=AJ45+0.75,Z43-K43*AJ45,Z43-(K43*COUNTA(M43:W43))),IF(H44="s",0,IF(COUNTA(M43:W43)=AJ45+0.75,SUMIF($C:$C,B43,$Z:$Z)-K43*AJ45,SUMIF($C:$C,B43,$Z:$Z)-K43*COUNTA(M43:W43))))</f>
        <v>-104.5</v>
      </c>
      <c r="Y44" s="534"/>
      <c r="Z44" s="462">
        <f t="shared" ref="Z44:Z45" si="32">+SUM(M44:W44)-U44*0.75</f>
        <v>338.25</v>
      </c>
      <c r="AA44" s="360"/>
      <c r="AB44" s="360"/>
      <c r="AC44" s="362"/>
      <c r="AD44" s="363"/>
      <c r="AE44" s="346"/>
      <c r="AF44" s="347">
        <f t="shared" si="1"/>
        <v>0</v>
      </c>
      <c r="AG44" s="341">
        <f t="shared" si="2"/>
        <v>0</v>
      </c>
      <c r="AH44" s="341"/>
      <c r="AI44" s="341"/>
      <c r="AJ44" s="348"/>
      <c r="AK44" s="349">
        <f>+IF(AJ45=7.75,SUM(M44:S44)+T44*0.75,IF(AJ45=8,SUM(M44:T44),IF(AJ45=7.25,SUM(M44:S44)+T44*0.25,IF(AJ45=8.25,SUM(M44:T44)+U44*0.25,IF(AJ45=8.75,SUM(M44:T44)+U44*0.75,0)))))</f>
        <v>338.25</v>
      </c>
      <c r="AL44" s="341">
        <f>+AK44-Z44</f>
        <v>0</v>
      </c>
      <c r="AM44" s="341"/>
      <c r="AN44" s="341"/>
      <c r="AO44" s="341"/>
      <c r="AP44" s="438"/>
      <c r="AQ44" s="434"/>
      <c r="AS44" s="390"/>
      <c r="AU44" s="390"/>
    </row>
    <row r="45" spans="2:57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444">
        <f>+SUMPRODUCT((M44:W44&lt;&gt;"")*(M44:W44&lt;&gt;0)*(M44:W44-K45))</f>
        <v>-9</v>
      </c>
      <c r="H45" s="117"/>
      <c r="I45" s="442"/>
      <c r="J45" s="165">
        <f>+IF(K45="","",IF(K43=0,"",(K43*J43)/(K45*60)))</f>
        <v>0.89140476190476181</v>
      </c>
      <c r="K45" s="118">
        <v>42</v>
      </c>
      <c r="L45" s="104" t="s">
        <v>19</v>
      </c>
      <c r="M45" s="216">
        <v>1</v>
      </c>
      <c r="N45" s="216">
        <v>1</v>
      </c>
      <c r="O45" s="216">
        <v>1</v>
      </c>
      <c r="P45" s="216">
        <v>1</v>
      </c>
      <c r="Q45" s="216">
        <v>1</v>
      </c>
      <c r="R45" s="216">
        <v>1</v>
      </c>
      <c r="S45" s="216">
        <v>1</v>
      </c>
      <c r="T45" s="216">
        <v>1</v>
      </c>
      <c r="U45" s="216">
        <v>1</v>
      </c>
      <c r="V45" s="216"/>
      <c r="W45" s="216"/>
      <c r="X45" s="451"/>
      <c r="Y45" s="371">
        <f>22.04+IF(COUNTA(M43:W43)=$AI$4+0.25,$AI$4-(Z43/K43),COUNTA(M43:W43)-(Z43/K43))</f>
        <v>24.591724137931035</v>
      </c>
      <c r="Z45" s="463">
        <f t="shared" si="32"/>
        <v>8.25</v>
      </c>
      <c r="AA45" s="367"/>
      <c r="AB45" s="367"/>
      <c r="AC45" s="368">
        <f>+IFERROR(AC43/(K43*$AP$3),"")</f>
        <v>1.5625615763546798</v>
      </c>
      <c r="AD45" s="369"/>
      <c r="AE45" s="347"/>
      <c r="AF45" s="347">
        <f t="shared" si="1"/>
        <v>0</v>
      </c>
      <c r="AG45" s="341">
        <f t="shared" si="2"/>
        <v>0</v>
      </c>
      <c r="AH45" s="341"/>
      <c r="AI45" s="356"/>
      <c r="AJ45" s="370">
        <f>+$AI$4</f>
        <v>8.25</v>
      </c>
      <c r="AK45" s="349">
        <f>+IF(AJ45=7.75,SUM(M45:S45)+T45*0.75,IF(AJ45=8,SUM(M45:T45),IF(AJ45=7.25,SUM(M45:S45)+T45*0.25,IF(AJ45=8.25,SUM(M45:T45)+U45*0.25,IF(AJ45=8.75,SUM(M45:T45)+U45*0.75,0)))))</f>
        <v>8.25</v>
      </c>
      <c r="AL45" s="341">
        <f>+AK45-Z45</f>
        <v>0</v>
      </c>
      <c r="AM45" s="341"/>
      <c r="AN45" s="341"/>
      <c r="AO45" s="341"/>
      <c r="AP45" s="369"/>
      <c r="AQ45" s="434"/>
      <c r="AS45" s="390">
        <v>1.6689655172413793</v>
      </c>
      <c r="AU45" s="390"/>
    </row>
    <row r="46" spans="2:57" s="98" customFormat="1" ht="62.25" customHeight="1" thickTop="1" x14ac:dyDescent="0.9">
      <c r="B46" s="342">
        <f>+B47</f>
        <v>8</v>
      </c>
      <c r="C46" s="405"/>
      <c r="D46" s="106"/>
      <c r="E46" s="106"/>
      <c r="F46" s="106"/>
      <c r="G46" s="439" t="str">
        <f>+G47</f>
        <v>2158-755-712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60</v>
      </c>
      <c r="N46" s="448">
        <v>120</v>
      </c>
      <c r="O46" s="448"/>
      <c r="P46" s="448">
        <v>60</v>
      </c>
      <c r="Q46" s="448">
        <v>60</v>
      </c>
      <c r="R46" s="448"/>
      <c r="S46" s="448"/>
      <c r="T46" s="448"/>
      <c r="U46" s="448"/>
      <c r="V46" s="448"/>
      <c r="W46" s="448"/>
      <c r="X46" s="447">
        <f t="shared" ref="X46" si="33">IF(AP47="","",SUM(M46:W46)-(-(AP47-SUM(M46:W46))/$AP$3)*SUM($M$2:$W$2))</f>
        <v>300</v>
      </c>
      <c r="Y46" s="533">
        <f>+X48</f>
        <v>-42</v>
      </c>
      <c r="Z46" s="450">
        <f t="shared" si="0"/>
        <v>300</v>
      </c>
      <c r="AA46" s="343">
        <f>+AB46+Z46</f>
        <v>1501</v>
      </c>
      <c r="AB46" s="343">
        <v>1201</v>
      </c>
      <c r="AC46" s="344"/>
      <c r="AD46" s="345"/>
      <c r="AE46" s="346"/>
      <c r="AF46" s="347">
        <f t="shared" si="1"/>
        <v>0</v>
      </c>
      <c r="AG46" s="341">
        <f t="shared" si="2"/>
        <v>0</v>
      </c>
      <c r="AH46" s="341"/>
      <c r="AI46" s="341"/>
      <c r="AJ46" s="348"/>
      <c r="AK46" s="349"/>
      <c r="AL46" s="341"/>
      <c r="AM46" s="341"/>
      <c r="AN46" s="341"/>
      <c r="AO46" s="341"/>
      <c r="AP46" s="350"/>
      <c r="AQ46" s="434"/>
      <c r="AS46" s="390"/>
      <c r="AU46" s="390"/>
    </row>
    <row r="47" spans="2:57" s="98" customFormat="1" ht="62.25" customHeight="1" x14ac:dyDescent="0.9">
      <c r="B47" s="351">
        <v>8</v>
      </c>
      <c r="C47" s="406">
        <f>+B47</f>
        <v>8</v>
      </c>
      <c r="D47" s="407" t="s">
        <v>431</v>
      </c>
      <c r="E47" s="111"/>
      <c r="F47" s="111" t="s">
        <v>35</v>
      </c>
      <c r="G47" s="106" t="s">
        <v>432</v>
      </c>
      <c r="H47" s="111"/>
      <c r="I47" s="111" t="s">
        <v>33</v>
      </c>
      <c r="J47" s="113">
        <v>51.42</v>
      </c>
      <c r="K47" s="130">
        <v>52</v>
      </c>
      <c r="L47" s="101" t="s">
        <v>17</v>
      </c>
      <c r="M47" s="214">
        <v>40</v>
      </c>
      <c r="N47" s="214">
        <v>40</v>
      </c>
      <c r="O47" s="214">
        <v>45</v>
      </c>
      <c r="P47" s="214">
        <v>50</v>
      </c>
      <c r="Q47" s="214">
        <v>50</v>
      </c>
      <c r="R47" s="214">
        <v>50</v>
      </c>
      <c r="S47" s="214">
        <v>50</v>
      </c>
      <c r="T47" s="214">
        <v>50</v>
      </c>
      <c r="U47" s="214">
        <v>12</v>
      </c>
      <c r="V47" s="214"/>
      <c r="W47" s="214"/>
      <c r="X47" s="123">
        <f>+IF(H48="s",0,IF(Z47=0,0,IF(COUNTA(M47:W47)=AJ49+0.75,SUMIF($C:$C,B47,$Z:$Z)/AJ49,SUMIF($C:$C,B47,$Z:$Z)/(COUNTA(M47:W47)))))</f>
        <v>46.909090909090907</v>
      </c>
      <c r="Y47" s="534"/>
      <c r="Z47" s="134">
        <f t="shared" si="0"/>
        <v>387</v>
      </c>
      <c r="AA47" s="354">
        <f>+Z47+AB47</f>
        <v>572</v>
      </c>
      <c r="AB47" s="354">
        <v>185</v>
      </c>
      <c r="AC47" s="355">
        <f>+AA46-AA47</f>
        <v>929</v>
      </c>
      <c r="AD47" s="131">
        <f>+IF(((Z48+(Z49/2))*60)=0,"",(J47*Z47)/((Z48+(Z49/2))*60))</f>
        <v>0.79013460393091128</v>
      </c>
      <c r="AE47" s="347">
        <f>+Z48+Z49/2</f>
        <v>419.75</v>
      </c>
      <c r="AF47" s="347">
        <f t="shared" si="1"/>
        <v>419.45</v>
      </c>
      <c r="AG47" s="341">
        <f t="shared" si="2"/>
        <v>25185</v>
      </c>
      <c r="AH47" s="341">
        <f>+Z47*J47</f>
        <v>19899.54</v>
      </c>
      <c r="AI47" s="356">
        <f>+Z47-(AE47*K47/K49)</f>
        <v>-40.980392156862763</v>
      </c>
      <c r="AJ47" s="348"/>
      <c r="AK47" s="349"/>
      <c r="AL47" s="341"/>
      <c r="AM47" s="341"/>
      <c r="AN47" s="341"/>
      <c r="AO47" s="341"/>
      <c r="AP47" s="339">
        <f t="shared" si="7"/>
        <v>178.5</v>
      </c>
      <c r="AQ47" s="434">
        <v>1.5</v>
      </c>
      <c r="AS47" s="390">
        <v>1016</v>
      </c>
      <c r="AU47" s="390">
        <f t="shared" ref="AU47" si="34">+AS47-AC47</f>
        <v>87</v>
      </c>
    </row>
    <row r="48" spans="2:57" s="98" customFormat="1" ht="62.25" customHeight="1" x14ac:dyDescent="0.9">
      <c r="B48" s="357">
        <f>+B47</f>
        <v>8</v>
      </c>
      <c r="C48" s="408"/>
      <c r="D48" s="184"/>
      <c r="E48" s="111">
        <f>+B47</f>
        <v>8</v>
      </c>
      <c r="F48" s="409"/>
      <c r="G48" s="113">
        <f>+IFERROR(IF(K49=0,0,IF((LOOKUP(2,1/(M48:W48&lt;&gt;""),M48:W48)-K49)&lt;0,0,IF(K49=0,"",LOOKUP(2,1/(M48:W48&lt;&gt;""),M48:W48)-K49))),0)</f>
        <v>0</v>
      </c>
      <c r="H48" s="411" t="s">
        <v>412</v>
      </c>
      <c r="I48" s="113"/>
      <c r="J48" s="113">
        <v>1</v>
      </c>
      <c r="K48" s="114" t="s">
        <v>22</v>
      </c>
      <c r="L48" s="102" t="s">
        <v>18</v>
      </c>
      <c r="M48" s="448">
        <v>50</v>
      </c>
      <c r="N48" s="448">
        <v>51</v>
      </c>
      <c r="O48" s="448">
        <v>51</v>
      </c>
      <c r="P48" s="448">
        <v>51</v>
      </c>
      <c r="Q48" s="448">
        <v>51</v>
      </c>
      <c r="R48" s="448">
        <v>51</v>
      </c>
      <c r="S48" s="448">
        <v>51</v>
      </c>
      <c r="T48" s="448">
        <v>51</v>
      </c>
      <c r="U48" s="448">
        <v>51</v>
      </c>
      <c r="V48" s="448"/>
      <c r="W48" s="448"/>
      <c r="X48" s="160">
        <f>+IF(H48="l",IF(COUNTA(M47:W47)=AJ49+0.75,Z47-K47*AJ49,Z47-(K47*COUNTA(M47:W47))),IF(H48="s",0,IF(COUNTA(M47:W47)=AJ49+0.75,SUMIF($C:$C,B47,$Z:$Z)-K47*AJ49,SUMIF($C:$C,B47,$Z:$Z)-K47*COUNTA(M47:W47))))</f>
        <v>-42</v>
      </c>
      <c r="Y48" s="534"/>
      <c r="Z48" s="462">
        <f t="shared" ref="Z48:Z49" si="35">+SUM(M48:W48)-U48*0.75</f>
        <v>419.75</v>
      </c>
      <c r="AA48" s="360"/>
      <c r="AB48" s="360"/>
      <c r="AC48" s="362"/>
      <c r="AD48" s="363"/>
      <c r="AE48" s="346"/>
      <c r="AF48" s="347">
        <f t="shared" si="1"/>
        <v>0</v>
      </c>
      <c r="AG48" s="341">
        <f t="shared" si="2"/>
        <v>0</v>
      </c>
      <c r="AH48" s="341"/>
      <c r="AI48" s="341"/>
      <c r="AJ48" s="348"/>
      <c r="AK48" s="349">
        <f>+IF(AJ49=7.75,SUM(M48:S48)+T48*0.75,IF(AJ49=8,SUM(M48:T48),IF(AJ49=7.25,SUM(M48:S48)+T48*0.25,IF(AJ49=8.25,SUM(M48:T48)+U48*0.25,IF(AJ49=8.75,SUM(M48:T48)+U48*0.75,0)))))</f>
        <v>419.75</v>
      </c>
      <c r="AL48" s="341">
        <f>+AK48-Z48</f>
        <v>0</v>
      </c>
      <c r="AM48" s="341"/>
      <c r="AN48" s="341"/>
      <c r="AO48" s="341"/>
      <c r="AP48" s="438"/>
      <c r="AQ48" s="434"/>
      <c r="AS48" s="390"/>
      <c r="AU48" s="390"/>
    </row>
    <row r="49" spans="2:57" s="98" customFormat="1" ht="62.25" customHeight="1" thickBot="1" x14ac:dyDescent="0.95">
      <c r="B49" s="364">
        <f>+B47</f>
        <v>8</v>
      </c>
      <c r="C49" s="410"/>
      <c r="D49" s="174" t="s">
        <v>373</v>
      </c>
      <c r="E49" s="175">
        <f>+E48+100</f>
        <v>108</v>
      </c>
      <c r="F49" s="175"/>
      <c r="G49" s="444">
        <f>+SUMPRODUCT((M48:W48&lt;&gt;"")*(M48:W48&lt;&gt;0)*(M48:W48-K49))</f>
        <v>-1</v>
      </c>
      <c r="H49" s="117"/>
      <c r="I49" s="442"/>
      <c r="J49" s="165">
        <f>+IF(K49="","",IF(K47=0,"",(K47*J47)/(K49*60)))</f>
        <v>0.87380392156862752</v>
      </c>
      <c r="K49" s="118">
        <v>51</v>
      </c>
      <c r="L49" s="104" t="s">
        <v>422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451"/>
      <c r="Y49" s="371">
        <f>9.3667+IF(COUNTA(M47:W47)=$AI$4+0.25,$AI$4-(Z47/K47),COUNTA(M47:W47)-(Z47/K47))</f>
        <v>10.924392307692308</v>
      </c>
      <c r="Z49" s="463">
        <f t="shared" si="35"/>
        <v>0</v>
      </c>
      <c r="AA49" s="367"/>
      <c r="AB49" s="367"/>
      <c r="AC49" s="368">
        <f>+IFERROR(AC47/(K47*$AP$3),"")</f>
        <v>2.0417582417582416</v>
      </c>
      <c r="AD49" s="369"/>
      <c r="AE49" s="347"/>
      <c r="AF49" s="347">
        <f t="shared" si="1"/>
        <v>0</v>
      </c>
      <c r="AG49" s="341">
        <f t="shared" si="2"/>
        <v>0</v>
      </c>
      <c r="AH49" s="341"/>
      <c r="AI49" s="356"/>
      <c r="AJ49" s="370">
        <f>+$AI$4</f>
        <v>8.25</v>
      </c>
      <c r="AK49" s="349">
        <f>+IF(AJ49=7.75,SUM(M49:S49)+T49*0.75,IF(AJ49=8,SUM(M49:T49),IF(AJ49=7.25,SUM(M49:S49)+T49*0.25,IF(AJ49=8.25,SUM(M49:T49)+U49*0.25,IF(AJ49=8.75,SUM(M49:T49)+U49*0.75,0)))))</f>
        <v>0</v>
      </c>
      <c r="AL49" s="341">
        <f>+AK49-Z49</f>
        <v>0</v>
      </c>
      <c r="AM49" s="341"/>
      <c r="AN49" s="341"/>
      <c r="AO49" s="341"/>
      <c r="AP49" s="369"/>
      <c r="AQ49" s="434"/>
      <c r="AS49" s="390">
        <v>2.232967032967033</v>
      </c>
      <c r="AU49" s="390"/>
    </row>
    <row r="50" spans="2:57" s="98" customFormat="1" ht="62.25" customHeight="1" thickTop="1" x14ac:dyDescent="0.9">
      <c r="B50" s="342">
        <f>+B51</f>
        <v>11</v>
      </c>
      <c r="C50" s="405"/>
      <c r="D50" s="106"/>
      <c r="E50" s="106"/>
      <c r="F50" s="106"/>
      <c r="G50" s="439" t="str">
        <f>+G51</f>
        <v>2070-397-802</v>
      </c>
      <c r="H50" s="106"/>
      <c r="I50" s="106"/>
      <c r="J50" s="107" t="s">
        <v>20</v>
      </c>
      <c r="K50" s="108" t="s">
        <v>23</v>
      </c>
      <c r="L50" s="100" t="s">
        <v>21</v>
      </c>
      <c r="M50" s="448"/>
      <c r="N50" s="448"/>
      <c r="O50" s="448"/>
      <c r="P50" s="448"/>
      <c r="Q50" s="448"/>
      <c r="R50" s="448"/>
      <c r="S50" s="448"/>
      <c r="T50" s="448"/>
      <c r="U50" s="448"/>
      <c r="V50" s="448"/>
      <c r="W50" s="448"/>
      <c r="X50" s="447" t="str">
        <f t="shared" ref="X50" si="36">IF(AP51="","",SUM(M50:W50)-(-(AP51-SUM(M50:W50))/$AP$3)*SUM($M$2:$W$2))</f>
        <v/>
      </c>
      <c r="Y50" s="533">
        <f>+X52</f>
        <v>0</v>
      </c>
      <c r="Z50" s="450">
        <f t="shared" si="0"/>
        <v>0</v>
      </c>
      <c r="AA50" s="343">
        <f>+AB50+Z50</f>
        <v>3601</v>
      </c>
      <c r="AB50" s="343">
        <v>3601</v>
      </c>
      <c r="AC50" s="344"/>
      <c r="AD50" s="345"/>
      <c r="AE50" s="346"/>
      <c r="AF50" s="347">
        <f t="shared" si="1"/>
        <v>0</v>
      </c>
      <c r="AG50" s="341">
        <f t="shared" si="2"/>
        <v>0</v>
      </c>
      <c r="AH50" s="341"/>
      <c r="AI50" s="341"/>
      <c r="AJ50" s="348"/>
      <c r="AK50" s="349"/>
      <c r="AL50" s="341"/>
      <c r="AM50" s="341"/>
      <c r="AN50" s="341"/>
      <c r="AO50" s="341"/>
      <c r="AP50" s="350"/>
      <c r="AQ50" s="434"/>
      <c r="AS50" s="390"/>
      <c r="AU50" s="390"/>
    </row>
    <row r="51" spans="2:57" s="98" customFormat="1" ht="62.25" customHeight="1" x14ac:dyDescent="1.35">
      <c r="B51" s="351">
        <v>11</v>
      </c>
      <c r="C51" s="406">
        <f>+B51</f>
        <v>11</v>
      </c>
      <c r="D51" s="407" t="s">
        <v>425</v>
      </c>
      <c r="E51" s="111"/>
      <c r="F51" s="111" t="s">
        <v>35</v>
      </c>
      <c r="G51" s="106" t="s">
        <v>426</v>
      </c>
      <c r="H51" s="111"/>
      <c r="I51" s="111" t="s">
        <v>38</v>
      </c>
      <c r="J51" s="113">
        <v>39.299999999999997</v>
      </c>
      <c r="K51" s="130">
        <v>60</v>
      </c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123">
        <f>+IF(H52="s",0,IF(Z51=0,0,IF(COUNTA(M51:W51)=AJ53+0.75,SUMIF($C:$C,B51,$Z:$Z)/AJ53,SUMIF($C:$C,B51,$Z:$Z)/(COUNTA(M51:W51)))))</f>
        <v>0</v>
      </c>
      <c r="Y51" s="534"/>
      <c r="Z51" s="134">
        <f t="shared" si="0"/>
        <v>0</v>
      </c>
      <c r="AA51" s="354">
        <f>+Z51+AB51</f>
        <v>3595</v>
      </c>
      <c r="AB51" s="354">
        <v>3595</v>
      </c>
      <c r="AC51" s="355">
        <f>+AA50-AA51</f>
        <v>6</v>
      </c>
      <c r="AD51" s="131" t="str">
        <f>+IF(((Z52+(Z53/2))*60)=0,"",(J51*Z51)/((Z52+(Z53/2))*60))</f>
        <v/>
      </c>
      <c r="AE51" s="347">
        <f>+Z52+Z53/2</f>
        <v>0</v>
      </c>
      <c r="AF51" s="347">
        <f t="shared" si="1"/>
        <v>0</v>
      </c>
      <c r="AG51" s="341">
        <f t="shared" si="2"/>
        <v>0</v>
      </c>
      <c r="AH51" s="341">
        <f>+Z51*J51</f>
        <v>0</v>
      </c>
      <c r="AI51" s="356">
        <f>+Z51-(AE51*K51/K53)</f>
        <v>0</v>
      </c>
      <c r="AJ51" s="348"/>
      <c r="AK51" s="349"/>
      <c r="AL51" s="341"/>
      <c r="AM51" s="341"/>
      <c r="AN51" s="341"/>
      <c r="AO51" s="341"/>
      <c r="AP51" s="339" t="str">
        <f t="shared" si="7"/>
        <v/>
      </c>
      <c r="AQ51" s="434"/>
      <c r="AS51" s="390">
        <v>6</v>
      </c>
      <c r="AU51" s="390">
        <f t="shared" ref="AU51" si="37">+AS51-AC51</f>
        <v>0</v>
      </c>
      <c r="AV51" s="535"/>
      <c r="AW51" s="535"/>
      <c r="AX51" s="535"/>
      <c r="AY51" s="535"/>
      <c r="AZ51" s="535"/>
      <c r="BA51" s="535"/>
      <c r="BB51" s="535"/>
      <c r="BC51" s="535"/>
      <c r="BD51" s="535"/>
      <c r="BE51" s="535"/>
    </row>
    <row r="52" spans="2:57" s="98" customFormat="1" ht="62.25" customHeight="1" x14ac:dyDescent="0.9">
      <c r="B52" s="357">
        <f>+B51</f>
        <v>11</v>
      </c>
      <c r="C52" s="408"/>
      <c r="D52" s="184"/>
      <c r="E52" s="111">
        <f>+B51</f>
        <v>11</v>
      </c>
      <c r="F52" s="412"/>
      <c r="G52" s="113">
        <f>+IFERROR(IF(K53=0,0,IF((LOOKUP(2,1/(M52:W52&lt;&gt;""),M52:W52)-K53)&lt;0,0,IF(K53=0,"",LOOKUP(2,1/(M52:W52&lt;&gt;""),M52:W52)-K53))),0)</f>
        <v>0</v>
      </c>
      <c r="H52" s="411" t="s">
        <v>414</v>
      </c>
      <c r="I52" s="113"/>
      <c r="J52" s="113"/>
      <c r="K52" s="114" t="s">
        <v>22</v>
      </c>
      <c r="L52" s="102" t="s">
        <v>18</v>
      </c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48"/>
      <c r="X52" s="160">
        <f>+IF(H52="l",IF(COUNTA(M51:W51)=AJ53+0.75,Z51-K51*AJ53,Z51-(K51*COUNTA(M51:W51))),IF(H52="s",0,IF(COUNTA(M51:W51)=AJ53+0.75,SUMIF($C:$C,B51,$Z:$Z)-K51*AJ53,SUMIF($C:$C,B51,$Z:$Z)-K51*COUNTA(M51:W51))))</f>
        <v>0</v>
      </c>
      <c r="Y52" s="534"/>
      <c r="Z52" s="462">
        <f t="shared" ref="Z52:Z53" si="38">+SUM(M52:W52)-U52*0.75</f>
        <v>0</v>
      </c>
      <c r="AA52" s="360"/>
      <c r="AB52" s="360"/>
      <c r="AC52" s="362"/>
      <c r="AD52" s="363"/>
      <c r="AE52" s="346"/>
      <c r="AF52" s="347">
        <f t="shared" si="1"/>
        <v>0</v>
      </c>
      <c r="AG52" s="341">
        <f t="shared" si="2"/>
        <v>0</v>
      </c>
      <c r="AH52" s="341"/>
      <c r="AI52" s="341"/>
      <c r="AJ52" s="348"/>
      <c r="AK52" s="349">
        <f>+IF(AJ53=7.75,SUM(M52:S52)+T52*0.75,IF(AJ53=8,SUM(M52:T52),IF(AJ53=7.25,SUM(M52:S52)+T52*0.25,IF(AJ53=8.25,SUM(M52:T52)+U52*0.25,IF(AJ53=8.75,SUM(M52:T52)+U52*0.75,0)))))</f>
        <v>0</v>
      </c>
      <c r="AL52" s="341">
        <f>+AK52-Z52</f>
        <v>0</v>
      </c>
      <c r="AM52" s="341"/>
      <c r="AN52" s="341"/>
      <c r="AO52" s="341"/>
      <c r="AP52" s="438"/>
      <c r="AQ52" s="434"/>
      <c r="AS52" s="390"/>
      <c r="AU52" s="390"/>
    </row>
    <row r="53" spans="2:57" s="98" customFormat="1" ht="62.25" customHeight="1" thickBot="1" x14ac:dyDescent="0.95">
      <c r="B53" s="364">
        <f>+B51</f>
        <v>11</v>
      </c>
      <c r="C53" s="410"/>
      <c r="D53" s="174" t="s">
        <v>418</v>
      </c>
      <c r="E53" s="175">
        <f>+E52+100</f>
        <v>111</v>
      </c>
      <c r="F53" s="175"/>
      <c r="G53" s="444">
        <f>+SUMPRODUCT((M52:W52&lt;&gt;"")*(M52:W52&lt;&gt;0)*(M52:W52-K53))</f>
        <v>0</v>
      </c>
      <c r="H53" s="117"/>
      <c r="I53" s="442"/>
      <c r="J53" s="165">
        <f>+IF(K53="","",IF(K51=0,"",(K51*J51)/(K53*60)))</f>
        <v>0.93571428571428572</v>
      </c>
      <c r="K53" s="118">
        <v>42</v>
      </c>
      <c r="L53" s="104" t="s">
        <v>422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451"/>
      <c r="Y53" s="371">
        <f>42.08+IF(COUNTA(M51:W51)=$AI$4+0.25,$AI$4-(Z51/K51),COUNTA(M51:W51)-(Z51/K51))</f>
        <v>42.08</v>
      </c>
      <c r="Z53" s="463">
        <f t="shared" si="38"/>
        <v>0</v>
      </c>
      <c r="AA53" s="367"/>
      <c r="AB53" s="367"/>
      <c r="AC53" s="368">
        <f>+IFERROR(AC51/(K51*$AP$3),"")</f>
        <v>1.1428571428571429E-2</v>
      </c>
      <c r="AD53" s="369"/>
      <c r="AE53" s="347"/>
      <c r="AF53" s="347">
        <f t="shared" si="1"/>
        <v>0</v>
      </c>
      <c r="AG53" s="341">
        <f t="shared" si="2"/>
        <v>0</v>
      </c>
      <c r="AH53" s="341"/>
      <c r="AI53" s="356"/>
      <c r="AJ53" s="370">
        <f>+$AI$4</f>
        <v>8.25</v>
      </c>
      <c r="AK53" s="349">
        <f>+IF(AJ53=7.75,SUM(M53:S53)+T53*0.75,IF(AJ53=8,SUM(M53:T53),IF(AJ53=7.25,SUM(M53:S53)+T53*0.25,IF(AJ53=8.25,SUM(M53:T53)+U53*0.25,IF(AJ53=8.75,SUM(M53:T53)+U53*0.75,0)))))</f>
        <v>0</v>
      </c>
      <c r="AL53" s="341">
        <f>+AK53-Z53</f>
        <v>0</v>
      </c>
      <c r="AM53" s="341"/>
      <c r="AN53" s="341"/>
      <c r="AO53" s="341"/>
      <c r="AP53" s="369"/>
      <c r="AQ53" s="434"/>
      <c r="AS53" s="390">
        <v>1.1428571428571429E-2</v>
      </c>
      <c r="AU53" s="390"/>
    </row>
    <row r="54" spans="2:57" s="98" customFormat="1" ht="62.25" customHeight="1" thickTop="1" x14ac:dyDescent="0.9">
      <c r="B54" s="342">
        <f>+B55</f>
        <v>11</v>
      </c>
      <c r="C54" s="405"/>
      <c r="D54" s="106"/>
      <c r="E54" s="106"/>
      <c r="F54" s="106"/>
      <c r="G54" s="439" t="str">
        <f>+G55</f>
        <v>2076-780-803</v>
      </c>
      <c r="H54" s="106"/>
      <c r="I54" s="106"/>
      <c r="J54" s="107" t="s">
        <v>20</v>
      </c>
      <c r="K54" s="108" t="s">
        <v>23</v>
      </c>
      <c r="L54" s="100" t="s">
        <v>21</v>
      </c>
      <c r="M54" s="448"/>
      <c r="N54" s="448">
        <v>40</v>
      </c>
      <c r="O54" s="448">
        <v>40</v>
      </c>
      <c r="P54" s="448">
        <v>40</v>
      </c>
      <c r="Q54" s="448">
        <v>40</v>
      </c>
      <c r="R54" s="448"/>
      <c r="S54" s="448"/>
      <c r="T54" s="448"/>
      <c r="U54" s="448"/>
      <c r="V54" s="448"/>
      <c r="W54" s="448"/>
      <c r="X54" s="447">
        <f t="shared" ref="X54" si="39">IF(AP55="","",SUM(M54:W54)-(-(AP55-SUM(M54:W54))/$AP$3)*SUM($M$2:$W$2))</f>
        <v>160</v>
      </c>
      <c r="Y54" s="533">
        <f>+X56</f>
        <v>-188.5</v>
      </c>
      <c r="Z54" s="450">
        <f t="shared" si="0"/>
        <v>160</v>
      </c>
      <c r="AA54" s="343">
        <f>+AB54+Z54</f>
        <v>2081</v>
      </c>
      <c r="AB54" s="343">
        <v>1921</v>
      </c>
      <c r="AC54" s="344"/>
      <c r="AD54" s="345"/>
      <c r="AE54" s="346"/>
      <c r="AF54" s="347">
        <f t="shared" si="1"/>
        <v>0</v>
      </c>
      <c r="AG54" s="341">
        <f t="shared" si="2"/>
        <v>0</v>
      </c>
      <c r="AH54" s="341"/>
      <c r="AI54" s="341"/>
      <c r="AJ54" s="348"/>
      <c r="AK54" s="349"/>
      <c r="AL54" s="341"/>
      <c r="AM54" s="341"/>
      <c r="AN54" s="341"/>
      <c r="AO54" s="341"/>
      <c r="AP54" s="350"/>
      <c r="AQ54" s="434"/>
      <c r="AS54" s="390"/>
      <c r="AU54" s="390"/>
    </row>
    <row r="55" spans="2:57" s="98" customFormat="1" ht="62.25" customHeight="1" x14ac:dyDescent="1.35">
      <c r="B55" s="351">
        <v>11</v>
      </c>
      <c r="C55" s="406">
        <f>+B55</f>
        <v>11</v>
      </c>
      <c r="D55" s="407" t="s">
        <v>436</v>
      </c>
      <c r="E55" s="111"/>
      <c r="F55" s="111" t="s">
        <v>35</v>
      </c>
      <c r="G55" s="106" t="s">
        <v>435</v>
      </c>
      <c r="H55" s="111"/>
      <c r="I55" s="111" t="s">
        <v>38</v>
      </c>
      <c r="J55" s="113">
        <v>38.729999999999997</v>
      </c>
      <c r="K55" s="130">
        <v>58</v>
      </c>
      <c r="L55" s="101" t="s">
        <v>17</v>
      </c>
      <c r="M55" s="214">
        <v>30</v>
      </c>
      <c r="N55" s="214">
        <v>20</v>
      </c>
      <c r="O55" s="214">
        <v>26</v>
      </c>
      <c r="P55" s="214">
        <v>40</v>
      </c>
      <c r="Q55" s="214">
        <v>45</v>
      </c>
      <c r="R55" s="214">
        <v>44</v>
      </c>
      <c r="S55" s="214">
        <v>45</v>
      </c>
      <c r="T55" s="214">
        <v>30</v>
      </c>
      <c r="U55" s="214">
        <v>10</v>
      </c>
      <c r="V55" s="214"/>
      <c r="W55" s="214"/>
      <c r="X55" s="123">
        <f>+IF(H56="s",0,IF(Z55=0,0,IF(COUNTA(M55:W55)=AJ57+0.75,SUMIF($C:$C,B55,$Z:$Z)/AJ57,SUMIF($C:$C,B55,$Z:$Z)/(COUNTA(M55:W55)))))</f>
        <v>35.151515151515149</v>
      </c>
      <c r="Y55" s="534"/>
      <c r="Z55" s="134">
        <f t="shared" si="0"/>
        <v>290</v>
      </c>
      <c r="AA55" s="354">
        <f>+Z55+AB55</f>
        <v>1433</v>
      </c>
      <c r="AB55" s="354">
        <v>1143</v>
      </c>
      <c r="AC55" s="355">
        <f>+AA54-AA55</f>
        <v>648</v>
      </c>
      <c r="AD55" s="131">
        <f>+IF(((Z56+(Z57/2))*60)=0,"",(J55*Z55)/((Z56+(Z57/2))*60))</f>
        <v>0.52307369891721966</v>
      </c>
      <c r="AE55" s="347">
        <f>+Z56+Z57/2</f>
        <v>357.875</v>
      </c>
      <c r="AF55" s="347">
        <f t="shared" si="1"/>
        <v>357.52499999999998</v>
      </c>
      <c r="AG55" s="341">
        <f t="shared" si="2"/>
        <v>21472.5</v>
      </c>
      <c r="AH55" s="341">
        <f>+Z55*J55</f>
        <v>11231.699999999999</v>
      </c>
      <c r="AI55" s="356">
        <f>+Z55-(AE55*K55/K57)</f>
        <v>-204.20833333333331</v>
      </c>
      <c r="AJ55" s="348"/>
      <c r="AK55" s="349"/>
      <c r="AL55" s="341"/>
      <c r="AM55" s="341"/>
      <c r="AN55" s="341"/>
      <c r="AO55" s="341"/>
      <c r="AP55" s="339">
        <f t="shared" si="7"/>
        <v>-330.75</v>
      </c>
      <c r="AQ55" s="434">
        <v>1.5</v>
      </c>
      <c r="AS55" s="390">
        <v>778</v>
      </c>
      <c r="AU55" s="390">
        <f t="shared" ref="AU55" si="40">+AS55-AC55</f>
        <v>130</v>
      </c>
      <c r="AV55" s="535" t="s">
        <v>473</v>
      </c>
      <c r="AW55" s="535"/>
      <c r="AX55" s="535"/>
      <c r="AY55" s="535"/>
      <c r="AZ55" s="535"/>
      <c r="BA55" s="535"/>
      <c r="BB55" s="535"/>
      <c r="BC55" s="535"/>
      <c r="BD55" s="535"/>
      <c r="BE55" s="535"/>
    </row>
    <row r="56" spans="2:57" s="98" customFormat="1" ht="62.25" customHeight="1" x14ac:dyDescent="0.9">
      <c r="B56" s="357">
        <f>+B55</f>
        <v>11</v>
      </c>
      <c r="C56" s="408"/>
      <c r="D56" s="184"/>
      <c r="E56" s="111">
        <f>+B55</f>
        <v>11</v>
      </c>
      <c r="F56" s="412"/>
      <c r="G56" s="113">
        <f>+IFERROR(IF(K57=0,0,IF((LOOKUP(2,1/(M56:W56&lt;&gt;""),M56:W56)-K57)&lt;0,0,IF(K57=0,"",LOOKUP(2,1/(M56:W56&lt;&gt;""),M56:W56)-K57))),0)</f>
        <v>1</v>
      </c>
      <c r="H56" s="411" t="s">
        <v>412</v>
      </c>
      <c r="I56" s="113"/>
      <c r="J56" s="113">
        <v>1</v>
      </c>
      <c r="K56" s="114" t="s">
        <v>22</v>
      </c>
      <c r="L56" s="102" t="s">
        <v>18</v>
      </c>
      <c r="M56" s="448">
        <v>42</v>
      </c>
      <c r="N56" s="448">
        <v>43</v>
      </c>
      <c r="O56" s="448">
        <v>43</v>
      </c>
      <c r="P56" s="448">
        <v>43</v>
      </c>
      <c r="Q56" s="448">
        <v>43</v>
      </c>
      <c r="R56" s="448">
        <v>43</v>
      </c>
      <c r="S56" s="448">
        <v>43</v>
      </c>
      <c r="T56" s="448">
        <v>43</v>
      </c>
      <c r="U56" s="448">
        <v>43</v>
      </c>
      <c r="V56" s="448"/>
      <c r="W56" s="448"/>
      <c r="X56" s="160">
        <f>+IF(H56="l",IF(COUNTA(M55:W55)=AJ57+0.75,Z55-K55*AJ57,Z55-(K55*COUNTA(M55:W55))),IF(H56="s",0,IF(COUNTA(M55:W55)=AJ57+0.75,SUMIF($C:$C,B55,$Z:$Z)-K55*AJ57,SUMIF($C:$C,B55,$Z:$Z)-K55*COUNTA(M55:W55))))</f>
        <v>-188.5</v>
      </c>
      <c r="Y56" s="534"/>
      <c r="Z56" s="462">
        <f t="shared" ref="Z56:Z57" si="41">+SUM(M56:W56)-U56*0.75</f>
        <v>353.75</v>
      </c>
      <c r="AA56" s="360"/>
      <c r="AB56" s="360"/>
      <c r="AC56" s="362"/>
      <c r="AD56" s="363"/>
      <c r="AE56" s="346"/>
      <c r="AF56" s="347">
        <f t="shared" si="1"/>
        <v>0</v>
      </c>
      <c r="AG56" s="341">
        <f t="shared" si="2"/>
        <v>0</v>
      </c>
      <c r="AH56" s="341"/>
      <c r="AI56" s="341"/>
      <c r="AJ56" s="348"/>
      <c r="AK56" s="349">
        <f>+IF(AJ57=7.75,SUM(M56:S56)+T56*0.75,IF(AJ57=8,SUM(M56:T56),IF(AJ57=7.25,SUM(M56:S56)+T56*0.25,IF(AJ57=8.25,SUM(M56:T56)+U56*0.25,IF(AJ57=8.75,SUM(M56:T56)+U56*0.75,0)))))</f>
        <v>353.75</v>
      </c>
      <c r="AL56" s="341">
        <f>+AK56-Z56</f>
        <v>0</v>
      </c>
      <c r="AM56" s="341"/>
      <c r="AN56" s="341"/>
      <c r="AO56" s="341"/>
      <c r="AP56" s="438"/>
      <c r="AQ56" s="434"/>
      <c r="AS56" s="390"/>
      <c r="AU56" s="390"/>
    </row>
    <row r="57" spans="2:57" s="98" customFormat="1" ht="62.25" customHeight="1" thickBot="1" x14ac:dyDescent="0.95">
      <c r="B57" s="364">
        <f>+B55</f>
        <v>11</v>
      </c>
      <c r="C57" s="410"/>
      <c r="D57" s="174" t="s">
        <v>418</v>
      </c>
      <c r="E57" s="175">
        <f>+E56+100</f>
        <v>111</v>
      </c>
      <c r="F57" s="175"/>
      <c r="G57" s="444">
        <f>+SUMPRODUCT((M56:W56&lt;&gt;"")*(M56:W56&lt;&gt;0)*(M56:W56-K57))</f>
        <v>8</v>
      </c>
      <c r="H57" s="117"/>
      <c r="I57" s="442"/>
      <c r="J57" s="165">
        <f>+IF(K57="","",IF(K55=0,"",(K55*J55)/(K57*60)))</f>
        <v>0.89140476190476181</v>
      </c>
      <c r="K57" s="118">
        <v>42</v>
      </c>
      <c r="L57" s="104" t="s">
        <v>422</v>
      </c>
      <c r="M57" s="216">
        <v>1</v>
      </c>
      <c r="N57" s="216">
        <v>1</v>
      </c>
      <c r="O57" s="216">
        <v>1</v>
      </c>
      <c r="P57" s="216">
        <v>1</v>
      </c>
      <c r="Q57" s="216">
        <v>1</v>
      </c>
      <c r="R57" s="216">
        <v>1</v>
      </c>
      <c r="S57" s="216">
        <v>1</v>
      </c>
      <c r="T57" s="216">
        <v>1</v>
      </c>
      <c r="U57" s="216">
        <v>1</v>
      </c>
      <c r="V57" s="216"/>
      <c r="W57" s="216"/>
      <c r="X57" s="451"/>
      <c r="Y57" s="371">
        <f>19.25+IF(COUNTA(M55:W55)=$AI$4+0.25,$AI$4-(Z55/K55),COUNTA(M55:W55)-(Z55/K55))</f>
        <v>23.25</v>
      </c>
      <c r="Z57" s="463">
        <f t="shared" si="41"/>
        <v>8.25</v>
      </c>
      <c r="AA57" s="367"/>
      <c r="AB57" s="367"/>
      <c r="AC57" s="368">
        <f>+IFERROR(AC55/(K55*$AP$3),"")</f>
        <v>1.276847290640394</v>
      </c>
      <c r="AD57" s="369"/>
      <c r="AE57" s="347"/>
      <c r="AF57" s="347">
        <f t="shared" si="1"/>
        <v>0</v>
      </c>
      <c r="AG57" s="341">
        <f t="shared" si="2"/>
        <v>0</v>
      </c>
      <c r="AH57" s="341"/>
      <c r="AI57" s="356"/>
      <c r="AJ57" s="370">
        <f>+$AI$4</f>
        <v>8.25</v>
      </c>
      <c r="AK57" s="349">
        <f>+IF(AJ57=7.75,SUM(M57:S57)+T57*0.75,IF(AJ57=8,SUM(M57:T57),IF(AJ57=7.25,SUM(M57:S57)+T57*0.25,IF(AJ57=8.25,SUM(M57:T57)+U57*0.25,IF(AJ57=8.75,SUM(M57:T57)+U57*0.75,0)))))</f>
        <v>8.25</v>
      </c>
      <c r="AL57" s="341">
        <f>+AK57-Z57</f>
        <v>0</v>
      </c>
      <c r="AM57" s="341"/>
      <c r="AN57" s="341"/>
      <c r="AO57" s="341"/>
      <c r="AP57" s="369"/>
      <c r="AQ57" s="434"/>
      <c r="AS57" s="390">
        <v>1.5330049261083745</v>
      </c>
      <c r="AU57" s="390"/>
    </row>
    <row r="58" spans="2:57" s="98" customFormat="1" ht="62.25" customHeight="1" thickTop="1" x14ac:dyDescent="0.9">
      <c r="B58" s="342">
        <f>+B59</f>
        <v>12</v>
      </c>
      <c r="C58" s="405"/>
      <c r="D58" s="106"/>
      <c r="E58" s="106"/>
      <c r="F58" s="106"/>
      <c r="G58" s="439">
        <f>+G59</f>
        <v>0</v>
      </c>
      <c r="H58" s="106"/>
      <c r="I58" s="106"/>
      <c r="J58" s="107" t="s">
        <v>20</v>
      </c>
      <c r="K58" s="108" t="s">
        <v>23</v>
      </c>
      <c r="L58" s="100" t="s">
        <v>21</v>
      </c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47" t="str">
        <f t="shared" ref="X58" si="42">IF(AP59="","",SUM(M58:W58)-(-(AP59-SUM(M58:W58))/$AP$3)*SUM($M$2:$W$2))</f>
        <v/>
      </c>
      <c r="Y58" s="533">
        <f>+X60</f>
        <v>0</v>
      </c>
      <c r="Z58" s="450">
        <f t="shared" si="0"/>
        <v>0</v>
      </c>
      <c r="AA58" s="343">
        <f>+AB58+Z58</f>
        <v>0</v>
      </c>
      <c r="AB58" s="343">
        <v>0</v>
      </c>
      <c r="AC58" s="344"/>
      <c r="AD58" s="345"/>
      <c r="AE58" s="346"/>
      <c r="AF58" s="347"/>
      <c r="AG58" s="341"/>
      <c r="AH58" s="341"/>
      <c r="AI58" s="341"/>
      <c r="AJ58" s="348"/>
      <c r="AK58" s="349"/>
      <c r="AL58" s="341"/>
      <c r="AM58" s="341"/>
      <c r="AN58" s="341"/>
      <c r="AO58" s="341"/>
      <c r="AP58" s="350"/>
      <c r="AQ58" s="434"/>
      <c r="AS58" s="390"/>
      <c r="AU58" s="390"/>
    </row>
    <row r="59" spans="2:57" s="98" customFormat="1" ht="62.25" customHeight="1" x14ac:dyDescent="0.9">
      <c r="B59" s="351">
        <v>12</v>
      </c>
      <c r="C59" s="406">
        <v>12</v>
      </c>
      <c r="D59" s="407"/>
      <c r="E59" s="111"/>
      <c r="F59" s="111"/>
      <c r="G59" s="106"/>
      <c r="H59" s="111"/>
      <c r="I59" s="111"/>
      <c r="J59" s="113"/>
      <c r="K59" s="130"/>
      <c r="L59" s="101" t="s">
        <v>17</v>
      </c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123">
        <f>+IF(H60="s",0,IF(Z59=0,0,IF(COUNTA(M59:W59)=AJ61+0.75,SUMIF($C:$C,B59,$Z:$Z)/AJ61,SUMIF($C:$C,B59,$Z:$Z)/(COUNTA(M59:W59)))))</f>
        <v>0</v>
      </c>
      <c r="Y59" s="534"/>
      <c r="Z59" s="134">
        <f t="shared" si="0"/>
        <v>0</v>
      </c>
      <c r="AA59" s="354">
        <f>+Z59+AB59</f>
        <v>0</v>
      </c>
      <c r="AB59" s="354">
        <v>0</v>
      </c>
      <c r="AC59" s="355">
        <f>+AA58-AA59</f>
        <v>0</v>
      </c>
      <c r="AD59" s="131" t="str">
        <f>+IF(((Z60+(Z61/2))*60)=0,"",(J59*Z59)/((Z60+(Z61/2))*60))</f>
        <v/>
      </c>
      <c r="AE59" s="347"/>
      <c r="AF59" s="347"/>
      <c r="AG59" s="341"/>
      <c r="AH59" s="341"/>
      <c r="AI59" s="356"/>
      <c r="AJ59" s="348"/>
      <c r="AK59" s="349"/>
      <c r="AL59" s="341"/>
      <c r="AM59" s="341"/>
      <c r="AN59" s="341"/>
      <c r="AO59" s="341"/>
      <c r="AP59" s="339" t="str">
        <f t="shared" si="7"/>
        <v/>
      </c>
      <c r="AQ59" s="434"/>
      <c r="AS59" s="390">
        <v>0</v>
      </c>
      <c r="AU59" s="390">
        <f t="shared" ref="AU59" si="43">+AS59-AC59</f>
        <v>0</v>
      </c>
    </row>
    <row r="60" spans="2:57" s="98" customFormat="1" ht="62.25" customHeight="1" x14ac:dyDescent="0.9">
      <c r="B60" s="357">
        <f>+B59</f>
        <v>12</v>
      </c>
      <c r="C60" s="408"/>
      <c r="D60" s="184"/>
      <c r="E60" s="111">
        <f>+B59</f>
        <v>12</v>
      </c>
      <c r="F60" s="409"/>
      <c r="G60" s="113">
        <f>+IFERROR(IF(K61=0,0,IF((LOOKUP(2,1/(M60:W60&lt;&gt;""),M60:W60)-K61)&lt;0,0,IF(K61=0,"",LOOKUP(2,1/(M60:W60&lt;&gt;""),M60:W60)-K61))),0)</f>
        <v>0</v>
      </c>
      <c r="H60" s="411"/>
      <c r="I60" s="113"/>
      <c r="J60" s="113"/>
      <c r="K60" s="114" t="s">
        <v>22</v>
      </c>
      <c r="L60" s="102" t="s">
        <v>18</v>
      </c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160">
        <f>+IF(H60="l",IF(COUNTA(M59:W59)=AJ61+0.75,Z59-K59*AJ61,Z59-(K59*COUNTA(M59:W59))),IF(H60="s",0,IF(COUNTA(M59:W59)=AJ61+0.75,SUMIF($C:$C,B59,$Z:$Z)-K59*AJ61,SUMIF($C:$C,B59,$Z:$Z)-K59*COUNTA(M59:W59))))</f>
        <v>0</v>
      </c>
      <c r="Y60" s="534"/>
      <c r="Z60" s="462">
        <f t="shared" ref="Z60:Z61" si="44">+SUM(M60:W60)-U60*0.75</f>
        <v>0</v>
      </c>
      <c r="AA60" s="360"/>
      <c r="AB60" s="360"/>
      <c r="AC60" s="362"/>
      <c r="AD60" s="363"/>
      <c r="AE60" s="346"/>
      <c r="AF60" s="347"/>
      <c r="AG60" s="341"/>
      <c r="AH60" s="341"/>
      <c r="AI60" s="341"/>
      <c r="AJ60" s="348"/>
      <c r="AK60" s="349"/>
      <c r="AL60" s="341"/>
      <c r="AM60" s="341"/>
      <c r="AN60" s="341"/>
      <c r="AO60" s="341"/>
      <c r="AP60" s="438"/>
      <c r="AQ60" s="434"/>
      <c r="AS60" s="390"/>
      <c r="AU60" s="390"/>
    </row>
    <row r="61" spans="2:57" s="98" customFormat="1" ht="62.25" customHeight="1" thickBot="1" x14ac:dyDescent="0.95">
      <c r="B61" s="364">
        <f>+B59</f>
        <v>12</v>
      </c>
      <c r="C61" s="410"/>
      <c r="D61" s="174"/>
      <c r="E61" s="175">
        <f>+E60+100</f>
        <v>112</v>
      </c>
      <c r="F61" s="175"/>
      <c r="G61" s="444">
        <f>+SUMPRODUCT((M60:W60&lt;&gt;"")*(M60:W60&lt;&gt;0)*(M60:W60-K61))</f>
        <v>0</v>
      </c>
      <c r="H61" s="117"/>
      <c r="I61" s="442"/>
      <c r="J61" s="165" t="str">
        <f>+IF(K61="","",IF(K59=0,"",(K59*J59)/(K61*60)))</f>
        <v/>
      </c>
      <c r="K61" s="118"/>
      <c r="L61" s="104" t="s">
        <v>19</v>
      </c>
      <c r="M61" s="455"/>
      <c r="N61" s="455"/>
      <c r="O61" s="455"/>
      <c r="P61" s="455"/>
      <c r="Q61" s="455"/>
      <c r="R61" s="455"/>
      <c r="S61" s="455"/>
      <c r="T61" s="455"/>
      <c r="U61" s="455"/>
      <c r="V61" s="455"/>
      <c r="W61" s="455"/>
      <c r="X61" s="451"/>
      <c r="Y61" s="371"/>
      <c r="Z61" s="463">
        <f t="shared" si="44"/>
        <v>0</v>
      </c>
      <c r="AA61" s="367"/>
      <c r="AB61" s="367"/>
      <c r="AC61" s="368" t="str">
        <f>+IFERROR(AC59/(K59*$AP$3),"")</f>
        <v/>
      </c>
      <c r="AD61" s="369"/>
      <c r="AE61" s="347"/>
      <c r="AF61" s="347"/>
      <c r="AG61" s="341"/>
      <c r="AH61" s="341"/>
      <c r="AI61" s="356"/>
      <c r="AJ61" s="370">
        <v>10.25</v>
      </c>
      <c r="AK61" s="349"/>
      <c r="AL61" s="341"/>
      <c r="AM61" s="341"/>
      <c r="AN61" s="341"/>
      <c r="AO61" s="341"/>
      <c r="AP61" s="369"/>
      <c r="AQ61" s="434"/>
      <c r="AS61" s="390" t="s">
        <v>416</v>
      </c>
      <c r="AU61" s="390"/>
    </row>
    <row r="62" spans="2:57" s="98" customFormat="1" ht="62.25" customHeight="1" thickTop="1" x14ac:dyDescent="0.9">
      <c r="B62" s="342">
        <f>+B63</f>
        <v>13</v>
      </c>
      <c r="C62" s="405"/>
      <c r="D62" s="106"/>
      <c r="E62" s="106"/>
      <c r="F62" s="106"/>
      <c r="G62" s="439" t="str">
        <f>+G63</f>
        <v>2158-755-712</v>
      </c>
      <c r="H62" s="106"/>
      <c r="I62" s="106"/>
      <c r="J62" s="107" t="s">
        <v>20</v>
      </c>
      <c r="K62" s="108" t="s">
        <v>23</v>
      </c>
      <c r="L62" s="100" t="s">
        <v>21</v>
      </c>
      <c r="M62" s="448">
        <v>60</v>
      </c>
      <c r="N62" s="448">
        <v>120</v>
      </c>
      <c r="O62" s="448"/>
      <c r="P62" s="448"/>
      <c r="Q62" s="448"/>
      <c r="R62" s="448">
        <v>120</v>
      </c>
      <c r="S62" s="448"/>
      <c r="T62" s="448"/>
      <c r="U62" s="448"/>
      <c r="V62" s="448"/>
      <c r="W62" s="448"/>
      <c r="X62" s="447">
        <f t="shared" ref="X62" si="45">IF(AP63="","",SUM(M62:W62)-(-(AP63-SUM(M62:W62))/$AP$3)*SUM($M$2:$W$2))</f>
        <v>300</v>
      </c>
      <c r="Y62" s="533">
        <f>+X64</f>
        <v>-160</v>
      </c>
      <c r="Z62" s="450">
        <f t="shared" si="0"/>
        <v>300</v>
      </c>
      <c r="AA62" s="343">
        <f>+AB62+Z62</f>
        <v>4081</v>
      </c>
      <c r="AB62" s="343">
        <v>3781</v>
      </c>
      <c r="AC62" s="344"/>
      <c r="AD62" s="345"/>
      <c r="AE62" s="346"/>
      <c r="AF62" s="347">
        <f t="shared" si="1"/>
        <v>0</v>
      </c>
      <c r="AG62" s="341">
        <f t="shared" si="2"/>
        <v>0</v>
      </c>
      <c r="AH62" s="341"/>
      <c r="AI62" s="341"/>
      <c r="AJ62" s="348"/>
      <c r="AK62" s="349"/>
      <c r="AL62" s="341"/>
      <c r="AM62" s="341"/>
      <c r="AN62" s="341"/>
      <c r="AO62" s="341"/>
      <c r="AP62" s="350"/>
      <c r="AQ62" s="434"/>
      <c r="AS62" s="390"/>
      <c r="AU62" s="390"/>
    </row>
    <row r="63" spans="2:57" s="98" customFormat="1" ht="62.25" customHeight="1" x14ac:dyDescent="0.9">
      <c r="B63" s="351">
        <v>13</v>
      </c>
      <c r="C63" s="406">
        <f>+B63</f>
        <v>13</v>
      </c>
      <c r="D63" s="407" t="s">
        <v>431</v>
      </c>
      <c r="E63" s="111"/>
      <c r="F63" s="111" t="s">
        <v>35</v>
      </c>
      <c r="G63" s="106" t="s">
        <v>432</v>
      </c>
      <c r="H63" s="111"/>
      <c r="I63" s="111" t="s">
        <v>33</v>
      </c>
      <c r="J63" s="113">
        <v>51.42</v>
      </c>
      <c r="K63" s="130">
        <v>48</v>
      </c>
      <c r="L63" s="101" t="s">
        <v>17</v>
      </c>
      <c r="M63" s="214">
        <v>14</v>
      </c>
      <c r="N63" s="214">
        <v>36</v>
      </c>
      <c r="O63" s="214">
        <v>34</v>
      </c>
      <c r="P63" s="214">
        <v>28</v>
      </c>
      <c r="Q63" s="214">
        <v>40</v>
      </c>
      <c r="R63" s="214">
        <v>31</v>
      </c>
      <c r="S63" s="214">
        <v>30</v>
      </c>
      <c r="T63" s="214">
        <v>23</v>
      </c>
      <c r="U63" s="214">
        <v>0</v>
      </c>
      <c r="V63" s="214"/>
      <c r="W63" s="214"/>
      <c r="X63" s="123">
        <f>+IF(H64="s",0,IF(Z63=0,0,IF(COUNTA(M63:W63)=AJ65+0.75,SUMIF($C:$C,B63,$Z:$Z)/AJ65,SUMIF($C:$C,B63,$Z:$Z)/(COUNTA(M63:W63)))))</f>
        <v>28.606060606060606</v>
      </c>
      <c r="Y63" s="534"/>
      <c r="Z63" s="134">
        <f t="shared" si="0"/>
        <v>236</v>
      </c>
      <c r="AA63" s="354">
        <f>+Z63+AB63</f>
        <v>3269</v>
      </c>
      <c r="AB63" s="354">
        <v>3033</v>
      </c>
      <c r="AC63" s="355">
        <f>+AA62-AA63</f>
        <v>812</v>
      </c>
      <c r="AD63" s="131">
        <f>+IF(((Z64+(Z65/2))*60)=0,"",(J63*Z63)/((Z64+(Z65/2))*60))</f>
        <v>0.5149637173774666</v>
      </c>
      <c r="AE63" s="347">
        <f>+Z64+Z65/2</f>
        <v>392.75</v>
      </c>
      <c r="AF63" s="347">
        <f t="shared" si="1"/>
        <v>392.45</v>
      </c>
      <c r="AG63" s="341">
        <f t="shared" si="2"/>
        <v>23565</v>
      </c>
      <c r="AH63" s="341">
        <f>+Z63*J63</f>
        <v>12135.12</v>
      </c>
      <c r="AI63" s="356">
        <f>+Z63-(AE63*K63/K65)</f>
        <v>-156.75</v>
      </c>
      <c r="AJ63" s="348"/>
      <c r="AK63" s="349"/>
      <c r="AL63" s="341"/>
      <c r="AM63" s="341"/>
      <c r="AN63" s="341"/>
      <c r="AO63" s="341"/>
      <c r="AP63" s="339">
        <f>-300+Z62</f>
        <v>0</v>
      </c>
      <c r="AQ63" s="434">
        <v>1.5</v>
      </c>
      <c r="AS63" s="390">
        <v>748</v>
      </c>
      <c r="AU63" s="390">
        <f t="shared" ref="AU63" si="46">+AS63-AC63</f>
        <v>-64</v>
      </c>
    </row>
    <row r="64" spans="2:57" s="98" customFormat="1" ht="62.25" customHeight="1" x14ac:dyDescent="0.9">
      <c r="B64" s="357">
        <f>+B63</f>
        <v>13</v>
      </c>
      <c r="C64" s="408"/>
      <c r="D64" s="184"/>
      <c r="E64" s="111">
        <f>+B63</f>
        <v>13</v>
      </c>
      <c r="F64" s="412"/>
      <c r="G64" s="113">
        <f>+IFERROR(IF(K65=0,0,IF((LOOKUP(2,1/(M64:W64&lt;&gt;""),M64:W64)-K65)&lt;0,0,IF(K65=0,"",LOOKUP(2,1/(M64:W64&lt;&gt;""),M64:W64)-K65))),0)</f>
        <v>0</v>
      </c>
      <c r="H64" s="411"/>
      <c r="I64" s="113"/>
      <c r="J64" s="113">
        <v>1</v>
      </c>
      <c r="K64" s="114" t="s">
        <v>22</v>
      </c>
      <c r="L64" s="102" t="s">
        <v>18</v>
      </c>
      <c r="M64" s="448">
        <v>47</v>
      </c>
      <c r="N64" s="448">
        <v>48</v>
      </c>
      <c r="O64" s="448">
        <v>48</v>
      </c>
      <c r="P64" s="448">
        <v>48</v>
      </c>
      <c r="Q64" s="448">
        <v>48</v>
      </c>
      <c r="R64" s="448">
        <v>48</v>
      </c>
      <c r="S64" s="448">
        <v>47</v>
      </c>
      <c r="T64" s="448">
        <v>47</v>
      </c>
      <c r="U64" s="448">
        <v>47</v>
      </c>
      <c r="V64" s="448"/>
      <c r="W64" s="448"/>
      <c r="X64" s="160">
        <f>+IF(H64="l",IF(COUNTA(M63:W63)=AJ65+0.75,Z63-K63*AJ65,Z63-(K63*COUNTA(M63:W63))),IF(H64="s",0,IF(COUNTA(M63:W63)=AJ65+0.75,SUMIF($C:$C,B63,$Z:$Z)-K63*AJ65,SUMIF($C:$C,B63,$Z:$Z)-K63*COUNTA(M63:W63))))</f>
        <v>-160</v>
      </c>
      <c r="Y64" s="534"/>
      <c r="Z64" s="462">
        <f t="shared" ref="Z64:Z65" si="47">+SUM(M64:W64)-U64*0.75</f>
        <v>392.75</v>
      </c>
      <c r="AA64" s="360"/>
      <c r="AB64" s="360"/>
      <c r="AC64" s="362"/>
      <c r="AD64" s="363"/>
      <c r="AE64" s="346"/>
      <c r="AF64" s="347">
        <f t="shared" si="1"/>
        <v>0</v>
      </c>
      <c r="AG64" s="341">
        <f t="shared" si="2"/>
        <v>0</v>
      </c>
      <c r="AH64" s="341"/>
      <c r="AI64" s="341"/>
      <c r="AJ64" s="348"/>
      <c r="AK64" s="349">
        <f>+IF(AJ65=7.75,SUM(M64:S64)+T64*0.75,IF(AJ65=8,SUM(M64:T64),IF(AJ65=7.25,SUM(M64:S64)+T64*0.25,IF(AJ65=8.25,SUM(M64:T64)+U64*0.25,IF(AJ65=8.75,SUM(M64:T64)+U64*0.75,0)))))</f>
        <v>392.75</v>
      </c>
      <c r="AL64" s="341">
        <f>+AK64-Z64</f>
        <v>0</v>
      </c>
      <c r="AM64" s="341"/>
      <c r="AN64" s="341"/>
      <c r="AO64" s="341"/>
      <c r="AP64" s="438"/>
      <c r="AQ64" s="434"/>
      <c r="AS64" s="390"/>
      <c r="AU64" s="390"/>
    </row>
    <row r="65" spans="2:58" s="98" customFormat="1" ht="62.25" customHeight="1" thickBot="1" x14ac:dyDescent="0.95">
      <c r="B65" s="364">
        <f>+B63</f>
        <v>13</v>
      </c>
      <c r="C65" s="410"/>
      <c r="D65" s="174" t="s">
        <v>379</v>
      </c>
      <c r="E65" s="175">
        <f>+E64+100</f>
        <v>113</v>
      </c>
      <c r="F65" s="175"/>
      <c r="G65" s="444">
        <f>+SUMPRODUCT((M64:W64&lt;&gt;"")*(M64:W64&lt;&gt;0)*(M64:W64-K65))</f>
        <v>-4</v>
      </c>
      <c r="H65" s="117"/>
      <c r="I65" s="442"/>
      <c r="J65" s="165">
        <f>+IF(K65="","",IF(K63=0,"",(K63*J63)/(K65*60)))</f>
        <v>0.85699999999999998</v>
      </c>
      <c r="K65" s="118">
        <v>48</v>
      </c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451"/>
      <c r="Y65" s="365">
        <v>30.54</v>
      </c>
      <c r="Z65" s="463">
        <f t="shared" si="47"/>
        <v>0</v>
      </c>
      <c r="AA65" s="367"/>
      <c r="AB65" s="367"/>
      <c r="AC65" s="368">
        <f>+IFERROR(AC63/(K63*$AP$3),"")</f>
        <v>1.9333333333333333</v>
      </c>
      <c r="AD65" s="369"/>
      <c r="AE65" s="347"/>
      <c r="AF65" s="347">
        <f t="shared" si="1"/>
        <v>0</v>
      </c>
      <c r="AG65" s="341">
        <f t="shared" si="2"/>
        <v>0</v>
      </c>
      <c r="AH65" s="341"/>
      <c r="AI65" s="356"/>
      <c r="AJ65" s="370">
        <f>+$AI$4</f>
        <v>8.25</v>
      </c>
      <c r="AK65" s="349">
        <f>+IF(AJ65=7.75,SUM(M65:S65)+T65*0.75,IF(AJ65=8,SUM(M65:T65),IF(AJ65=7.25,SUM(M65:S65)+T65*0.25,IF(AJ65=8.25,SUM(M65:T65)+U65*0.25,IF(AJ65=8.75,SUM(M65:T65)+U65*0.75,0)))))</f>
        <v>0</v>
      </c>
      <c r="AL65" s="341">
        <f>+AK65-Z65</f>
        <v>0</v>
      </c>
      <c r="AM65" s="341"/>
      <c r="AN65" s="341"/>
      <c r="AO65" s="341"/>
      <c r="AP65" s="369"/>
      <c r="AQ65" s="434"/>
      <c r="AS65" s="390">
        <v>1.7809523809523808</v>
      </c>
      <c r="AU65" s="390"/>
    </row>
    <row r="66" spans="2:58" s="98" customFormat="1" ht="58.5" customHeight="1" thickTop="1" x14ac:dyDescent="0.9">
      <c r="B66" s="373">
        <f>+B67</f>
        <v>14</v>
      </c>
      <c r="C66" s="405"/>
      <c r="D66" s="106"/>
      <c r="E66" s="106"/>
      <c r="F66" s="106"/>
      <c r="G66" s="439" t="str">
        <f>+G67</f>
        <v>NEGRONI-202942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50</v>
      </c>
      <c r="N66" s="448">
        <v>100</v>
      </c>
      <c r="O66" s="448">
        <v>100</v>
      </c>
      <c r="P66" s="448">
        <v>100</v>
      </c>
      <c r="Q66" s="448">
        <v>50</v>
      </c>
      <c r="R66" s="448"/>
      <c r="S66" s="448">
        <v>50</v>
      </c>
      <c r="T66" s="448"/>
      <c r="U66" s="448"/>
      <c r="V66" s="448"/>
      <c r="W66" s="448"/>
      <c r="X66" s="447">
        <f t="shared" ref="X66" si="48">IF(AP67="","",SUM(M66:W66)-(-(AP67-SUM(M66:W66))/$AP$3)*SUM($M$2:$W$2))</f>
        <v>450</v>
      </c>
      <c r="Y66" s="533">
        <f>+X68</f>
        <v>-95</v>
      </c>
      <c r="Z66" s="450">
        <f t="shared" si="0"/>
        <v>450</v>
      </c>
      <c r="AA66" s="343">
        <f>+AB66+Z66</f>
        <v>5400</v>
      </c>
      <c r="AB66" s="343">
        <v>4950</v>
      </c>
      <c r="AC66" s="344"/>
      <c r="AD66" s="345"/>
      <c r="AE66" s="346"/>
      <c r="AF66" s="347">
        <f t="shared" si="1"/>
        <v>0</v>
      </c>
      <c r="AG66" s="341">
        <f t="shared" si="2"/>
        <v>0</v>
      </c>
      <c r="AH66" s="341"/>
      <c r="AI66" s="341"/>
      <c r="AJ66" s="348"/>
      <c r="AK66" s="349"/>
      <c r="AL66" s="341"/>
      <c r="AM66" s="341"/>
      <c r="AN66" s="341"/>
      <c r="AO66" s="341"/>
      <c r="AP66" s="350"/>
      <c r="AQ66" s="434"/>
      <c r="AS66" s="390"/>
      <c r="AU66" s="390"/>
    </row>
    <row r="67" spans="2:58" s="98" customFormat="1" ht="58.5" customHeight="1" x14ac:dyDescent="0.9">
      <c r="B67" s="374">
        <v>14</v>
      </c>
      <c r="C67" s="406">
        <f>+B67</f>
        <v>14</v>
      </c>
      <c r="D67" s="407" t="s">
        <v>427</v>
      </c>
      <c r="E67" s="111"/>
      <c r="F67" s="111" t="s">
        <v>428</v>
      </c>
      <c r="G67" s="106" t="s">
        <v>429</v>
      </c>
      <c r="H67" s="111"/>
      <c r="I67" s="111" t="s">
        <v>430</v>
      </c>
      <c r="J67" s="113">
        <v>48.06</v>
      </c>
      <c r="K67" s="130">
        <v>60</v>
      </c>
      <c r="L67" s="101" t="s">
        <v>17</v>
      </c>
      <c r="M67" s="214">
        <v>43</v>
      </c>
      <c r="N67" s="214">
        <v>50</v>
      </c>
      <c r="O67" s="214">
        <v>60</v>
      </c>
      <c r="P67" s="214">
        <v>60</v>
      </c>
      <c r="Q67" s="214">
        <v>60</v>
      </c>
      <c r="R67" s="214">
        <v>33</v>
      </c>
      <c r="S67" s="214">
        <v>50</v>
      </c>
      <c r="T67" s="214">
        <v>30</v>
      </c>
      <c r="U67" s="214">
        <v>14</v>
      </c>
      <c r="V67" s="214"/>
      <c r="W67" s="214"/>
      <c r="X67" s="123">
        <f>+IF(H68="s",0,IF(Z67=0,0,IF(COUNTA(M67:W67)=AJ69+0.75,SUMIF($C:$C,B67,$Z:$Z)/AJ69,SUMIF($C:$C,B67,$Z:$Z)/(COUNTA(M67:W67)))))</f>
        <v>48.484848484848484</v>
      </c>
      <c r="Y67" s="534"/>
      <c r="Z67" s="134">
        <f t="shared" si="0"/>
        <v>400</v>
      </c>
      <c r="AA67" s="354">
        <f>+Z67+AB67</f>
        <v>4482</v>
      </c>
      <c r="AB67" s="354">
        <v>4082</v>
      </c>
      <c r="AC67" s="355">
        <f>+AA66-AA67</f>
        <v>918</v>
      </c>
      <c r="AD67" s="131">
        <f>+IF(((Z68+(Z69/2))*60)=0,"",(J67*Z67)/((Z68+(Z69/2))*60))</f>
        <v>0.71259382819015848</v>
      </c>
      <c r="AE67" s="347">
        <f>+Z68+Z69/2</f>
        <v>449.625</v>
      </c>
      <c r="AF67" s="347">
        <f t="shared" si="1"/>
        <v>449.375</v>
      </c>
      <c r="AG67" s="341">
        <f t="shared" si="2"/>
        <v>26977.5</v>
      </c>
      <c r="AH67" s="341">
        <f>+Z67*J67</f>
        <v>19224</v>
      </c>
      <c r="AI67" s="356">
        <f>+Z67-(AE67*K67/K69)</f>
        <v>-90.5</v>
      </c>
      <c r="AJ67" s="348"/>
      <c r="AK67" s="349"/>
      <c r="AL67" s="341"/>
      <c r="AM67" s="341"/>
      <c r="AN67" s="341"/>
      <c r="AO67" s="341"/>
      <c r="AP67" s="339">
        <f t="shared" si="7"/>
        <v>5.5</v>
      </c>
      <c r="AQ67" s="434">
        <v>1.5</v>
      </c>
      <c r="AS67" s="390">
        <v>868</v>
      </c>
      <c r="AU67" s="390">
        <f t="shared" ref="AU67" si="49">+AS67-AC67</f>
        <v>-50</v>
      </c>
    </row>
    <row r="68" spans="2:58" s="98" customFormat="1" ht="58.5" customHeight="1" x14ac:dyDescent="0.9">
      <c r="B68" s="357">
        <f>+B67</f>
        <v>14</v>
      </c>
      <c r="C68" s="408"/>
      <c r="D68" s="184"/>
      <c r="E68" s="111">
        <f>+B67</f>
        <v>14</v>
      </c>
      <c r="F68" s="409"/>
      <c r="G68" s="113">
        <f>+IFERROR(IF(K69=0,0,IF((LOOKUP(2,1/(M68:W68&lt;&gt;""),M68:W68)-K69)&lt;0,0,IF(K69=0,"",LOOKUP(2,1/(M68:W68&lt;&gt;""),M68:W68)-K69))),0)</f>
        <v>0</v>
      </c>
      <c r="H68" s="411"/>
      <c r="I68" s="113"/>
      <c r="J68" s="113">
        <v>1</v>
      </c>
      <c r="K68" s="114" t="s">
        <v>22</v>
      </c>
      <c r="L68" s="102" t="s">
        <v>18</v>
      </c>
      <c r="M68" s="448">
        <v>54</v>
      </c>
      <c r="N68" s="448">
        <v>54</v>
      </c>
      <c r="O68" s="448">
        <v>54</v>
      </c>
      <c r="P68" s="448">
        <v>54</v>
      </c>
      <c r="Q68" s="448">
        <v>54</v>
      </c>
      <c r="R68" s="448">
        <v>54</v>
      </c>
      <c r="S68" s="448">
        <v>54</v>
      </c>
      <c r="T68" s="448">
        <v>54</v>
      </c>
      <c r="U68" s="448">
        <v>54</v>
      </c>
      <c r="V68" s="448"/>
      <c r="W68" s="448"/>
      <c r="X68" s="160">
        <f>+IF(H68="l",IF(COUNTA(M67:W67)=AJ69+0.75,Z67-K67*AJ69,Z67-(K67*COUNTA(M67:W67))),IF(H68="s",0,IF(COUNTA(M67:W67)=AJ69+0.75,SUMIF($C:$C,B67,$Z:$Z)-K67*AJ69,SUMIF($C:$C,B67,$Z:$Z)-K67*COUNTA(M67:W67))))</f>
        <v>-95</v>
      </c>
      <c r="Y68" s="534"/>
      <c r="Z68" s="462">
        <f t="shared" ref="Z68:Z69" si="50">+SUM(M68:W68)-U68*0.75</f>
        <v>445.5</v>
      </c>
      <c r="AA68" s="360"/>
      <c r="AB68" s="360"/>
      <c r="AC68" s="362"/>
      <c r="AD68" s="363"/>
      <c r="AE68" s="346"/>
      <c r="AF68" s="347">
        <f t="shared" si="1"/>
        <v>0</v>
      </c>
      <c r="AG68" s="341">
        <f t="shared" si="2"/>
        <v>0</v>
      </c>
      <c r="AH68" s="341"/>
      <c r="AI68" s="341"/>
      <c r="AJ68" s="348"/>
      <c r="AK68" s="349">
        <f>+IF(AJ69=7.75,SUM(M68:S68)+T68*0.75,IF(AJ69=8,SUM(M68:T68),IF(AJ69=7.25,SUM(M68:S68)+T68*0.25,IF(AJ69=8.25,SUM(M68:T68)+U68*0.25,IF(AJ69=8.75,SUM(M68:T68)+U68*0.75,0)))))</f>
        <v>445.5</v>
      </c>
      <c r="AL68" s="341">
        <f>+AK68-Z68</f>
        <v>0</v>
      </c>
      <c r="AM68" s="341"/>
      <c r="AN68" s="341"/>
      <c r="AO68" s="341"/>
      <c r="AP68" s="438"/>
      <c r="AQ68" s="434"/>
      <c r="AS68" s="390"/>
      <c r="AU68" s="390"/>
    </row>
    <row r="69" spans="2:58" s="98" customFormat="1" ht="58.5" customHeight="1" thickBot="1" x14ac:dyDescent="0.95">
      <c r="B69" s="364">
        <f>+B67</f>
        <v>14</v>
      </c>
      <c r="C69" s="410"/>
      <c r="D69" s="174" t="s">
        <v>112</v>
      </c>
      <c r="E69" s="175">
        <f>+E68+100</f>
        <v>114</v>
      </c>
      <c r="F69" s="175"/>
      <c r="G69" s="444">
        <f>+SUMPRODUCT((M68:W68&lt;&gt;"")*(M68:W68&lt;&gt;0)*(M68:W68-K69))</f>
        <v>-9</v>
      </c>
      <c r="H69" s="117"/>
      <c r="I69" s="442"/>
      <c r="J69" s="165">
        <f>+IF(K69="","",IF(K67=0,"",(K67*J67)/(K69*60)))</f>
        <v>0.87381818181818194</v>
      </c>
      <c r="K69" s="118">
        <v>55</v>
      </c>
      <c r="L69" s="104" t="s">
        <v>19</v>
      </c>
      <c r="M69" s="216">
        <v>1</v>
      </c>
      <c r="N69" s="216">
        <v>1</v>
      </c>
      <c r="O69" s="216">
        <v>1</v>
      </c>
      <c r="P69" s="216">
        <v>1</v>
      </c>
      <c r="Q69" s="216">
        <v>1</v>
      </c>
      <c r="R69" s="216">
        <v>1</v>
      </c>
      <c r="S69" s="216">
        <v>1</v>
      </c>
      <c r="T69" s="216">
        <v>1</v>
      </c>
      <c r="U69" s="216">
        <v>1</v>
      </c>
      <c r="V69" s="216"/>
      <c r="W69" s="216"/>
      <c r="X69" s="451"/>
      <c r="Y69" s="365">
        <v>43.52</v>
      </c>
      <c r="Z69" s="463">
        <f t="shared" si="50"/>
        <v>8.25</v>
      </c>
      <c r="AA69" s="367"/>
      <c r="AB69" s="367"/>
      <c r="AC69" s="368">
        <f>+IFERROR(AC67/(K67*$AP$3),"")</f>
        <v>1.7485714285714287</v>
      </c>
      <c r="AD69" s="369"/>
      <c r="AE69" s="347"/>
      <c r="AF69" s="347">
        <f t="shared" si="1"/>
        <v>0</v>
      </c>
      <c r="AG69" s="341">
        <f t="shared" si="2"/>
        <v>0</v>
      </c>
      <c r="AH69" s="341"/>
      <c r="AI69" s="356"/>
      <c r="AJ69" s="370">
        <f>+$AI$4</f>
        <v>8.25</v>
      </c>
      <c r="AK69" s="349">
        <f>+IF(AJ69=7.75,SUM(M69:S69)+T69*0.75,IF(AJ69=8,SUM(M69:T69),IF(AJ69=7.25,SUM(M69:S69)+T69*0.25,IF(AJ69=8.25,SUM(M69:T69)+U69*0.25,IF(AJ69=8.75,SUM(M69:T69)+U69*0.75,0)))))</f>
        <v>8.25</v>
      </c>
      <c r="AL69" s="341">
        <f>+AK69-Z69</f>
        <v>0</v>
      </c>
      <c r="AM69" s="341"/>
      <c r="AN69" s="341"/>
      <c r="AO69" s="341"/>
      <c r="AP69" s="369"/>
      <c r="AQ69" s="434"/>
      <c r="AS69" s="390">
        <v>1.6533333333333333</v>
      </c>
      <c r="AU69" s="390"/>
    </row>
    <row r="70" spans="2:58" s="98" customFormat="1" ht="62.25" customHeight="1" thickTop="1" x14ac:dyDescent="0.9">
      <c r="B70" s="342">
        <f>+B71</f>
        <v>15</v>
      </c>
      <c r="C70" s="405"/>
      <c r="D70" s="106"/>
      <c r="E70" s="106"/>
      <c r="F70" s="106"/>
      <c r="G70" s="439" t="str">
        <f>+G71</f>
        <v>2076-780-803</v>
      </c>
      <c r="H70" s="106"/>
      <c r="I70" s="106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ref="X70" si="51">IF(AP71="","",SUM(M70:W70)-(-(AP71-SUM(M70:W70))/$AP$3)*SUM($M$2:$W$2))</f>
        <v/>
      </c>
      <c r="Y70" s="533">
        <f>+X72</f>
        <v>0</v>
      </c>
      <c r="Z70" s="450">
        <f t="shared" si="0"/>
        <v>0</v>
      </c>
      <c r="AA70" s="343">
        <f>+AB70+Z70</f>
        <v>3158</v>
      </c>
      <c r="AB70" s="343">
        <v>3158</v>
      </c>
      <c r="AC70" s="344"/>
      <c r="AD70" s="345"/>
      <c r="AE70" s="346"/>
      <c r="AF70" s="347">
        <f t="shared" si="1"/>
        <v>0</v>
      </c>
      <c r="AG70" s="341">
        <f t="shared" si="2"/>
        <v>0</v>
      </c>
      <c r="AH70" s="341"/>
      <c r="AI70" s="341"/>
      <c r="AJ70" s="348"/>
      <c r="AK70" s="349"/>
      <c r="AL70" s="341"/>
      <c r="AM70" s="341"/>
      <c r="AN70" s="341"/>
      <c r="AO70" s="341"/>
      <c r="AP70" s="350"/>
      <c r="AQ70" s="434"/>
      <c r="AS70" s="390"/>
      <c r="AU70" s="390"/>
    </row>
    <row r="71" spans="2:58" s="98" customFormat="1" ht="62.25" customHeight="1" x14ac:dyDescent="1.35">
      <c r="B71" s="351">
        <v>15</v>
      </c>
      <c r="C71" s="406">
        <f>+B71</f>
        <v>15</v>
      </c>
      <c r="D71" s="407" t="s">
        <v>436</v>
      </c>
      <c r="E71" s="111"/>
      <c r="F71" s="111" t="s">
        <v>35</v>
      </c>
      <c r="G71" s="106" t="s">
        <v>435</v>
      </c>
      <c r="H71" s="111"/>
      <c r="I71" s="111" t="s">
        <v>38</v>
      </c>
      <c r="J71" s="113">
        <v>38.729999999999997</v>
      </c>
      <c r="K71" s="130">
        <v>58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123">
        <f>+IF(H72="s",0,IF(Z71=0,0,IF(COUNTA(M71:W71)=AJ73+0.75,SUMIF($C:$C,B71,$Z:$Z)/AJ73,SUMIF($C:$C,B71,$Z:$Z)/(COUNTA(M71:W71)))))</f>
        <v>0</v>
      </c>
      <c r="Y71" s="534"/>
      <c r="Z71" s="134">
        <f t="shared" si="0"/>
        <v>0</v>
      </c>
      <c r="AA71" s="354">
        <f>+Z71+AB71</f>
        <v>2336</v>
      </c>
      <c r="AB71" s="354">
        <v>2336</v>
      </c>
      <c r="AC71" s="355">
        <f>+AA70-AA71</f>
        <v>822</v>
      </c>
      <c r="AD71" s="131" t="str">
        <f>+IF(((Z72+(Z73/2))*60)=0,"",(J71*Z71)/((Z72+(Z73/2))*60))</f>
        <v/>
      </c>
      <c r="AE71" s="347">
        <f>+Z72+Z73/2</f>
        <v>0</v>
      </c>
      <c r="AF71" s="347">
        <f t="shared" si="1"/>
        <v>0</v>
      </c>
      <c r="AG71" s="341">
        <f t="shared" si="2"/>
        <v>0</v>
      </c>
      <c r="AH71" s="341">
        <f>+Z71*J71</f>
        <v>0</v>
      </c>
      <c r="AI71" s="356">
        <f>+Z71-(AE71*K71/K73)</f>
        <v>0</v>
      </c>
      <c r="AJ71" s="348"/>
      <c r="AK71" s="349"/>
      <c r="AL71" s="341"/>
      <c r="AM71" s="341"/>
      <c r="AN71" s="341"/>
      <c r="AO71" s="341"/>
      <c r="AP71" s="339" t="str">
        <f t="shared" si="7"/>
        <v/>
      </c>
      <c r="AQ71" s="434"/>
      <c r="AS71" s="390">
        <v>822</v>
      </c>
      <c r="AU71" s="390">
        <f t="shared" ref="AU71" si="52">+AS71-AC71</f>
        <v>0</v>
      </c>
      <c r="AV71" s="535"/>
      <c r="AW71" s="535"/>
      <c r="AX71" s="535"/>
      <c r="AY71" s="535"/>
      <c r="AZ71" s="535"/>
      <c r="BA71" s="535"/>
      <c r="BB71" s="535"/>
      <c r="BC71" s="535"/>
      <c r="BD71" s="535"/>
      <c r="BE71" s="535"/>
    </row>
    <row r="72" spans="2:58" s="98" customFormat="1" ht="62.25" customHeight="1" x14ac:dyDescent="0.9">
      <c r="B72" s="357">
        <f>+B71</f>
        <v>15</v>
      </c>
      <c r="C72" s="408"/>
      <c r="D72" s="184"/>
      <c r="E72" s="111">
        <f>+B71</f>
        <v>15</v>
      </c>
      <c r="F72" s="412"/>
      <c r="G72" s="113">
        <f>+IFERROR(IF(K73=0,0,IF((LOOKUP(2,1/(M72:W72&lt;&gt;""),M72:W72)-K73)&lt;0,0,IF(K73=0,"",LOOKUP(2,1/(M72:W72&lt;&gt;""),M72:W72)-K73))),0)</f>
        <v>0</v>
      </c>
      <c r="H72" s="411" t="s">
        <v>412</v>
      </c>
      <c r="I72" s="113"/>
      <c r="J72" s="113">
        <v>1</v>
      </c>
      <c r="K72" s="114" t="s">
        <v>22</v>
      </c>
      <c r="L72" s="102" t="s">
        <v>18</v>
      </c>
      <c r="M72" s="448"/>
      <c r="N72" s="448"/>
      <c r="O72" s="448"/>
      <c r="P72" s="448"/>
      <c r="Q72" s="448"/>
      <c r="R72" s="448"/>
      <c r="S72" s="448"/>
      <c r="T72" s="448"/>
      <c r="U72" s="448"/>
      <c r="V72" s="448"/>
      <c r="W72" s="448"/>
      <c r="X72" s="160">
        <f>+IF(H72="l",IF(COUNTA(M71:W71)=AJ73+0.75,Z71-K71*AJ73,Z71-(K71*COUNTA(M71:W71))),IF(H72="s",0,IF(COUNTA(M71:W71)=AJ73+0.75,SUMIF($C:$C,B71,$Z:$Z)-K71*AJ73,SUMIF($C:$C,B71,$Z:$Z)-K71*COUNTA(M71:W71))))</f>
        <v>0</v>
      </c>
      <c r="Y72" s="534"/>
      <c r="Z72" s="462">
        <f t="shared" ref="Z72:Z73" si="53">+SUM(M72:W72)-U72*0.75</f>
        <v>0</v>
      </c>
      <c r="AA72" s="360"/>
      <c r="AB72" s="360"/>
      <c r="AC72" s="362"/>
      <c r="AD72" s="363"/>
      <c r="AE72" s="346"/>
      <c r="AF72" s="347">
        <f t="shared" si="1"/>
        <v>0</v>
      </c>
      <c r="AG72" s="341">
        <f t="shared" si="2"/>
        <v>0</v>
      </c>
      <c r="AH72" s="341"/>
      <c r="AI72" s="341"/>
      <c r="AJ72" s="348"/>
      <c r="AK72" s="349">
        <f>+IF(AJ73=7.75,SUM(M72:S72)+T72*0.75,IF(AJ73=8,SUM(M72:T72),IF(AJ73=7.25,SUM(M72:S72)+T72*0.25,IF(AJ73=8.25,SUM(M72:T72)+U72*0.25,IF(AJ73=8.75,SUM(M72:T72)+U72*0.75,0)))))</f>
        <v>0</v>
      </c>
      <c r="AL72" s="341">
        <f>+AK72-Z72</f>
        <v>0</v>
      </c>
      <c r="AM72" s="341"/>
      <c r="AN72" s="341"/>
      <c r="AO72" s="341"/>
      <c r="AP72" s="438"/>
      <c r="AQ72" s="434"/>
      <c r="AS72" s="390"/>
      <c r="AU72" s="390"/>
    </row>
    <row r="73" spans="2:58" s="98" customFormat="1" ht="62.25" customHeight="1" thickBot="1" x14ac:dyDescent="0.95">
      <c r="B73" s="364">
        <f>+B71</f>
        <v>15</v>
      </c>
      <c r="C73" s="410"/>
      <c r="D73" s="174" t="s">
        <v>93</v>
      </c>
      <c r="E73" s="175">
        <f>+E72+100</f>
        <v>115</v>
      </c>
      <c r="F73" s="175"/>
      <c r="G73" s="444">
        <f>+SUMPRODUCT((M72:W72&lt;&gt;"")*(M72:W72&lt;&gt;0)*(M72:W72-K73))</f>
        <v>0</v>
      </c>
      <c r="H73" s="117"/>
      <c r="I73" s="442"/>
      <c r="J73" s="165">
        <f>+IF(K73="","",IF(K71=0,"",(K71*J71)/(K73*60)))</f>
        <v>0.89140476190476181</v>
      </c>
      <c r="K73" s="118">
        <v>42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451"/>
      <c r="Y73" s="365">
        <v>15.46</v>
      </c>
      <c r="Z73" s="463">
        <f t="shared" si="53"/>
        <v>0</v>
      </c>
      <c r="AA73" s="367"/>
      <c r="AB73" s="367"/>
      <c r="AC73" s="368">
        <f>+IFERROR(AC71/(K71*$AP$3),"")</f>
        <v>1.619704433497537</v>
      </c>
      <c r="AD73" s="369"/>
      <c r="AE73" s="347"/>
      <c r="AF73" s="347">
        <f t="shared" si="1"/>
        <v>0</v>
      </c>
      <c r="AG73" s="341">
        <f t="shared" si="2"/>
        <v>0</v>
      </c>
      <c r="AH73" s="341"/>
      <c r="AI73" s="356"/>
      <c r="AJ73" s="370">
        <f>+$AI$4</f>
        <v>8.25</v>
      </c>
      <c r="AK73" s="349">
        <f>+IF(AJ73=7.75,SUM(M73:S73)+T73*0.75,IF(AJ73=8,SUM(M73:T73),IF(AJ73=7.25,SUM(M73:S73)+T73*0.25,IF(AJ73=8.25,SUM(M73:T73)+U73*0.25,IF(AJ73=8.75,SUM(M73:T73)+U73*0.75,0)))))</f>
        <v>0</v>
      </c>
      <c r="AL73" s="341">
        <f>+AK73-Z73</f>
        <v>0</v>
      </c>
      <c r="AM73" s="341"/>
      <c r="AN73" s="341"/>
      <c r="AO73" s="341"/>
      <c r="AP73" s="369"/>
      <c r="AQ73" s="434"/>
      <c r="AS73" s="390">
        <v>1.619704433497537</v>
      </c>
      <c r="AU73" s="390"/>
    </row>
    <row r="74" spans="2:58" s="98" customFormat="1" ht="62.25" customHeight="1" thickTop="1" x14ac:dyDescent="0.9">
      <c r="B74" s="373">
        <f>+B75</f>
        <v>16</v>
      </c>
      <c r="C74" s="405"/>
      <c r="D74" s="106"/>
      <c r="E74" s="106"/>
      <c r="F74" s="106"/>
      <c r="G74" s="439" t="str">
        <f>+G75</f>
        <v>2158-755-712</v>
      </c>
      <c r="H74" s="106"/>
      <c r="I74" s="106"/>
      <c r="J74" s="107" t="s">
        <v>20</v>
      </c>
      <c r="K74" s="108" t="s">
        <v>23</v>
      </c>
      <c r="L74" s="100" t="s">
        <v>21</v>
      </c>
      <c r="M74" s="448">
        <v>60</v>
      </c>
      <c r="N74" s="448">
        <v>120</v>
      </c>
      <c r="O74" s="448">
        <v>180</v>
      </c>
      <c r="P74" s="448"/>
      <c r="Q74" s="448"/>
      <c r="R74" s="448">
        <v>60</v>
      </c>
      <c r="S74" s="448"/>
      <c r="T74" s="448"/>
      <c r="U74" s="448"/>
      <c r="V74" s="448"/>
      <c r="W74" s="448"/>
      <c r="X74" s="447">
        <f t="shared" ref="X74" si="54">IF(AP75="","",SUM(M74:W74)-(-(AP75-SUM(M74:W74))/$AP$3)*SUM($M$2:$W$2))</f>
        <v>420</v>
      </c>
      <c r="Y74" s="533">
        <f>+X76</f>
        <v>-49</v>
      </c>
      <c r="Z74" s="450">
        <f t="shared" si="0"/>
        <v>420</v>
      </c>
      <c r="AA74" s="343">
        <f>+AB74+Z74</f>
        <v>3661</v>
      </c>
      <c r="AB74" s="343">
        <v>3241</v>
      </c>
      <c r="AC74" s="344"/>
      <c r="AD74" s="345"/>
      <c r="AE74" s="346"/>
      <c r="AF74" s="347">
        <f t="shared" si="1"/>
        <v>0</v>
      </c>
      <c r="AG74" s="341">
        <f t="shared" si="2"/>
        <v>0</v>
      </c>
      <c r="AH74" s="341"/>
      <c r="AI74" s="341"/>
      <c r="AJ74" s="348"/>
      <c r="AK74" s="349"/>
      <c r="AL74" s="341"/>
      <c r="AM74" s="341"/>
      <c r="AN74" s="341"/>
      <c r="AO74" s="341"/>
      <c r="AP74" s="350"/>
      <c r="AQ74" s="434"/>
      <c r="AS74" s="390"/>
      <c r="AU74" s="390"/>
    </row>
    <row r="75" spans="2:58" s="98" customFormat="1" ht="62.25" customHeight="1" x14ac:dyDescent="0.9">
      <c r="B75" s="374">
        <v>16</v>
      </c>
      <c r="C75" s="406">
        <f>+B75</f>
        <v>16</v>
      </c>
      <c r="D75" s="407" t="s">
        <v>431</v>
      </c>
      <c r="E75" s="111"/>
      <c r="F75" s="111" t="s">
        <v>35</v>
      </c>
      <c r="G75" s="106" t="s">
        <v>432</v>
      </c>
      <c r="H75" s="111"/>
      <c r="I75" s="111" t="s">
        <v>33</v>
      </c>
      <c r="J75" s="113">
        <v>51.42</v>
      </c>
      <c r="K75" s="130">
        <v>52</v>
      </c>
      <c r="L75" s="101" t="s">
        <v>17</v>
      </c>
      <c r="M75" s="214">
        <v>36</v>
      </c>
      <c r="N75" s="214">
        <v>40</v>
      </c>
      <c r="O75" s="214">
        <v>58</v>
      </c>
      <c r="P75" s="214">
        <v>40</v>
      </c>
      <c r="Q75" s="214">
        <v>60</v>
      </c>
      <c r="R75" s="214">
        <v>31</v>
      </c>
      <c r="S75" s="214">
        <v>52</v>
      </c>
      <c r="T75" s="214">
        <v>52</v>
      </c>
      <c r="U75" s="214">
        <v>11</v>
      </c>
      <c r="V75" s="214"/>
      <c r="W75" s="214"/>
      <c r="X75" s="123">
        <f>+IF(H76="s",0,IF(Z75=0,0,IF(COUNTA(M75:W75)=AJ77+0.75,SUMIF($C:$C,B75,$Z:$Z)/AJ77,SUMIF($C:$C,B75,$Z:$Z)/(COUNTA(M75:W75)))))</f>
        <v>46.060606060606062</v>
      </c>
      <c r="Y75" s="534"/>
      <c r="Z75" s="134">
        <f t="shared" si="0"/>
        <v>380</v>
      </c>
      <c r="AA75" s="354">
        <f>+Z75+AB75</f>
        <v>2853</v>
      </c>
      <c r="AB75" s="354">
        <v>2473</v>
      </c>
      <c r="AC75" s="355">
        <f>+AA74-AA75</f>
        <v>808</v>
      </c>
      <c r="AD75" s="131">
        <f>+IF(((Z76+(Z77/2))*60)=0,"",(J75*Z75)/((Z76+(Z77/2))*60))</f>
        <v>0.78142771445710868</v>
      </c>
      <c r="AE75" s="347">
        <f>+Z76+Z77/2</f>
        <v>416.75</v>
      </c>
      <c r="AF75" s="347">
        <f t="shared" si="1"/>
        <v>416.45</v>
      </c>
      <c r="AG75" s="341">
        <f t="shared" si="2"/>
        <v>25005</v>
      </c>
      <c r="AH75" s="341">
        <f>+Z75*J75</f>
        <v>19539.600000000002</v>
      </c>
      <c r="AI75" s="356">
        <f>+Z75-(AE75*K75/K77)</f>
        <v>-44.921568627450995</v>
      </c>
      <c r="AJ75" s="348"/>
      <c r="AK75" s="349"/>
      <c r="AL75" s="341"/>
      <c r="AM75" s="341"/>
      <c r="AN75" s="341"/>
      <c r="AO75" s="341"/>
      <c r="AP75" s="339">
        <f t="shared" si="7"/>
        <v>50.5</v>
      </c>
      <c r="AQ75" s="434">
        <v>1.5</v>
      </c>
      <c r="AS75" s="390">
        <v>768</v>
      </c>
      <c r="AU75" s="390">
        <f t="shared" ref="AU75" si="55">+AS75-AC75</f>
        <v>-40</v>
      </c>
      <c r="AV75" s="536"/>
      <c r="AW75" s="536"/>
      <c r="AX75" s="536"/>
      <c r="AY75" s="536"/>
      <c r="AZ75" s="536"/>
      <c r="BA75" s="536"/>
      <c r="BB75" s="536"/>
      <c r="BC75" s="536"/>
      <c r="BD75" s="536"/>
      <c r="BE75" s="536"/>
      <c r="BF75" s="536"/>
    </row>
    <row r="76" spans="2:58" s="98" customFormat="1" ht="62.25" customHeight="1" x14ac:dyDescent="0.9">
      <c r="B76" s="357">
        <f>+B75</f>
        <v>16</v>
      </c>
      <c r="C76" s="408"/>
      <c r="D76" s="184"/>
      <c r="E76" s="111">
        <f>+B75</f>
        <v>16</v>
      </c>
      <c r="F76" s="409"/>
      <c r="G76" s="113">
        <f>+IFERROR(IF(K77=0,0,IF((LOOKUP(2,1/(M76:W76&lt;&gt;""),M76:W76)-K77)&lt;0,0,IF(K77=0,"",LOOKUP(2,1/(M76:W76&lt;&gt;""),M76:W76)-K77))),0)</f>
        <v>0</v>
      </c>
      <c r="H76" s="411" t="s">
        <v>413</v>
      </c>
      <c r="I76" s="113"/>
      <c r="J76" s="113"/>
      <c r="K76" s="114" t="s">
        <v>22</v>
      </c>
      <c r="L76" s="102" t="s">
        <v>18</v>
      </c>
      <c r="M76" s="448">
        <v>47</v>
      </c>
      <c r="N76" s="448">
        <v>51</v>
      </c>
      <c r="O76" s="448">
        <v>51</v>
      </c>
      <c r="P76" s="448">
        <v>51</v>
      </c>
      <c r="Q76" s="448">
        <v>51</v>
      </c>
      <c r="R76" s="448">
        <v>51</v>
      </c>
      <c r="S76" s="448">
        <v>51</v>
      </c>
      <c r="T76" s="448">
        <v>51</v>
      </c>
      <c r="U76" s="448">
        <v>51</v>
      </c>
      <c r="V76" s="448"/>
      <c r="W76" s="448"/>
      <c r="X76" s="160">
        <f>+IF(H76="l",IF(COUNTA(M75:W75)=AJ77+0.75,Z75-K75*AJ77,Z75-(K75*COUNTA(M75:W75))),IF(H76="s",0,IF(COUNTA(M75:W75)=AJ77+0.75,SUMIF($C:$C,B75,$Z:$Z)-K75*AJ77,SUMIF($C:$C,B75,$Z:$Z)-K75*COUNTA(M75:W75))))</f>
        <v>-49</v>
      </c>
      <c r="Y76" s="534"/>
      <c r="Z76" s="462">
        <f t="shared" ref="Z76:Z77" si="56">+SUM(M76:W76)-U76*0.75</f>
        <v>416.75</v>
      </c>
      <c r="AA76" s="360"/>
      <c r="AB76" s="360"/>
      <c r="AC76" s="362"/>
      <c r="AD76" s="363"/>
      <c r="AE76" s="346"/>
      <c r="AF76" s="347">
        <f t="shared" si="1"/>
        <v>0</v>
      </c>
      <c r="AG76" s="341">
        <f t="shared" si="2"/>
        <v>0</v>
      </c>
      <c r="AH76" s="341"/>
      <c r="AI76" s="341"/>
      <c r="AJ76" s="348"/>
      <c r="AK76" s="349">
        <f>+IF(AJ77=7.75,SUM(M76:S76)+T76*0.75,IF(AJ77=8,SUM(M76:T76),IF(AJ77=7.25,SUM(M76:S76)+T76*0.25,IF(AJ77=8.25,SUM(M76:T76)+U76*0.25,IF(AJ77=8.75,SUM(M76:T76)+U76*0.75,0)))))</f>
        <v>416.75</v>
      </c>
      <c r="AL76" s="341">
        <f>+AK76-Z76</f>
        <v>0</v>
      </c>
      <c r="AM76" s="341"/>
      <c r="AN76" s="341"/>
      <c r="AO76" s="341"/>
      <c r="AP76" s="438"/>
      <c r="AQ76" s="434"/>
      <c r="AS76" s="390"/>
      <c r="AU76" s="390"/>
    </row>
    <row r="77" spans="2:58" s="98" customFormat="1" ht="62.25" customHeight="1" thickBot="1" x14ac:dyDescent="0.95">
      <c r="B77" s="375">
        <f>+B75</f>
        <v>16</v>
      </c>
      <c r="C77" s="410"/>
      <c r="D77" s="413" t="s">
        <v>152</v>
      </c>
      <c r="E77" s="175">
        <f>+E76+100</f>
        <v>116</v>
      </c>
      <c r="F77" s="175"/>
      <c r="G77" s="444">
        <f>+SUMPRODUCT((M76:W76&lt;&gt;"")*(M76:W76&lt;&gt;0)*(M76:W76-K77))</f>
        <v>-4</v>
      </c>
      <c r="H77" s="117"/>
      <c r="I77" s="442"/>
      <c r="J77" s="165">
        <f>+IF(K77="","",IF(K75=0,"",(K75*J75)/(K77*60)))</f>
        <v>0.87380392156862752</v>
      </c>
      <c r="K77" s="118">
        <v>51</v>
      </c>
      <c r="L77" s="104" t="s">
        <v>19</v>
      </c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451"/>
      <c r="Y77" s="365">
        <v>18.93</v>
      </c>
      <c r="Z77" s="463">
        <f t="shared" si="56"/>
        <v>0</v>
      </c>
      <c r="AA77" s="367"/>
      <c r="AB77" s="367"/>
      <c r="AC77" s="368">
        <f>+IFERROR(AC75/(K75*$AP$3),"")</f>
        <v>1.7758241758241757</v>
      </c>
      <c r="AD77" s="369"/>
      <c r="AE77" s="347"/>
      <c r="AF77" s="347">
        <f t="shared" si="1"/>
        <v>0</v>
      </c>
      <c r="AG77" s="341">
        <f t="shared" si="2"/>
        <v>0</v>
      </c>
      <c r="AH77" s="341"/>
      <c r="AI77" s="356"/>
      <c r="AJ77" s="370">
        <f>+$AI$4</f>
        <v>8.25</v>
      </c>
      <c r="AK77" s="349">
        <f>+IF(AJ77=7.75,SUM(M77:S77)+T77*0.75,IF(AJ77=8,SUM(M77:T77),IF(AJ77=7.25,SUM(M77:S77)+T77*0.25,IF(AJ77=8.25,SUM(M77:T77)+U77*0.25,IF(AJ77=8.75,SUM(M77:T77)+U77*0.75,0)))))</f>
        <v>0</v>
      </c>
      <c r="AL77" s="341">
        <f>+AK77-Z77</f>
        <v>0</v>
      </c>
      <c r="AM77" s="341"/>
      <c r="AN77" s="341"/>
      <c r="AO77" s="341"/>
      <c r="AP77" s="369"/>
      <c r="AQ77" s="434"/>
      <c r="AS77" s="390">
        <v>1.6879120879120879</v>
      </c>
      <c r="AU77" s="390"/>
    </row>
    <row r="78" spans="2:58" s="98" customFormat="1" ht="62.25" customHeight="1" thickTop="1" x14ac:dyDescent="0.9">
      <c r="B78" s="342">
        <f>+B79</f>
        <v>17</v>
      </c>
      <c r="C78" s="405"/>
      <c r="D78" s="106"/>
      <c r="E78" s="106"/>
      <c r="F78" s="106"/>
      <c r="G78" s="439" t="str">
        <f>+G79</f>
        <v>2215-518-800</v>
      </c>
      <c r="H78" s="106"/>
      <c r="I78" s="111"/>
      <c r="J78" s="107" t="s">
        <v>20</v>
      </c>
      <c r="K78" s="108" t="s">
        <v>23</v>
      </c>
      <c r="L78" s="100" t="s">
        <v>21</v>
      </c>
      <c r="M78" s="448">
        <v>180</v>
      </c>
      <c r="N78" s="448">
        <v>130</v>
      </c>
      <c r="O78" s="448"/>
      <c r="P78" s="448"/>
      <c r="Q78" s="448"/>
      <c r="R78" s="448">
        <v>76</v>
      </c>
      <c r="S78" s="448"/>
      <c r="T78" s="448"/>
      <c r="U78" s="448"/>
      <c r="V78" s="448"/>
      <c r="W78" s="448"/>
      <c r="X78" s="447">
        <f t="shared" ref="X78" si="57">IF(AP79="","",SUM(M78:W78)-(-(AP79-SUM(M78:W78))/$AP$3)*SUM($M$2:$W$2))</f>
        <v>386</v>
      </c>
      <c r="Y78" s="533">
        <f>+X80</f>
        <v>-38</v>
      </c>
      <c r="Z78" s="450">
        <f t="shared" ref="Z78:Z87" si="58">+SUM(L78:W78)</f>
        <v>386</v>
      </c>
      <c r="AA78" s="343">
        <f>+AB78+Z78</f>
        <v>8453</v>
      </c>
      <c r="AB78" s="343">
        <v>8067</v>
      </c>
      <c r="AC78" s="344"/>
      <c r="AD78" s="345"/>
      <c r="AE78" s="346"/>
      <c r="AF78" s="347">
        <f t="shared" si="1"/>
        <v>0</v>
      </c>
      <c r="AG78" s="341">
        <f t="shared" si="2"/>
        <v>0</v>
      </c>
      <c r="AH78" s="341"/>
      <c r="AI78" s="341"/>
      <c r="AJ78" s="348"/>
      <c r="AK78" s="349"/>
      <c r="AL78" s="341"/>
      <c r="AM78" s="341"/>
      <c r="AN78" s="341"/>
      <c r="AO78" s="341"/>
      <c r="AP78" s="350"/>
      <c r="AQ78" s="434"/>
      <c r="AS78" s="390"/>
      <c r="AU78" s="390"/>
    </row>
    <row r="79" spans="2:58" s="98" customFormat="1" ht="62.25" customHeight="1" x14ac:dyDescent="0.9">
      <c r="B79" s="351">
        <v>17</v>
      </c>
      <c r="C79" s="406">
        <f>+B79</f>
        <v>17</v>
      </c>
      <c r="D79" s="407" t="s">
        <v>423</v>
      </c>
      <c r="E79" s="111"/>
      <c r="F79" s="111" t="s">
        <v>35</v>
      </c>
      <c r="G79" s="106" t="s">
        <v>424</v>
      </c>
      <c r="H79" s="111"/>
      <c r="I79" s="111" t="s">
        <v>33</v>
      </c>
      <c r="J79" s="113">
        <v>33.42</v>
      </c>
      <c r="K79" s="130">
        <v>60</v>
      </c>
      <c r="L79" s="101" t="s">
        <v>17</v>
      </c>
      <c r="M79" s="214">
        <v>32</v>
      </c>
      <c r="N79" s="214">
        <v>68</v>
      </c>
      <c r="O79" s="214">
        <v>60</v>
      </c>
      <c r="P79" s="214">
        <v>60</v>
      </c>
      <c r="Q79" s="214">
        <v>65</v>
      </c>
      <c r="R79" s="214">
        <v>50</v>
      </c>
      <c r="S79" s="214">
        <v>60</v>
      </c>
      <c r="T79" s="214">
        <v>50</v>
      </c>
      <c r="U79" s="214">
        <v>12</v>
      </c>
      <c r="V79" s="214"/>
      <c r="W79" s="214"/>
      <c r="X79" s="123">
        <f>+IF(H80="s",0,IF(Z79=0,0,IF(COUNTA(M79:W79)=AJ81+0.75,SUMIF($C:$C,B79,$Z:$Z)/AJ81,SUMIF($C:$C,B79,$Z:$Z)/(COUNTA(M79:W79)))))</f>
        <v>55.393939393939391</v>
      </c>
      <c r="Y79" s="534"/>
      <c r="Z79" s="134">
        <f t="shared" si="58"/>
        <v>457</v>
      </c>
      <c r="AA79" s="354">
        <f>+Z79+AB79</f>
        <v>7669</v>
      </c>
      <c r="AB79" s="354">
        <v>7212</v>
      </c>
      <c r="AC79" s="355">
        <f>+AA78-AA79</f>
        <v>784</v>
      </c>
      <c r="AD79" s="131">
        <f>+IF(((Z80+(Z81/2))*60)=0,"",(J79*Z79)/((Z80+(Z81/2))*60))</f>
        <v>0.83118040816326533</v>
      </c>
      <c r="AE79" s="347">
        <f>+Z80+Z81/2</f>
        <v>306.25</v>
      </c>
      <c r="AF79" s="347">
        <f t="shared" si="1"/>
        <v>306.14999999999998</v>
      </c>
      <c r="AG79" s="341">
        <f t="shared" si="2"/>
        <v>18375</v>
      </c>
      <c r="AH79" s="341">
        <f>+Z79*J79</f>
        <v>15272.94</v>
      </c>
      <c r="AI79" s="356">
        <f>+Z79-(AE79*K79/K81)</f>
        <v>-26.552631578947341</v>
      </c>
      <c r="AJ79" s="348"/>
      <c r="AK79" s="349"/>
      <c r="AL79" s="341"/>
      <c r="AM79" s="341"/>
      <c r="AN79" s="341"/>
      <c r="AO79" s="341"/>
      <c r="AP79" s="339">
        <f>-386+Z78</f>
        <v>0</v>
      </c>
      <c r="AQ79" s="434"/>
      <c r="AS79" s="390">
        <v>855</v>
      </c>
      <c r="AU79" s="390">
        <f t="shared" ref="AU79" si="59">+AS79-AC79</f>
        <v>71</v>
      </c>
    </row>
    <row r="80" spans="2:58" s="98" customFormat="1" ht="62.25" customHeight="1" x14ac:dyDescent="0.9">
      <c r="B80" s="357">
        <f>+B79</f>
        <v>17</v>
      </c>
      <c r="C80" s="408"/>
      <c r="D80" s="184"/>
      <c r="E80" s="111">
        <f>+B79</f>
        <v>17</v>
      </c>
      <c r="F80" s="409"/>
      <c r="G80" s="113">
        <f>+IFERROR(IF(K81=0,0,IF((LOOKUP(2,1/(M80:W80&lt;&gt;""),M80:W80)-K81)&lt;0,0,IF(K81=0,"",LOOKUP(2,1/(M80:W80&lt;&gt;""),M80:W80)-K81))),0)</f>
        <v>0</v>
      </c>
      <c r="H80" s="411"/>
      <c r="I80" s="113"/>
      <c r="J80" s="113"/>
      <c r="K80" s="114" t="s">
        <v>22</v>
      </c>
      <c r="L80" s="102" t="s">
        <v>18</v>
      </c>
      <c r="M80" s="448">
        <v>37</v>
      </c>
      <c r="N80" s="448">
        <v>38</v>
      </c>
      <c r="O80" s="448">
        <v>37</v>
      </c>
      <c r="P80" s="448">
        <v>37</v>
      </c>
      <c r="Q80" s="448">
        <v>37</v>
      </c>
      <c r="R80" s="448">
        <v>37</v>
      </c>
      <c r="S80" s="448">
        <v>37</v>
      </c>
      <c r="T80" s="448">
        <v>37</v>
      </c>
      <c r="U80" s="448">
        <v>37</v>
      </c>
      <c r="V80" s="448"/>
      <c r="W80" s="448"/>
      <c r="X80" s="160">
        <f>+IF(H80="l",IF(COUNTA(M79:W79)=AJ81+0.75,Z79-K79*AJ81,Z79-(K79*COUNTA(M79:W79))),IF(H80="s",0,IF(COUNTA(M79:W79)=AJ81+0.75,SUMIF($C:$C,B79,$Z:$Z)-K79*AJ81,SUMIF($C:$C,B79,$Z:$Z)-K79*COUNTA(M79:W79))))</f>
        <v>-38</v>
      </c>
      <c r="Y80" s="534"/>
      <c r="Z80" s="462">
        <f t="shared" ref="Z80:Z81" si="60">+SUM(M80:W80)-U80*0.75</f>
        <v>306.25</v>
      </c>
      <c r="AA80" s="360"/>
      <c r="AB80" s="360"/>
      <c r="AC80" s="362"/>
      <c r="AD80" s="363"/>
      <c r="AE80" s="346"/>
      <c r="AF80" s="347">
        <f t="shared" si="1"/>
        <v>0</v>
      </c>
      <c r="AG80" s="341">
        <f t="shared" si="2"/>
        <v>0</v>
      </c>
      <c r="AH80" s="341"/>
      <c r="AI80" s="341"/>
      <c r="AJ80" s="348"/>
      <c r="AK80" s="349">
        <f>+IF(AJ81=7.75,SUM(M80:S80)+T80*0.75,IF(AJ81=8,SUM(M80:T80),IF(AJ81=7.25,SUM(M80:S80)+T80*0.25,IF(AJ81=8.25,SUM(M80:T80)+U80*0.25,IF(AJ81=8.75,SUM(M80:T80)+U80*0.75,0)))))</f>
        <v>306.25</v>
      </c>
      <c r="AL80" s="341">
        <f>+AK80-Z80</f>
        <v>0</v>
      </c>
      <c r="AM80" s="341"/>
      <c r="AN80" s="341"/>
      <c r="AO80" s="341"/>
      <c r="AP80" s="438"/>
      <c r="AQ80" s="434"/>
      <c r="AS80" s="390"/>
      <c r="AU80" s="390"/>
    </row>
    <row r="81" spans="2:47" s="98" customFormat="1" ht="62.25" customHeight="1" thickBot="1" x14ac:dyDescent="0.95">
      <c r="B81" s="364">
        <f>+B79</f>
        <v>17</v>
      </c>
      <c r="C81" s="410"/>
      <c r="D81" s="174" t="s">
        <v>379</v>
      </c>
      <c r="E81" s="175">
        <f>+E80+100</f>
        <v>117</v>
      </c>
      <c r="F81" s="175"/>
      <c r="G81" s="444"/>
      <c r="H81" s="117"/>
      <c r="I81" s="442"/>
      <c r="J81" s="165">
        <f>+IF(K81="","",IF(K79=0,"",(K79*J79)/(K81*60)))</f>
        <v>0.8794736842105263</v>
      </c>
      <c r="K81" s="118">
        <v>38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451"/>
      <c r="Y81" s="365">
        <v>15.5</v>
      </c>
      <c r="Z81" s="463">
        <f t="shared" si="60"/>
        <v>0</v>
      </c>
      <c r="AA81" s="367"/>
      <c r="AB81" s="367"/>
      <c r="AC81" s="368">
        <f>+IFERROR(AC79/(K79*$AP$3),"")</f>
        <v>1.4933333333333334</v>
      </c>
      <c r="AD81" s="369"/>
      <c r="AE81" s="347"/>
      <c r="AF81" s="347">
        <f t="shared" si="1"/>
        <v>0</v>
      </c>
      <c r="AG81" s="341">
        <f t="shared" si="2"/>
        <v>0</v>
      </c>
      <c r="AH81" s="341"/>
      <c r="AI81" s="356"/>
      <c r="AJ81" s="370">
        <f>+$AI$4</f>
        <v>8.25</v>
      </c>
      <c r="AK81" s="349">
        <f>+IF(AJ81=7.75,SUM(M81:S81)+T81*0.75,IF(AJ81=8,SUM(M81:T81),IF(AJ81=7.25,SUM(M81:S81)+T81*0.25,IF(AJ81=8.25,SUM(M81:T81)+U81*0.25,IF(AJ81=8.75,SUM(M81:T81)+U81*0.75,0)))))</f>
        <v>0</v>
      </c>
      <c r="AL81" s="341">
        <f>+AK81-Z81</f>
        <v>0</v>
      </c>
      <c r="AM81" s="341"/>
      <c r="AN81" s="341"/>
      <c r="AO81" s="341"/>
      <c r="AP81" s="369"/>
      <c r="AQ81" s="434"/>
      <c r="AS81" s="390">
        <v>1.6285714285714286</v>
      </c>
      <c r="AU81" s="390"/>
    </row>
    <row r="82" spans="2:47" s="98" customFormat="1" ht="62.25" customHeight="1" thickTop="1" x14ac:dyDescent="0.9">
      <c r="B82" s="342">
        <f>+B83</f>
        <v>17</v>
      </c>
      <c r="C82" s="405"/>
      <c r="D82" s="106"/>
      <c r="E82" s="106"/>
      <c r="F82" s="106"/>
      <c r="G82" s="439" t="str">
        <f>+G83</f>
        <v>2259-600-730</v>
      </c>
      <c r="H82" s="106"/>
      <c r="I82" s="111"/>
      <c r="J82" s="107" t="s">
        <v>20</v>
      </c>
      <c r="K82" s="108" t="s">
        <v>23</v>
      </c>
      <c r="L82" s="100" t="s">
        <v>21</v>
      </c>
      <c r="M82" s="448"/>
      <c r="N82" s="448"/>
      <c r="O82" s="448"/>
      <c r="P82" s="448"/>
      <c r="Q82" s="448"/>
      <c r="R82" s="448"/>
      <c r="S82" s="448"/>
      <c r="T82" s="448"/>
      <c r="U82" s="448"/>
      <c r="V82" s="448"/>
      <c r="W82" s="448"/>
      <c r="X82" s="447" t="str">
        <f t="shared" ref="X82" si="61">IF(AP83="","",SUM(M82:W82)-(-(AP83-SUM(M82:W82))/$AP$3)*SUM($M$2:$W$2))</f>
        <v/>
      </c>
      <c r="Y82" s="533">
        <f>+X84</f>
        <v>457</v>
      </c>
      <c r="Z82" s="450">
        <f t="shared" ref="Z82:Z83" si="62">+SUM(L82:W82)</f>
        <v>0</v>
      </c>
      <c r="AA82" s="343">
        <f>+AB82+Z82</f>
        <v>0</v>
      </c>
      <c r="AB82" s="343"/>
      <c r="AC82" s="344"/>
      <c r="AD82" s="345"/>
      <c r="AE82" s="346"/>
      <c r="AF82" s="347">
        <f t="shared" ref="AF82:AF85" si="63">TRUNC(AE82)+(AE82-TRUNC(AE82))*60/100</f>
        <v>0</v>
      </c>
      <c r="AG82" s="341">
        <f t="shared" ref="AG82:AG85" si="64">+AE82*60</f>
        <v>0</v>
      </c>
      <c r="AH82" s="341"/>
      <c r="AI82" s="341"/>
      <c r="AJ82" s="348"/>
      <c r="AK82" s="349"/>
      <c r="AL82" s="341"/>
      <c r="AM82" s="341"/>
      <c r="AN82" s="341"/>
      <c r="AO82" s="341"/>
      <c r="AP82" s="350"/>
      <c r="AQ82" s="434"/>
      <c r="AS82" s="390"/>
      <c r="AU82" s="390"/>
    </row>
    <row r="83" spans="2:47" s="98" customFormat="1" ht="62.25" customHeight="1" x14ac:dyDescent="0.9">
      <c r="B83" s="351">
        <v>17</v>
      </c>
      <c r="C83" s="406">
        <f>+B83</f>
        <v>17</v>
      </c>
      <c r="D83" s="407" t="s">
        <v>441</v>
      </c>
      <c r="E83" s="111"/>
      <c r="F83" s="111" t="s">
        <v>35</v>
      </c>
      <c r="G83" s="106" t="s">
        <v>442</v>
      </c>
      <c r="H83" s="111"/>
      <c r="I83" s="111" t="s">
        <v>33</v>
      </c>
      <c r="J83" s="113">
        <v>35.68</v>
      </c>
      <c r="K83" s="130">
        <v>65</v>
      </c>
      <c r="L83" s="101" t="s">
        <v>17</v>
      </c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123">
        <f>+IF(H84="s",0,IF(Z83=0,0,IF(COUNTA(M83:W83)=AJ85+0.75,SUMIF($C:$C,B83,$Z:$Z)/AJ85,SUMIF($C:$C,B83,$Z:$Z)/(COUNTA(M83:W83)))))</f>
        <v>0</v>
      </c>
      <c r="Y83" s="534"/>
      <c r="Z83" s="134">
        <f t="shared" si="62"/>
        <v>0</v>
      </c>
      <c r="AA83" s="354">
        <f>+Z83+AB83</f>
        <v>0</v>
      </c>
      <c r="AB83" s="354"/>
      <c r="AC83" s="355">
        <f>+AA82-AA83</f>
        <v>0</v>
      </c>
      <c r="AD83" s="131" t="str">
        <f>+IF(((Z84+(Z85/2))*60)=0,"",(J83*Z83)/((Z84+(Z85/2))*60))</f>
        <v/>
      </c>
      <c r="AE83" s="347">
        <f>+Z84+Z85/2</f>
        <v>0</v>
      </c>
      <c r="AF83" s="347">
        <f t="shared" si="63"/>
        <v>0</v>
      </c>
      <c r="AG83" s="341">
        <f t="shared" si="64"/>
        <v>0</v>
      </c>
      <c r="AH83" s="341">
        <f>+Z83*J83</f>
        <v>0</v>
      </c>
      <c r="AI83" s="356">
        <f>+Z83-(AE83*K83/K85)</f>
        <v>0</v>
      </c>
      <c r="AJ83" s="348"/>
      <c r="AK83" s="349"/>
      <c r="AL83" s="341"/>
      <c r="AM83" s="341"/>
      <c r="AN83" s="341"/>
      <c r="AO83" s="341"/>
      <c r="AP83" s="339" t="str">
        <f t="shared" ref="AP83" si="65">IF(AQ83=0,"",AS83-(($AP$3*K83)+($AP$3*K83)*AQ83)+Z82)</f>
        <v/>
      </c>
      <c r="AQ83" s="434"/>
      <c r="AS83" s="390"/>
      <c r="AU83" s="390">
        <f t="shared" ref="AU83" si="66">+AS83-AC83</f>
        <v>0</v>
      </c>
    </row>
    <row r="84" spans="2:47" s="98" customFormat="1" ht="62.25" customHeight="1" x14ac:dyDescent="0.9">
      <c r="B84" s="357">
        <f>+B83</f>
        <v>17</v>
      </c>
      <c r="C84" s="408"/>
      <c r="D84" s="184"/>
      <c r="E84" s="111">
        <f>+B83</f>
        <v>17</v>
      </c>
      <c r="F84" s="409"/>
      <c r="G84" s="113">
        <f>+IFERROR(IF(K85=0,0,IF((LOOKUP(2,1/(M84:W84&lt;&gt;""),M84:W84)-K85)&lt;0,0,IF(K85=0,"",LOOKUP(2,1/(M84:W84&lt;&gt;""),M84:W84)-K85))),0)</f>
        <v>0</v>
      </c>
      <c r="H84" s="411"/>
      <c r="I84" s="113"/>
      <c r="J84" s="113"/>
      <c r="K84" s="114" t="s">
        <v>22</v>
      </c>
      <c r="L84" s="102" t="s">
        <v>18</v>
      </c>
      <c r="M84" s="448"/>
      <c r="N84" s="448"/>
      <c r="O84" s="448"/>
      <c r="P84" s="448"/>
      <c r="Q84" s="448"/>
      <c r="R84" s="448"/>
      <c r="S84" s="448"/>
      <c r="T84" s="448"/>
      <c r="U84" s="448"/>
      <c r="V84" s="448"/>
      <c r="W84" s="448"/>
      <c r="X84" s="160">
        <f>+IF(H84="l",IF(COUNTA(M83:W83)=AJ85+0.75,Z83-K83*AJ85,Z83-(K83*COUNTA(M83:W83))),IF(H84="s",0,IF(COUNTA(M83:W83)=AJ85+0.75,SUMIF($C:$C,B83,$Z:$Z)-K83*AJ85,SUMIF($C:$C,B83,$Z:$Z)-K83*COUNTA(M83:W83))))</f>
        <v>457</v>
      </c>
      <c r="Y84" s="534"/>
      <c r="Z84" s="462">
        <f t="shared" ref="Z84:Z85" si="67">+SUM(M84:W84)-U84*0.75</f>
        <v>0</v>
      </c>
      <c r="AA84" s="360"/>
      <c r="AB84" s="360"/>
      <c r="AC84" s="362"/>
      <c r="AD84" s="363"/>
      <c r="AE84" s="346"/>
      <c r="AF84" s="347">
        <f t="shared" si="63"/>
        <v>0</v>
      </c>
      <c r="AG84" s="341">
        <f t="shared" si="64"/>
        <v>0</v>
      </c>
      <c r="AH84" s="341"/>
      <c r="AI84" s="341"/>
      <c r="AJ84" s="348"/>
      <c r="AK84" s="349">
        <f>+IF(AJ85=7.75,SUM(M84:S84)+T84*0.75,IF(AJ85=8,SUM(M84:T84),IF(AJ85=7.25,SUM(M84:S84)+T84*0.25,IF(AJ85=8.25,SUM(M84:T84)+U84*0.25,IF(AJ85=8.75,SUM(M84:T84)+U84*0.75,0)))))</f>
        <v>0</v>
      </c>
      <c r="AL84" s="341">
        <f>+AK84-Z84</f>
        <v>0</v>
      </c>
      <c r="AM84" s="341"/>
      <c r="AN84" s="341"/>
      <c r="AO84" s="341"/>
      <c r="AP84" s="438"/>
      <c r="AQ84" s="434"/>
      <c r="AS84" s="390"/>
      <c r="AU84" s="390"/>
    </row>
    <row r="85" spans="2:47" s="98" customFormat="1" ht="62.25" customHeight="1" thickBot="1" x14ac:dyDescent="0.95">
      <c r="B85" s="364">
        <f>+B83</f>
        <v>17</v>
      </c>
      <c r="C85" s="410"/>
      <c r="D85" s="174" t="s">
        <v>379</v>
      </c>
      <c r="E85" s="175">
        <f>+E84+100</f>
        <v>117</v>
      </c>
      <c r="F85" s="175"/>
      <c r="G85" s="444"/>
      <c r="H85" s="117"/>
      <c r="I85" s="442"/>
      <c r="J85" s="165">
        <f>+IF(K85="","",IF(K83=0,"",(K83*J83)/(K85*60)))</f>
        <v>0.87848484848484842</v>
      </c>
      <c r="K85" s="118">
        <v>44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451"/>
      <c r="Y85" s="365"/>
      <c r="Z85" s="463">
        <f t="shared" si="67"/>
        <v>0</v>
      </c>
      <c r="AA85" s="367"/>
      <c r="AB85" s="367"/>
      <c r="AC85" s="368">
        <f>+IFERROR(AC83/(K83*$AP$3),"")</f>
        <v>0</v>
      </c>
      <c r="AD85" s="369"/>
      <c r="AE85" s="347"/>
      <c r="AF85" s="347">
        <f t="shared" si="63"/>
        <v>0</v>
      </c>
      <c r="AG85" s="341">
        <f t="shared" si="64"/>
        <v>0</v>
      </c>
      <c r="AH85" s="341"/>
      <c r="AI85" s="356"/>
      <c r="AJ85" s="370">
        <f>+$AI$4</f>
        <v>8.25</v>
      </c>
      <c r="AK85" s="349">
        <f>+IF(AJ85=7.75,SUM(M85:S85)+T85*0.75,IF(AJ85=8,SUM(M85:T85),IF(AJ85=7.25,SUM(M85:S85)+T85*0.25,IF(AJ85=8.25,SUM(M85:T85)+U85*0.25,IF(AJ85=8.75,SUM(M85:T85)+U85*0.75,0)))))</f>
        <v>0</v>
      </c>
      <c r="AL85" s="341">
        <f>+AK85-Z85</f>
        <v>0</v>
      </c>
      <c r="AM85" s="341"/>
      <c r="AN85" s="341"/>
      <c r="AO85" s="341"/>
      <c r="AP85" s="369"/>
      <c r="AQ85" s="434"/>
      <c r="AS85" s="390"/>
      <c r="AU85" s="390"/>
    </row>
    <row r="86" spans="2:47" s="98" customFormat="1" ht="62.25" customHeight="1" thickTop="1" x14ac:dyDescent="0.9">
      <c r="B86" s="373">
        <f>+B87</f>
        <v>18</v>
      </c>
      <c r="C86" s="405"/>
      <c r="D86" s="106"/>
      <c r="E86" s="106"/>
      <c r="F86" s="106"/>
      <c r="G86" s="439" t="str">
        <f>+G87</f>
        <v>2158-755-712</v>
      </c>
      <c r="H86" s="106"/>
      <c r="I86" s="106"/>
      <c r="J86" s="107" t="s">
        <v>20</v>
      </c>
      <c r="K86" s="108" t="s">
        <v>23</v>
      </c>
      <c r="L86" s="100" t="s">
        <v>21</v>
      </c>
      <c r="M86" s="448"/>
      <c r="N86" s="448"/>
      <c r="O86" s="448">
        <v>120</v>
      </c>
      <c r="P86" s="448">
        <v>60</v>
      </c>
      <c r="Q86" s="448">
        <v>120</v>
      </c>
      <c r="R86" s="448"/>
      <c r="S86" s="448"/>
      <c r="T86" s="448"/>
      <c r="U86" s="448"/>
      <c r="V86" s="448"/>
      <c r="W86" s="448"/>
      <c r="X86" s="447">
        <f t="shared" ref="X86" si="68">IF(AP87="","",SUM(M86:W86)-(-(AP87-SUM(M86:W86))/$AP$3)*SUM($M$2:$W$2))</f>
        <v>300</v>
      </c>
      <c r="Y86" s="533">
        <f>+X88</f>
        <v>-122</v>
      </c>
      <c r="Z86" s="450">
        <f t="shared" si="58"/>
        <v>300</v>
      </c>
      <c r="AA86" s="343">
        <f>+AB86+Z86</f>
        <v>4153</v>
      </c>
      <c r="AB86" s="343">
        <v>3853</v>
      </c>
      <c r="AC86" s="344"/>
      <c r="AD86" s="345"/>
      <c r="AE86" s="346"/>
      <c r="AF86" s="347">
        <f t="shared" ref="AF86:AF89" si="69">TRUNC(AE86)+(AE86-TRUNC(AE86))*60/100</f>
        <v>0</v>
      </c>
      <c r="AG86" s="341">
        <f t="shared" ref="AG86:AG89" si="70">+AE86*60</f>
        <v>0</v>
      </c>
      <c r="AH86" s="341"/>
      <c r="AI86" s="341"/>
      <c r="AJ86" s="348"/>
      <c r="AK86" s="349"/>
      <c r="AL86" s="341"/>
      <c r="AM86" s="341"/>
      <c r="AN86" s="341"/>
      <c r="AO86" s="341"/>
      <c r="AP86" s="350"/>
      <c r="AQ86" s="434"/>
      <c r="AS86" s="390"/>
      <c r="AU86" s="390"/>
    </row>
    <row r="87" spans="2:47" s="98" customFormat="1" ht="62.25" customHeight="1" x14ac:dyDescent="0.9">
      <c r="B87" s="374">
        <v>18</v>
      </c>
      <c r="C87" s="406">
        <f>+B87</f>
        <v>18</v>
      </c>
      <c r="D87" s="407" t="s">
        <v>431</v>
      </c>
      <c r="E87" s="111"/>
      <c r="F87" s="111" t="s">
        <v>35</v>
      </c>
      <c r="G87" s="106" t="s">
        <v>432</v>
      </c>
      <c r="H87" s="111"/>
      <c r="I87" s="111" t="s">
        <v>33</v>
      </c>
      <c r="J87" s="113">
        <v>51.42</v>
      </c>
      <c r="K87" s="130">
        <v>52</v>
      </c>
      <c r="L87" s="101" t="s">
        <v>17</v>
      </c>
      <c r="M87" s="214">
        <v>40</v>
      </c>
      <c r="N87" s="214">
        <v>30</v>
      </c>
      <c r="O87" s="214">
        <v>40</v>
      </c>
      <c r="P87" s="214">
        <v>40</v>
      </c>
      <c r="Q87" s="214">
        <v>52</v>
      </c>
      <c r="R87" s="214">
        <v>40</v>
      </c>
      <c r="S87" s="214">
        <v>40</v>
      </c>
      <c r="T87" s="214">
        <v>20</v>
      </c>
      <c r="U87" s="214">
        <v>5</v>
      </c>
      <c r="V87" s="214"/>
      <c r="W87" s="214"/>
      <c r="X87" s="123">
        <f>+IF(H88="s",0,IF(Z87=0,0,IF(COUNTA(M87:W87)=AJ89+0.75,SUMIF($C:$C,B87,$Z:$Z)/AJ89,SUMIF($C:$C,B87,$Z:$Z)/(COUNTA(M87:W87)))))</f>
        <v>37.212121212121211</v>
      </c>
      <c r="Y87" s="534"/>
      <c r="Z87" s="134">
        <f t="shared" si="58"/>
        <v>307</v>
      </c>
      <c r="AA87" s="354">
        <f>+Z87+AB87</f>
        <v>3446</v>
      </c>
      <c r="AB87" s="354">
        <v>3139</v>
      </c>
      <c r="AC87" s="355">
        <f>+AA86-AA87</f>
        <v>707</v>
      </c>
      <c r="AD87" s="131">
        <f>+IF(((Z88+(Z89/2))*60)=0,"",(J87*Z87)/((Z88+(Z89/2))*60))</f>
        <v>0.62980011968880911</v>
      </c>
      <c r="AE87" s="347">
        <f>+Z88+Z89/2</f>
        <v>417.75</v>
      </c>
      <c r="AF87" s="347">
        <f t="shared" si="69"/>
        <v>417.45</v>
      </c>
      <c r="AG87" s="341">
        <f t="shared" si="70"/>
        <v>25065</v>
      </c>
      <c r="AH87" s="341">
        <f>+Z87*J87</f>
        <v>15785.94</v>
      </c>
      <c r="AI87" s="356">
        <f>+Z87-(AE87*K87/K89)</f>
        <v>-118.94117647058823</v>
      </c>
      <c r="AJ87" s="348"/>
      <c r="AK87" s="349"/>
      <c r="AL87" s="341"/>
      <c r="AM87" s="341"/>
      <c r="AN87" s="341"/>
      <c r="AO87" s="341"/>
      <c r="AP87" s="339">
        <f>-300+Z86</f>
        <v>0</v>
      </c>
      <c r="AQ87" s="434">
        <v>1.5</v>
      </c>
      <c r="AS87" s="390">
        <v>714</v>
      </c>
      <c r="AU87" s="390">
        <f t="shared" ref="AU87" si="71">+AS87-AC87</f>
        <v>7</v>
      </c>
    </row>
    <row r="88" spans="2:47" s="98" customFormat="1" ht="62.25" customHeight="1" x14ac:dyDescent="0.9">
      <c r="B88" s="357">
        <f>+B87</f>
        <v>18</v>
      </c>
      <c r="C88" s="408"/>
      <c r="D88" s="184"/>
      <c r="E88" s="111">
        <f>+B87</f>
        <v>18</v>
      </c>
      <c r="F88" s="409"/>
      <c r="G88" s="113">
        <f>+IFERROR(IF(K89=0,0,IF((LOOKUP(2,1/(M88:W88&lt;&gt;""),M88:W88)-K89)&lt;0,0,IF(K89=0,"",LOOKUP(2,1/(M88:W88&lt;&gt;""),M88:W88)-K89))),0)</f>
        <v>0</v>
      </c>
      <c r="H88" s="411"/>
      <c r="I88" s="113"/>
      <c r="J88" s="113"/>
      <c r="K88" s="114" t="s">
        <v>22</v>
      </c>
      <c r="L88" s="102" t="s">
        <v>18</v>
      </c>
      <c r="M88" s="448">
        <v>47</v>
      </c>
      <c r="N88" s="448">
        <v>50</v>
      </c>
      <c r="O88" s="448">
        <v>50</v>
      </c>
      <c r="P88" s="448">
        <v>50</v>
      </c>
      <c r="Q88" s="448">
        <v>50</v>
      </c>
      <c r="R88" s="448">
        <v>50</v>
      </c>
      <c r="S88" s="448">
        <v>50</v>
      </c>
      <c r="T88" s="448">
        <v>50</v>
      </c>
      <c r="U88" s="448">
        <v>50</v>
      </c>
      <c r="V88" s="448"/>
      <c r="W88" s="448"/>
      <c r="X88" s="160">
        <f>+IF(H88="l",IF(COUNTA(M87:W87)=AJ89+0.75,Z87-K87*AJ89,Z87-(K87*COUNTA(M87:W87))),IF(H88="s",0,IF(COUNTA(M87:W87)=AJ89+0.75,SUMIF($C:$C,B87,$Z:$Z)-K87*AJ89,SUMIF($C:$C,B87,$Z:$Z)-K87*COUNTA(M87:W87))))</f>
        <v>-122</v>
      </c>
      <c r="Y88" s="534"/>
      <c r="Z88" s="462">
        <f t="shared" ref="Z88:Z89" si="72">+SUM(M88:W88)-U88*0.75</f>
        <v>409.5</v>
      </c>
      <c r="AA88" s="361"/>
      <c r="AB88" s="361"/>
      <c r="AC88" s="362"/>
      <c r="AD88" s="363"/>
      <c r="AE88" s="346"/>
      <c r="AF88" s="347">
        <f t="shared" si="69"/>
        <v>0</v>
      </c>
      <c r="AG88" s="341">
        <f t="shared" si="70"/>
        <v>0</v>
      </c>
      <c r="AH88" s="341"/>
      <c r="AI88" s="341"/>
      <c r="AJ88" s="348"/>
      <c r="AK88" s="349">
        <f>+IF(AJ89=7.75,SUM(M88:S88)+T88*0.75,IF(AJ89=8,SUM(M88:T88),IF(AJ89=7.25,SUM(M88:S88)+T88*0.25,IF(AJ89=8.25,SUM(M88:T88)+U88*0.25,IF(AJ89=8.75,SUM(M88:T88)+U88*0.75,0)))))</f>
        <v>409.5</v>
      </c>
      <c r="AL88" s="341">
        <f>+AK88-Z88</f>
        <v>0</v>
      </c>
      <c r="AM88" s="341"/>
      <c r="AN88" s="341"/>
      <c r="AO88" s="341"/>
      <c r="AP88" s="438"/>
      <c r="AQ88" s="434"/>
      <c r="AS88" s="390"/>
      <c r="AU88" s="390"/>
    </row>
    <row r="89" spans="2:47" s="98" customFormat="1" ht="62.25" customHeight="1" thickBot="1" x14ac:dyDescent="0.95">
      <c r="B89" s="375">
        <f>+B87</f>
        <v>18</v>
      </c>
      <c r="C89" s="410"/>
      <c r="D89" s="413" t="s">
        <v>308</v>
      </c>
      <c r="E89" s="175">
        <f>+E88+100</f>
        <v>118</v>
      </c>
      <c r="F89" s="175"/>
      <c r="G89" s="444">
        <f>+SUMPRODUCT((M88:W88&lt;&gt;"")*(M88:W88&lt;&gt;0)*(M88:W88-K89))</f>
        <v>-12</v>
      </c>
      <c r="H89" s="117"/>
      <c r="I89" s="442"/>
      <c r="J89" s="165">
        <f>+IF(K89="","",IF(K87=0,"",(K87*J87)/(K89*60)))</f>
        <v>0.87380392156862752</v>
      </c>
      <c r="K89" s="118">
        <v>51</v>
      </c>
      <c r="L89" s="104" t="s">
        <v>19</v>
      </c>
      <c r="M89" s="216">
        <v>2</v>
      </c>
      <c r="N89" s="216">
        <v>2</v>
      </c>
      <c r="O89" s="216">
        <v>2</v>
      </c>
      <c r="P89" s="216">
        <v>2</v>
      </c>
      <c r="Q89" s="216">
        <v>2</v>
      </c>
      <c r="R89" s="216">
        <v>2</v>
      </c>
      <c r="S89" s="216">
        <v>2</v>
      </c>
      <c r="T89" s="216">
        <v>2</v>
      </c>
      <c r="U89" s="216">
        <v>2</v>
      </c>
      <c r="V89" s="216"/>
      <c r="W89" s="216"/>
      <c r="X89" s="451"/>
      <c r="Y89" s="365">
        <v>28.44</v>
      </c>
      <c r="Z89" s="463">
        <f t="shared" si="72"/>
        <v>16.5</v>
      </c>
      <c r="AA89" s="367"/>
      <c r="AB89" s="367"/>
      <c r="AC89" s="368">
        <f>+IFERROR(AC87/(K87*$AP$3),"")</f>
        <v>1.5538461538461539</v>
      </c>
      <c r="AD89" s="369"/>
      <c r="AE89" s="347"/>
      <c r="AF89" s="347">
        <f t="shared" si="69"/>
        <v>0</v>
      </c>
      <c r="AG89" s="341">
        <f t="shared" si="70"/>
        <v>0</v>
      </c>
      <c r="AH89" s="341"/>
      <c r="AI89" s="356"/>
      <c r="AJ89" s="370">
        <f>+$AI$4</f>
        <v>8.25</v>
      </c>
      <c r="AK89" s="349">
        <f>+IF(AJ89=7.75,SUM(M89:S89)+T89*0.75,IF(AJ89=8,SUM(M89:T89),IF(AJ89=7.25,SUM(M89:S89)+T89*0.25,IF(AJ89=8.25,SUM(M89:T89)+U89*0.25,IF(AJ89=8.75,SUM(M89:T89)+U89*0.75,0)))))</f>
        <v>16.5</v>
      </c>
      <c r="AL89" s="341">
        <f>+AK89-Z89</f>
        <v>0</v>
      </c>
      <c r="AM89" s="341"/>
      <c r="AN89" s="341"/>
      <c r="AO89" s="341"/>
      <c r="AP89" s="369"/>
      <c r="AQ89" s="434"/>
      <c r="AS89" s="390">
        <v>1.5692307692307692</v>
      </c>
      <c r="AU89" s="390"/>
    </row>
    <row r="90" spans="2:47" s="419" customFormat="1" ht="91.5" customHeight="1" thickTop="1" thickBot="1" x14ac:dyDescent="0.95">
      <c r="B90" s="414"/>
      <c r="C90" s="414"/>
      <c r="D90" s="415"/>
      <c r="E90" s="415"/>
      <c r="F90" s="415"/>
      <c r="G90" s="415"/>
      <c r="H90" s="415"/>
      <c r="I90" s="415"/>
      <c r="J90" s="415"/>
      <c r="K90" s="415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  <c r="W90" s="416"/>
      <c r="X90" s="415"/>
      <c r="Y90" s="415"/>
      <c r="Z90" s="415"/>
      <c r="AA90" s="415"/>
      <c r="AB90" s="415"/>
      <c r="AC90" s="415"/>
      <c r="AD90" s="417"/>
      <c r="AE90" s="418"/>
      <c r="AF90" s="418"/>
      <c r="AJ90" s="420"/>
      <c r="AK90" s="421"/>
      <c r="AQ90" s="435"/>
    </row>
    <row r="91" spans="2:47" s="419" customFormat="1" ht="91.5" customHeight="1" thickTop="1" thickBot="1" x14ac:dyDescent="0.95">
      <c r="B91" s="414"/>
      <c r="C91" s="414"/>
      <c r="D91" s="415"/>
      <c r="E91" s="415"/>
      <c r="F91" s="415"/>
      <c r="G91" s="415"/>
      <c r="H91" s="415"/>
      <c r="I91" s="415"/>
      <c r="J91" s="415"/>
      <c r="K91" s="415"/>
      <c r="L91" s="378" t="s">
        <v>21</v>
      </c>
      <c r="M91" s="379">
        <f t="shared" ref="M91:W91" si="73">+SUMIF($L$6:$L$90,$L$91,M6:M90)</f>
        <v>870</v>
      </c>
      <c r="N91" s="379">
        <f t="shared" si="73"/>
        <v>992</v>
      </c>
      <c r="O91" s="379">
        <f t="shared" si="73"/>
        <v>920</v>
      </c>
      <c r="P91" s="379">
        <f t="shared" si="73"/>
        <v>480</v>
      </c>
      <c r="Q91" s="379">
        <f t="shared" si="73"/>
        <v>490</v>
      </c>
      <c r="R91" s="379">
        <f t="shared" si="73"/>
        <v>686</v>
      </c>
      <c r="S91" s="379">
        <f t="shared" si="73"/>
        <v>410</v>
      </c>
      <c r="T91" s="379">
        <f t="shared" si="73"/>
        <v>0</v>
      </c>
      <c r="U91" s="379">
        <f t="shared" si="73"/>
        <v>0</v>
      </c>
      <c r="V91" s="379">
        <f t="shared" si="73"/>
        <v>0</v>
      </c>
      <c r="W91" s="379">
        <f t="shared" si="73"/>
        <v>0</v>
      </c>
      <c r="X91" s="332"/>
      <c r="Y91" s="537">
        <f>+SUM(M91:W91)</f>
        <v>4848</v>
      </c>
      <c r="Z91" s="538"/>
      <c r="AA91" s="415"/>
      <c r="AB91" s="415"/>
      <c r="AC91" s="415"/>
      <c r="AD91" s="417"/>
      <c r="AE91" s="418"/>
      <c r="AF91" s="418"/>
      <c r="AJ91" s="420"/>
      <c r="AQ91" s="435"/>
    </row>
    <row r="92" spans="2:47" s="419" customFormat="1" ht="91.5" customHeight="1" thickTop="1" thickBot="1" x14ac:dyDescent="0.95">
      <c r="B92" s="414"/>
      <c r="C92" s="414"/>
      <c r="D92" s="415"/>
      <c r="E92" s="415"/>
      <c r="F92" s="415"/>
      <c r="G92" s="415"/>
      <c r="H92" s="415"/>
      <c r="I92" s="415"/>
      <c r="J92" s="415"/>
      <c r="K92" s="415"/>
      <c r="L92" s="380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32"/>
      <c r="Y92" s="332"/>
      <c r="Z92" s="332"/>
      <c r="AA92" s="415"/>
      <c r="AB92" s="415"/>
      <c r="AC92" s="415"/>
      <c r="AD92" s="417"/>
      <c r="AE92" s="418"/>
      <c r="AF92" s="418"/>
      <c r="AJ92" s="420"/>
      <c r="AQ92" s="435"/>
    </row>
    <row r="93" spans="2:47" s="419" customFormat="1" ht="91.5" customHeight="1" thickTop="1" thickBot="1" x14ac:dyDescent="0.95">
      <c r="B93" s="414"/>
      <c r="C93" s="414"/>
      <c r="D93" s="415"/>
      <c r="E93" s="415"/>
      <c r="F93" s="415"/>
      <c r="G93" s="415"/>
      <c r="H93" s="415"/>
      <c r="I93" s="415"/>
      <c r="J93" s="415"/>
      <c r="K93" s="415"/>
      <c r="L93" s="378" t="s">
        <v>17</v>
      </c>
      <c r="M93" s="379">
        <f t="shared" ref="M93:W93" si="74">+SUMIF($L$6:$L$90,$L$93,M6:M90)</f>
        <v>543</v>
      </c>
      <c r="N93" s="379">
        <f t="shared" si="74"/>
        <v>551</v>
      </c>
      <c r="O93" s="379">
        <f t="shared" si="74"/>
        <v>635</v>
      </c>
      <c r="P93" s="379">
        <f t="shared" si="74"/>
        <v>609</v>
      </c>
      <c r="Q93" s="379">
        <f t="shared" si="74"/>
        <v>680</v>
      </c>
      <c r="R93" s="379">
        <f t="shared" si="74"/>
        <v>592</v>
      </c>
      <c r="S93" s="379">
        <f t="shared" si="74"/>
        <v>653</v>
      </c>
      <c r="T93" s="379">
        <f t="shared" si="74"/>
        <v>594</v>
      </c>
      <c r="U93" s="379">
        <f t="shared" si="74"/>
        <v>145</v>
      </c>
      <c r="V93" s="379">
        <f t="shared" si="74"/>
        <v>0</v>
      </c>
      <c r="W93" s="379">
        <f t="shared" si="74"/>
        <v>0</v>
      </c>
      <c r="X93" s="332"/>
      <c r="Y93" s="537">
        <f>+SUM(M93:W93)</f>
        <v>5002</v>
      </c>
      <c r="Z93" s="538"/>
      <c r="AA93" s="415"/>
      <c r="AB93" s="415"/>
      <c r="AC93" s="415"/>
      <c r="AD93" s="417"/>
      <c r="AE93" s="418"/>
      <c r="AF93" s="418"/>
      <c r="AJ93" s="420"/>
      <c r="AQ93" s="435"/>
    </row>
    <row r="94" spans="2:47" s="419" customFormat="1" ht="91.5" customHeight="1" thickTop="1" thickBot="1" x14ac:dyDescent="0.95">
      <c r="B94" s="414"/>
      <c r="C94" s="414"/>
      <c r="D94" s="415"/>
      <c r="E94" s="415"/>
      <c r="F94" s="415"/>
      <c r="G94" s="415"/>
      <c r="H94" s="415"/>
      <c r="I94" s="415"/>
      <c r="J94" s="415"/>
      <c r="K94" s="415"/>
      <c r="L94" s="380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32"/>
      <c r="Y94" s="332"/>
      <c r="Z94" s="332"/>
      <c r="AA94" s="415"/>
      <c r="AB94" s="415"/>
      <c r="AC94" s="415"/>
      <c r="AD94" s="417"/>
      <c r="AE94" s="418"/>
      <c r="AF94" s="418"/>
      <c r="AJ94" s="420"/>
      <c r="AQ94" s="435"/>
    </row>
    <row r="95" spans="2:47" s="419" customFormat="1" ht="91.5" customHeight="1" thickTop="1" thickBot="1" x14ac:dyDescent="0.95">
      <c r="B95" s="414"/>
      <c r="C95" s="414"/>
      <c r="D95" s="422"/>
      <c r="E95" s="422"/>
      <c r="F95" s="422"/>
      <c r="G95" s="422"/>
      <c r="H95" s="422"/>
      <c r="I95" s="422"/>
      <c r="J95" s="423"/>
      <c r="K95" s="422"/>
      <c r="L95" s="378" t="s">
        <v>19</v>
      </c>
      <c r="M95" s="379">
        <f t="shared" ref="M95:W95" si="75">+SUMIF($L$6:$L$90,$L$95,M6:M90)</f>
        <v>4</v>
      </c>
      <c r="N95" s="379">
        <f t="shared" si="75"/>
        <v>4</v>
      </c>
      <c r="O95" s="379">
        <f t="shared" si="75"/>
        <v>4</v>
      </c>
      <c r="P95" s="379">
        <f t="shared" si="75"/>
        <v>4</v>
      </c>
      <c r="Q95" s="379">
        <f t="shared" si="75"/>
        <v>4</v>
      </c>
      <c r="R95" s="379">
        <f t="shared" si="75"/>
        <v>4</v>
      </c>
      <c r="S95" s="379">
        <f t="shared" si="75"/>
        <v>4</v>
      </c>
      <c r="T95" s="379">
        <f t="shared" si="75"/>
        <v>4</v>
      </c>
      <c r="U95" s="379">
        <f t="shared" si="75"/>
        <v>4</v>
      </c>
      <c r="V95" s="379">
        <f t="shared" si="75"/>
        <v>0</v>
      </c>
      <c r="W95" s="379">
        <f t="shared" si="75"/>
        <v>0</v>
      </c>
      <c r="X95" s="381"/>
      <c r="Y95" s="332"/>
      <c r="Z95" s="332"/>
      <c r="AA95" s="415"/>
      <c r="AB95" s="415"/>
      <c r="AC95" s="415"/>
      <c r="AD95" s="417"/>
      <c r="AE95" s="418"/>
      <c r="AF95" s="418"/>
      <c r="AJ95" s="420"/>
      <c r="AQ95" s="435"/>
    </row>
    <row r="96" spans="2:47" s="419" customFormat="1" ht="62.25" customHeight="1" thickTop="1" x14ac:dyDescent="0.9">
      <c r="B96" s="414"/>
      <c r="C96" s="414"/>
      <c r="D96" s="422"/>
      <c r="E96" s="422"/>
      <c r="F96" s="422"/>
      <c r="G96" s="422"/>
      <c r="H96" s="422"/>
      <c r="I96" s="424"/>
      <c r="J96" s="423"/>
      <c r="K96" s="422"/>
      <c r="L96" s="380"/>
      <c r="M96" s="382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32"/>
      <c r="Y96" s="332"/>
      <c r="Z96" s="332"/>
      <c r="AA96" s="415"/>
      <c r="AB96" s="415"/>
      <c r="AC96" s="425"/>
      <c r="AD96" s="417"/>
      <c r="AE96" s="418"/>
      <c r="AF96" s="418"/>
      <c r="AJ96" s="420"/>
      <c r="AQ96" s="435"/>
    </row>
    <row r="97" spans="2:43" s="98" customFormat="1" ht="62.25" customHeight="1" thickBot="1" x14ac:dyDescent="0.95">
      <c r="B97" s="94"/>
      <c r="C97" s="94"/>
      <c r="D97" s="92"/>
      <c r="E97" s="92"/>
      <c r="F97" s="92"/>
      <c r="G97" s="92"/>
      <c r="H97" s="92"/>
      <c r="I97" s="91"/>
      <c r="J97" s="93"/>
      <c r="K97" s="92"/>
      <c r="L97" s="384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91"/>
      <c r="AB97" s="91"/>
      <c r="AC97" s="91"/>
      <c r="AD97" s="95"/>
      <c r="AE97" s="158"/>
      <c r="AF97" s="158"/>
      <c r="AJ97" s="183"/>
      <c r="AQ97" s="434"/>
    </row>
    <row r="98" spans="2:43" s="98" customFormat="1" ht="88.5" customHeight="1" thickTop="1" thickBot="1" x14ac:dyDescent="0.95">
      <c r="B98" s="94"/>
      <c r="C98" s="94"/>
      <c r="D98" s="92"/>
      <c r="E98" s="92"/>
      <c r="F98" s="92"/>
      <c r="G98" s="92"/>
      <c r="H98" s="92"/>
      <c r="I98" s="91"/>
      <c r="J98" s="93"/>
      <c r="K98" s="212" t="s">
        <v>18</v>
      </c>
      <c r="L98" s="385" t="s">
        <v>180</v>
      </c>
      <c r="M98" s="379">
        <f t="shared" ref="M98:W98" si="76">+IF(M101=0,0,SUMIFS($J$6:$J$90,$L$6:$L$90,$K$98))</f>
        <v>11</v>
      </c>
      <c r="N98" s="379">
        <f t="shared" si="76"/>
        <v>11</v>
      </c>
      <c r="O98" s="379">
        <f t="shared" si="76"/>
        <v>11</v>
      </c>
      <c r="P98" s="379">
        <f t="shared" si="76"/>
        <v>11</v>
      </c>
      <c r="Q98" s="379">
        <f t="shared" si="76"/>
        <v>11</v>
      </c>
      <c r="R98" s="379">
        <f t="shared" si="76"/>
        <v>11</v>
      </c>
      <c r="S98" s="379">
        <f t="shared" si="76"/>
        <v>11</v>
      </c>
      <c r="T98" s="379">
        <f t="shared" si="76"/>
        <v>11</v>
      </c>
      <c r="U98" s="379">
        <f t="shared" si="76"/>
        <v>11</v>
      </c>
      <c r="V98" s="379">
        <f t="shared" si="76"/>
        <v>0</v>
      </c>
      <c r="W98" s="379">
        <f t="shared" si="76"/>
        <v>0</v>
      </c>
      <c r="X98" s="383"/>
      <c r="Y98" s="340"/>
      <c r="Z98" s="340"/>
      <c r="AA98" s="91"/>
      <c r="AB98" s="91"/>
      <c r="AC98" s="91"/>
      <c r="AD98" s="95"/>
      <c r="AE98" s="158"/>
      <c r="AF98" s="158"/>
      <c r="AJ98" s="183"/>
      <c r="AQ98" s="434"/>
    </row>
    <row r="99" spans="2:43" s="98" customFormat="1" ht="62.25" customHeight="1" thickTop="1" x14ac:dyDescent="0.9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84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40"/>
      <c r="Y99" s="340"/>
      <c r="Z99" s="340"/>
      <c r="AA99" s="91"/>
      <c r="AB99" s="91"/>
      <c r="AC99" s="91"/>
      <c r="AD99" s="95"/>
      <c r="AE99" s="158"/>
      <c r="AF99" s="158"/>
      <c r="AJ99" s="183"/>
      <c r="AQ99" s="434"/>
    </row>
    <row r="100" spans="2:43" s="98" customFormat="1" ht="62.25" customHeight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212"/>
      <c r="L100" s="384"/>
      <c r="M100" s="340"/>
      <c r="N100" s="340"/>
      <c r="O100" s="340"/>
      <c r="P100" s="340"/>
      <c r="Q100" s="387"/>
      <c r="R100" s="387"/>
      <c r="S100" s="387"/>
      <c r="T100" s="387"/>
      <c r="U100" s="387"/>
      <c r="V100" s="387"/>
      <c r="W100" s="387"/>
      <c r="X100" s="340"/>
      <c r="Y100" s="340"/>
      <c r="Z100" s="340"/>
      <c r="AA100" s="91"/>
      <c r="AB100" s="91"/>
      <c r="AC100" s="91"/>
      <c r="AD100" s="95"/>
      <c r="AE100" s="158"/>
      <c r="AF100" s="158"/>
      <c r="AJ100" s="183"/>
      <c r="AQ100" s="434"/>
    </row>
    <row r="101" spans="2:43" s="98" customFormat="1" ht="98.25" customHeight="1" thickTop="1" thickBot="1" x14ac:dyDescent="0.95">
      <c r="B101" s="94"/>
      <c r="C101" s="94"/>
      <c r="D101" s="92"/>
      <c r="E101" s="92"/>
      <c r="F101" s="92"/>
      <c r="G101" s="92"/>
      <c r="H101" s="92"/>
      <c r="I101" s="92"/>
      <c r="J101" s="93"/>
      <c r="K101" s="212"/>
      <c r="L101" s="385" t="s">
        <v>18</v>
      </c>
      <c r="M101" s="379">
        <f t="shared" ref="M101:W101" si="77">+SUMIF($L$6:$L$90,$L$101,M6:M90)</f>
        <v>613</v>
      </c>
      <c r="N101" s="379">
        <f t="shared" si="77"/>
        <v>624</v>
      </c>
      <c r="O101" s="379">
        <f t="shared" si="77"/>
        <v>623</v>
      </c>
      <c r="P101" s="379">
        <f t="shared" si="77"/>
        <v>623</v>
      </c>
      <c r="Q101" s="379">
        <f t="shared" si="77"/>
        <v>623</v>
      </c>
      <c r="R101" s="379">
        <f t="shared" si="77"/>
        <v>623</v>
      </c>
      <c r="S101" s="379">
        <f t="shared" si="77"/>
        <v>622</v>
      </c>
      <c r="T101" s="379">
        <f t="shared" si="77"/>
        <v>622</v>
      </c>
      <c r="U101" s="379">
        <f t="shared" si="77"/>
        <v>622</v>
      </c>
      <c r="V101" s="379">
        <f t="shared" si="77"/>
        <v>0</v>
      </c>
      <c r="W101" s="379">
        <f t="shared" si="77"/>
        <v>0</v>
      </c>
      <c r="X101" s="340"/>
      <c r="Y101" s="340"/>
      <c r="Z101" s="340"/>
      <c r="AA101" s="91"/>
      <c r="AB101" s="91"/>
      <c r="AC101" s="91"/>
      <c r="AD101" s="95"/>
      <c r="AE101" s="158"/>
      <c r="AF101" s="158"/>
      <c r="AJ101" s="183"/>
      <c r="AQ101" s="434"/>
    </row>
    <row r="102" spans="2:43" s="98" customFormat="1" ht="62.25" customHeight="1" thickTop="1" x14ac:dyDescent="0.9">
      <c r="B102" s="94"/>
      <c r="C102" s="94"/>
      <c r="D102" s="92"/>
      <c r="E102" s="92"/>
      <c r="F102" s="92"/>
      <c r="G102" s="92"/>
      <c r="H102" s="92"/>
      <c r="I102" s="92"/>
      <c r="J102" s="93"/>
      <c r="K102" s="212"/>
      <c r="L102" s="384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40"/>
      <c r="Y102" s="340"/>
      <c r="Z102" s="340"/>
      <c r="AA102" s="91"/>
      <c r="AB102" s="91"/>
      <c r="AC102" s="91"/>
      <c r="AD102" s="95"/>
      <c r="AE102" s="158"/>
      <c r="AF102" s="158"/>
      <c r="AJ102" s="183"/>
      <c r="AQ102" s="434"/>
    </row>
    <row r="103" spans="2:43" s="98" customFormat="1" ht="62.25" customHeight="1" thickBot="1" x14ac:dyDescent="0.95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84"/>
      <c r="M103" s="340"/>
      <c r="N103" s="340"/>
      <c r="O103" s="340"/>
      <c r="P103" s="340"/>
      <c r="Q103" s="387"/>
      <c r="R103" s="387"/>
      <c r="S103" s="387"/>
      <c r="T103" s="387"/>
      <c r="U103" s="387"/>
      <c r="V103" s="387"/>
      <c r="W103" s="387"/>
      <c r="X103" s="340"/>
      <c r="Y103" s="340"/>
      <c r="Z103" s="340"/>
      <c r="AA103" s="91"/>
      <c r="AB103" s="91"/>
      <c r="AC103" s="91"/>
      <c r="AD103" s="95"/>
      <c r="AE103" s="158"/>
      <c r="AF103" s="158"/>
      <c r="AJ103" s="183"/>
      <c r="AQ103" s="434"/>
    </row>
    <row r="104" spans="2:43" s="98" customFormat="1" ht="94.5" customHeight="1" thickTop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385" t="s">
        <v>13</v>
      </c>
      <c r="M104" s="379">
        <f>+M101+M98+M95</f>
        <v>628</v>
      </c>
      <c r="N104" s="379">
        <f t="shared" ref="N104:W104" si="78">+N101+N98+N95</f>
        <v>639</v>
      </c>
      <c r="O104" s="379">
        <f t="shared" si="78"/>
        <v>638</v>
      </c>
      <c r="P104" s="379">
        <f t="shared" si="78"/>
        <v>638</v>
      </c>
      <c r="Q104" s="379">
        <f t="shared" si="78"/>
        <v>638</v>
      </c>
      <c r="R104" s="379">
        <f t="shared" si="78"/>
        <v>638</v>
      </c>
      <c r="S104" s="379">
        <f t="shared" si="78"/>
        <v>637</v>
      </c>
      <c r="T104" s="379">
        <f t="shared" si="78"/>
        <v>637</v>
      </c>
      <c r="U104" s="379">
        <f t="shared" si="78"/>
        <v>637</v>
      </c>
      <c r="V104" s="379">
        <f t="shared" si="78"/>
        <v>0</v>
      </c>
      <c r="W104" s="379">
        <f t="shared" si="78"/>
        <v>0</v>
      </c>
      <c r="X104" s="340"/>
      <c r="Y104" s="340"/>
      <c r="Z104" s="340"/>
      <c r="AA104" s="91"/>
      <c r="AB104" s="91"/>
      <c r="AC104" s="91"/>
      <c r="AD104" s="95"/>
      <c r="AE104" s="155"/>
      <c r="AF104" s="155"/>
      <c r="AJ104" s="183"/>
      <c r="AQ104" s="434"/>
    </row>
    <row r="105" spans="2:43" s="98" customFormat="1" ht="62.25" thickTop="1" x14ac:dyDescent="0.9">
      <c r="B105" s="94"/>
      <c r="C105" s="94"/>
      <c r="D105" s="92"/>
      <c r="E105" s="92"/>
      <c r="F105" s="92"/>
      <c r="G105" s="92"/>
      <c r="H105" s="92"/>
      <c r="I105" s="92"/>
      <c r="J105" s="93"/>
      <c r="K105" s="92"/>
      <c r="L105" s="389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91"/>
      <c r="AB105" s="91"/>
      <c r="AC105" s="91"/>
      <c r="AD105" s="95"/>
      <c r="AE105" s="158"/>
      <c r="AF105" s="158"/>
      <c r="AJ105" s="183"/>
      <c r="AQ105" s="434"/>
    </row>
    <row r="106" spans="2:43" x14ac:dyDescent="0.9">
      <c r="J106" s="91"/>
      <c r="K106" s="91"/>
      <c r="T106" s="515"/>
      <c r="U106" s="515"/>
      <c r="V106" s="515"/>
      <c r="AE106" s="158"/>
      <c r="AF106" s="158"/>
    </row>
    <row r="107" spans="2:43" ht="105" customHeight="1" x14ac:dyDescent="0.9">
      <c r="B107" s="426"/>
      <c r="AE107" s="158"/>
      <c r="AF107" s="158"/>
    </row>
    <row r="108" spans="2:43" s="98" customFormat="1" x14ac:dyDescent="0.9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5"/>
      <c r="AE108" s="158"/>
      <c r="AF108" s="158"/>
      <c r="AJ108" s="183"/>
      <c r="AQ108" s="434"/>
    </row>
    <row r="109" spans="2:43" s="98" customFormat="1" x14ac:dyDescent="0.9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5"/>
      <c r="AE109" s="158"/>
      <c r="AF109" s="158"/>
      <c r="AJ109" s="183"/>
      <c r="AQ109" s="434"/>
    </row>
    <row r="110" spans="2:43" s="98" customFormat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92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5"/>
      <c r="AE110" s="158"/>
      <c r="AF110" s="158"/>
      <c r="AJ110" s="183"/>
      <c r="AQ110" s="434"/>
    </row>
    <row r="111" spans="2:43" s="98" customFormat="1" ht="66" customHeight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92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5"/>
      <c r="AE111" s="158"/>
      <c r="AF111" s="158"/>
      <c r="AJ111" s="183"/>
      <c r="AQ111" s="434"/>
    </row>
    <row r="113" spans="2:43" s="92" customFormat="1" x14ac:dyDescent="0.7">
      <c r="B113" s="94"/>
      <c r="C113" s="94"/>
      <c r="D113" s="92">
        <v>2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5"/>
      <c r="AE113" s="155"/>
      <c r="AF113" s="155"/>
      <c r="AG113" s="98"/>
      <c r="AH113" s="98"/>
      <c r="AI113" s="98"/>
      <c r="AJ113" s="183"/>
      <c r="AK113" s="91"/>
      <c r="AL113" s="91"/>
      <c r="AQ113" s="243"/>
    </row>
    <row r="114" spans="2:43" s="92" customFormat="1" x14ac:dyDescent="0.7">
      <c r="B114" s="94"/>
      <c r="C114" s="94"/>
      <c r="H114" s="92">
        <v>1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5"/>
      <c r="AE114" s="155"/>
      <c r="AF114" s="155"/>
      <c r="AG114" s="98"/>
      <c r="AH114" s="98"/>
      <c r="AI114" s="98"/>
      <c r="AJ114" s="183"/>
      <c r="AK114" s="91"/>
      <c r="AL114" s="91"/>
      <c r="AQ114" s="243"/>
    </row>
    <row r="115" spans="2:43" s="92" customFormat="1" x14ac:dyDescent="0.7">
      <c r="B115" s="94"/>
      <c r="C115" s="94"/>
      <c r="H115" s="92">
        <v>2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5"/>
      <c r="AE115" s="155"/>
      <c r="AF115" s="155"/>
      <c r="AG115" s="98"/>
      <c r="AH115" s="98"/>
      <c r="AI115" s="98"/>
      <c r="AJ115" s="183"/>
      <c r="AK115" s="91"/>
      <c r="AL115" s="91"/>
      <c r="AQ115" s="243"/>
    </row>
    <row r="116" spans="2:43" s="92" customFormat="1" x14ac:dyDescent="0.7">
      <c r="B116" s="94"/>
      <c r="C116" s="94"/>
      <c r="H116" s="92">
        <v>3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5"/>
      <c r="AE116" s="155"/>
      <c r="AF116" s="155"/>
      <c r="AG116" s="98"/>
      <c r="AH116" s="98"/>
      <c r="AI116" s="98"/>
      <c r="AJ116" s="183"/>
      <c r="AK116" s="91"/>
      <c r="AL116" s="91"/>
      <c r="AQ116" s="243"/>
    </row>
    <row r="117" spans="2:43" s="92" customFormat="1" x14ac:dyDescent="0.7">
      <c r="B117" s="94"/>
      <c r="C117" s="94"/>
      <c r="H117" s="92">
        <v>4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5"/>
      <c r="AE117" s="155"/>
      <c r="AF117" s="155"/>
      <c r="AG117" s="98"/>
      <c r="AH117" s="98"/>
      <c r="AI117" s="98"/>
      <c r="AJ117" s="183"/>
      <c r="AK117" s="91"/>
      <c r="AL117" s="91"/>
      <c r="AQ117" s="243"/>
    </row>
    <row r="118" spans="2:43" s="92" customFormat="1" x14ac:dyDescent="0.7">
      <c r="B118" s="94"/>
      <c r="C118" s="94"/>
      <c r="H118" s="92">
        <v>5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5"/>
      <c r="AE118" s="155"/>
      <c r="AF118" s="155"/>
      <c r="AG118" s="98"/>
      <c r="AH118" s="98"/>
      <c r="AI118" s="98"/>
      <c r="AJ118" s="183"/>
      <c r="AK118" s="91"/>
      <c r="AL118" s="91"/>
      <c r="AQ118" s="243"/>
    </row>
    <row r="119" spans="2:43" s="92" customFormat="1" x14ac:dyDescent="0.7">
      <c r="B119" s="94"/>
      <c r="C119" s="94"/>
      <c r="H119" s="92">
        <v>6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5"/>
      <c r="AE119" s="155"/>
      <c r="AF119" s="155"/>
      <c r="AG119" s="98"/>
      <c r="AH119" s="98"/>
      <c r="AI119" s="98"/>
      <c r="AJ119" s="183"/>
      <c r="AK119" s="91"/>
      <c r="AL119" s="91"/>
      <c r="AQ119" s="243"/>
    </row>
    <row r="120" spans="2:43" s="92" customFormat="1" x14ac:dyDescent="0.7">
      <c r="B120" s="94"/>
      <c r="C120" s="94"/>
      <c r="H120" s="92">
        <v>7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5"/>
      <c r="AE120" s="155"/>
      <c r="AF120" s="155"/>
      <c r="AG120" s="98"/>
      <c r="AH120" s="98"/>
      <c r="AI120" s="98"/>
      <c r="AJ120" s="183"/>
      <c r="AK120" s="91"/>
      <c r="AL120" s="91"/>
      <c r="AQ120" s="243"/>
    </row>
    <row r="121" spans="2:43" s="92" customFormat="1" x14ac:dyDescent="0.7">
      <c r="B121" s="94"/>
      <c r="C121" s="94"/>
      <c r="H121" s="92">
        <v>8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5"/>
      <c r="AE121" s="155"/>
      <c r="AF121" s="155"/>
      <c r="AG121" s="98"/>
      <c r="AH121" s="98"/>
      <c r="AI121" s="98"/>
      <c r="AJ121" s="183"/>
      <c r="AK121" s="91"/>
      <c r="AL121" s="91"/>
      <c r="AQ121" s="243"/>
    </row>
    <row r="122" spans="2:43" s="92" customFormat="1" x14ac:dyDescent="0.7">
      <c r="B122" s="94"/>
      <c r="C122" s="94"/>
      <c r="H122" s="92">
        <v>11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5"/>
      <c r="AE122" s="155"/>
      <c r="AF122" s="155"/>
      <c r="AG122" s="98"/>
      <c r="AH122" s="98"/>
      <c r="AI122" s="98"/>
      <c r="AJ122" s="183"/>
      <c r="AK122" s="91"/>
      <c r="AL122" s="91"/>
      <c r="AQ122" s="243"/>
    </row>
    <row r="123" spans="2:43" s="92" customFormat="1" x14ac:dyDescent="0.7">
      <c r="B123" s="94"/>
      <c r="C123" s="94"/>
      <c r="H123" s="92">
        <v>12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5"/>
      <c r="AE123" s="155"/>
      <c r="AF123" s="155"/>
      <c r="AG123" s="98"/>
      <c r="AH123" s="98"/>
      <c r="AI123" s="98"/>
      <c r="AJ123" s="183"/>
      <c r="AK123" s="91"/>
      <c r="AL123" s="91"/>
      <c r="AQ123" s="243"/>
    </row>
    <row r="124" spans="2:43" s="92" customFormat="1" x14ac:dyDescent="0.7">
      <c r="B124" s="94"/>
      <c r="C124" s="94"/>
      <c r="H124" s="92">
        <v>13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5"/>
      <c r="AE124" s="155"/>
      <c r="AF124" s="155"/>
      <c r="AG124" s="98"/>
      <c r="AH124" s="98"/>
      <c r="AI124" s="98"/>
      <c r="AJ124" s="183"/>
      <c r="AK124" s="91"/>
      <c r="AL124" s="91"/>
      <c r="AQ124" s="243"/>
    </row>
    <row r="125" spans="2:43" s="92" customFormat="1" x14ac:dyDescent="0.7">
      <c r="B125" s="94"/>
      <c r="C125" s="94"/>
      <c r="H125" s="92">
        <v>14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5"/>
      <c r="AE125" s="155"/>
      <c r="AF125" s="155"/>
      <c r="AG125" s="98"/>
      <c r="AH125" s="98"/>
      <c r="AI125" s="98"/>
      <c r="AJ125" s="183"/>
      <c r="AK125" s="91"/>
      <c r="AL125" s="91"/>
      <c r="AQ125" s="243"/>
    </row>
    <row r="126" spans="2:43" s="92" customFormat="1" x14ac:dyDescent="0.7">
      <c r="B126" s="94"/>
      <c r="C126" s="94"/>
      <c r="H126" s="92">
        <v>15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5"/>
      <c r="AE126" s="155"/>
      <c r="AF126" s="155"/>
      <c r="AG126" s="98"/>
      <c r="AH126" s="98"/>
      <c r="AI126" s="98"/>
      <c r="AJ126" s="183"/>
      <c r="AK126" s="91"/>
      <c r="AL126" s="91"/>
      <c r="AQ126" s="243"/>
    </row>
    <row r="127" spans="2:43" s="92" customFormat="1" x14ac:dyDescent="0.7">
      <c r="B127" s="94"/>
      <c r="C127" s="94"/>
      <c r="H127" s="92">
        <v>17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5"/>
      <c r="AE127" s="155"/>
      <c r="AF127" s="155"/>
      <c r="AG127" s="98"/>
      <c r="AH127" s="98"/>
      <c r="AI127" s="98"/>
      <c r="AJ127" s="183"/>
      <c r="AK127" s="91"/>
      <c r="AL127" s="91"/>
      <c r="AQ127" s="243"/>
    </row>
    <row r="128" spans="2:43" s="92" customFormat="1" x14ac:dyDescent="0.7">
      <c r="B128" s="94"/>
      <c r="C128" s="94"/>
      <c r="H128" s="92">
        <v>18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5"/>
      <c r="AE128" s="155"/>
      <c r="AF128" s="155"/>
      <c r="AG128" s="98"/>
      <c r="AH128" s="98"/>
      <c r="AI128" s="98"/>
      <c r="AJ128" s="183"/>
      <c r="AK128" s="91"/>
      <c r="AL128" s="91"/>
      <c r="AQ128" s="243"/>
    </row>
    <row r="129" spans="2:43" s="92" customFormat="1" x14ac:dyDescent="0.7">
      <c r="B129" s="94"/>
      <c r="C129" s="94"/>
      <c r="H129" s="92">
        <v>19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5"/>
      <c r="AE129" s="155"/>
      <c r="AF129" s="155"/>
      <c r="AG129" s="98"/>
      <c r="AH129" s="98"/>
      <c r="AI129" s="98"/>
      <c r="AJ129" s="183"/>
      <c r="AK129" s="91"/>
      <c r="AL129" s="91"/>
      <c r="AQ129" s="243"/>
    </row>
    <row r="185" spans="2:43" s="92" customFormat="1" x14ac:dyDescent="0.7">
      <c r="B185" s="94"/>
      <c r="C185" s="94"/>
      <c r="G185" s="92">
        <v>1</v>
      </c>
      <c r="J185" s="93"/>
      <c r="L185" s="99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5"/>
      <c r="AE185" s="155"/>
      <c r="AF185" s="155"/>
      <c r="AG185" s="98"/>
      <c r="AH185" s="98"/>
      <c r="AI185" s="98"/>
      <c r="AJ185" s="183"/>
      <c r="AK185" s="91"/>
      <c r="AL185" s="91"/>
      <c r="AQ185" s="243"/>
    </row>
  </sheetData>
  <sheetProtection algorithmName="SHA-512" hashValue="ynsSKVbQ7f56t3pd7fO5mJ+30F00jNkUo5q9LlTnFR+3TU4slrX65tgRlHSM6XRvc63bf5/BYBB4pF7edhRYrg==" saltValue="8SzbuQkxQi+7choZ98kxlg==" spinCount="100000" sheet="1" objects="1" scenarios="1" autoFilter="0"/>
  <autoFilter ref="A5:CQ89">
    <filterColumn colId="9" showButton="0"/>
  </autoFilter>
  <mergeCells count="43">
    <mergeCell ref="Y62:Y64"/>
    <mergeCell ref="Y66:Y68"/>
    <mergeCell ref="AV39:BE39"/>
    <mergeCell ref="Y42:Y44"/>
    <mergeCell ref="AV43:BE43"/>
    <mergeCell ref="Y50:Y52"/>
    <mergeCell ref="AV51:BE51"/>
    <mergeCell ref="Y54:Y56"/>
    <mergeCell ref="AV55:BE55"/>
    <mergeCell ref="Y58:Y60"/>
    <mergeCell ref="AV7:BE7"/>
    <mergeCell ref="Y14:Y16"/>
    <mergeCell ref="AV15:BE15"/>
    <mergeCell ref="T106:V106"/>
    <mergeCell ref="Y82:Y84"/>
    <mergeCell ref="Y78:Y80"/>
    <mergeCell ref="AV71:BE71"/>
    <mergeCell ref="Y74:Y76"/>
    <mergeCell ref="AV75:BF75"/>
    <mergeCell ref="Y70:Y72"/>
    <mergeCell ref="AV35:BE35"/>
    <mergeCell ref="Y38:Y40"/>
    <mergeCell ref="Y86:Y88"/>
    <mergeCell ref="Y91:Z91"/>
    <mergeCell ref="Y93:Z93"/>
    <mergeCell ref="Y46:Y48"/>
    <mergeCell ref="AV19:BE19"/>
    <mergeCell ref="AV11:BE11"/>
    <mergeCell ref="Y10:Y12"/>
    <mergeCell ref="Y26:Y28"/>
    <mergeCell ref="Y22:Y24"/>
    <mergeCell ref="AC1:AD1"/>
    <mergeCell ref="AC2:AD3"/>
    <mergeCell ref="H3:I3"/>
    <mergeCell ref="K3:L3"/>
    <mergeCell ref="Y18:Y20"/>
    <mergeCell ref="J5:K5"/>
    <mergeCell ref="Y6:Y8"/>
    <mergeCell ref="B4:G4"/>
    <mergeCell ref="K4:L4"/>
    <mergeCell ref="AC4:AD4"/>
    <mergeCell ref="Y30:Y32"/>
    <mergeCell ref="Y34:Y36"/>
  </mergeCells>
  <conditionalFormatting sqref="AC2:AD3">
    <cfRule type="cellIs" dxfId="13561" priority="334" operator="lessThan">
      <formula>0.85</formula>
    </cfRule>
  </conditionalFormatting>
  <conditionalFormatting sqref="AL1:AL5 AL90:AL1048576">
    <cfRule type="cellIs" dxfId="13560" priority="333" operator="notEqual">
      <formula>0</formula>
    </cfRule>
  </conditionalFormatting>
  <conditionalFormatting sqref="AP90:AP92 AP6">
    <cfRule type="cellIs" dxfId="13559" priority="332" operator="lessThan">
      <formula>0</formula>
    </cfRule>
  </conditionalFormatting>
  <conditionalFormatting sqref="X90">
    <cfRule type="cellIs" dxfId="13558" priority="331" operator="lessThan">
      <formula>0</formula>
    </cfRule>
  </conditionalFormatting>
  <conditionalFormatting sqref="AL22:AL25">
    <cfRule type="cellIs" dxfId="13557" priority="329" operator="notEqual">
      <formula>0</formula>
    </cfRule>
  </conditionalFormatting>
  <conditionalFormatting sqref="G24">
    <cfRule type="cellIs" dxfId="13556" priority="328" operator="greaterThan">
      <formula>0</formula>
    </cfRule>
  </conditionalFormatting>
  <conditionalFormatting sqref="AP6 AP8:AP9">
    <cfRule type="cellIs" dxfId="13555" priority="327" operator="lessThan">
      <formula>0</formula>
    </cfRule>
  </conditionalFormatting>
  <conditionalFormatting sqref="J24">
    <cfRule type="cellIs" dxfId="13554" priority="326" operator="greaterThan">
      <formula>0</formula>
    </cfRule>
  </conditionalFormatting>
  <conditionalFormatting sqref="AL66:AL69">
    <cfRule type="cellIs" dxfId="13553" priority="324" operator="notEqual">
      <formula>0</formula>
    </cfRule>
  </conditionalFormatting>
  <conditionalFormatting sqref="G68">
    <cfRule type="cellIs" dxfId="13552" priority="323" operator="greaterThan">
      <formula>0</formula>
    </cfRule>
  </conditionalFormatting>
  <conditionalFormatting sqref="AL50:AL53">
    <cfRule type="cellIs" dxfId="13551" priority="321" operator="notEqual">
      <formula>0</formula>
    </cfRule>
  </conditionalFormatting>
  <conditionalFormatting sqref="G52">
    <cfRule type="cellIs" dxfId="13550" priority="320" operator="greaterThan">
      <formula>0</formula>
    </cfRule>
  </conditionalFormatting>
  <conditionalFormatting sqref="AL18:AL21">
    <cfRule type="cellIs" dxfId="13549" priority="318" operator="notEqual">
      <formula>0</formula>
    </cfRule>
  </conditionalFormatting>
  <conditionalFormatting sqref="G20">
    <cfRule type="cellIs" dxfId="13548" priority="317" operator="greaterThan">
      <formula>0</formula>
    </cfRule>
  </conditionalFormatting>
  <conditionalFormatting sqref="J20">
    <cfRule type="cellIs" dxfId="13547" priority="316" operator="greaterThan">
      <formula>0</formula>
    </cfRule>
  </conditionalFormatting>
  <conditionalFormatting sqref="AL6:AL9">
    <cfRule type="cellIs" dxfId="13546" priority="314" operator="notEqual">
      <formula>0</formula>
    </cfRule>
  </conditionalFormatting>
  <conditionalFormatting sqref="G8">
    <cfRule type="cellIs" dxfId="13545" priority="313" operator="greaterThan">
      <formula>0</formula>
    </cfRule>
  </conditionalFormatting>
  <conditionalFormatting sqref="AP6 AP8:AP9">
    <cfRule type="cellIs" dxfId="13544" priority="312" operator="lessThan">
      <formula>0</formula>
    </cfRule>
  </conditionalFormatting>
  <conditionalFormatting sqref="AL14:AL17">
    <cfRule type="cellIs" dxfId="13543" priority="310" operator="notEqual">
      <formula>0</formula>
    </cfRule>
  </conditionalFormatting>
  <conditionalFormatting sqref="G16">
    <cfRule type="cellIs" dxfId="13542" priority="309" operator="greaterThan">
      <formula>0</formula>
    </cfRule>
  </conditionalFormatting>
  <conditionalFormatting sqref="AL38:AL41">
    <cfRule type="cellIs" dxfId="13541" priority="307" operator="notEqual">
      <formula>0</formula>
    </cfRule>
  </conditionalFormatting>
  <conditionalFormatting sqref="G40">
    <cfRule type="cellIs" dxfId="13540" priority="306" operator="greaterThan">
      <formula>0</formula>
    </cfRule>
  </conditionalFormatting>
  <conditionalFormatting sqref="AL78:AL81">
    <cfRule type="cellIs" dxfId="13539" priority="304" operator="notEqual">
      <formula>0</formula>
    </cfRule>
  </conditionalFormatting>
  <conditionalFormatting sqref="G80">
    <cfRule type="cellIs" dxfId="13538" priority="303" operator="greaterThan">
      <formula>0</formula>
    </cfRule>
  </conditionalFormatting>
  <conditionalFormatting sqref="AL58:AL61">
    <cfRule type="cellIs" dxfId="13537" priority="301" operator="notEqual">
      <formula>0</formula>
    </cfRule>
  </conditionalFormatting>
  <conditionalFormatting sqref="G60">
    <cfRule type="cellIs" dxfId="13536" priority="300" operator="greaterThan">
      <formula>0</formula>
    </cfRule>
  </conditionalFormatting>
  <conditionalFormatting sqref="J60">
    <cfRule type="cellIs" dxfId="13535" priority="299" operator="greaterThan">
      <formula>0</formula>
    </cfRule>
  </conditionalFormatting>
  <conditionalFormatting sqref="AP6 AP8:AP9">
    <cfRule type="cellIs" dxfId="13534" priority="298" operator="lessThan">
      <formula>0</formula>
    </cfRule>
  </conditionalFormatting>
  <conditionalFormatting sqref="AP6 AP8:AP9">
    <cfRule type="cellIs" dxfId="13533" priority="297" operator="lessThan">
      <formula>0</formula>
    </cfRule>
  </conditionalFormatting>
  <conditionalFormatting sqref="J80">
    <cfRule type="cellIs" dxfId="13532" priority="296" operator="greaterThan">
      <formula>0</formula>
    </cfRule>
  </conditionalFormatting>
  <conditionalFormatting sqref="J40">
    <cfRule type="cellIs" dxfId="13531" priority="295" operator="greaterThan">
      <formula>0</formula>
    </cfRule>
  </conditionalFormatting>
  <conditionalFormatting sqref="J52">
    <cfRule type="cellIs" dxfId="13530" priority="294" operator="greaterThan">
      <formula>0</formula>
    </cfRule>
  </conditionalFormatting>
  <conditionalFormatting sqref="AL62:AL65">
    <cfRule type="cellIs" dxfId="13529" priority="292" operator="notEqual">
      <formula>0</formula>
    </cfRule>
  </conditionalFormatting>
  <conditionalFormatting sqref="G64">
    <cfRule type="cellIs" dxfId="13528" priority="291" operator="greaterThan">
      <formula>0</formula>
    </cfRule>
  </conditionalFormatting>
  <conditionalFormatting sqref="J64">
    <cfRule type="cellIs" dxfId="13527" priority="290" operator="greaterThan">
      <formula>0</formula>
    </cfRule>
  </conditionalFormatting>
  <conditionalFormatting sqref="AL70:AL73">
    <cfRule type="cellIs" dxfId="13526" priority="288" operator="notEqual">
      <formula>0</formula>
    </cfRule>
  </conditionalFormatting>
  <conditionalFormatting sqref="G72">
    <cfRule type="cellIs" dxfId="13525" priority="287" operator="greaterThan">
      <formula>0</formula>
    </cfRule>
  </conditionalFormatting>
  <conditionalFormatting sqref="AL74:AL77">
    <cfRule type="cellIs" dxfId="13524" priority="285" operator="notEqual">
      <formula>0</formula>
    </cfRule>
  </conditionalFormatting>
  <conditionalFormatting sqref="G76">
    <cfRule type="cellIs" dxfId="13523" priority="284" operator="greaterThan">
      <formula>0</formula>
    </cfRule>
  </conditionalFormatting>
  <conditionalFormatting sqref="AL86:AL89">
    <cfRule type="cellIs" dxfId="13522" priority="282" operator="notEqual">
      <formula>0</formula>
    </cfRule>
  </conditionalFormatting>
  <conditionalFormatting sqref="G88">
    <cfRule type="cellIs" dxfId="13521" priority="281" operator="greaterThan">
      <formula>0</formula>
    </cfRule>
  </conditionalFormatting>
  <conditionalFormatting sqref="J72">
    <cfRule type="cellIs" dxfId="13520" priority="280" operator="greaterThan">
      <formula>0</formula>
    </cfRule>
  </conditionalFormatting>
  <conditionalFormatting sqref="J76">
    <cfRule type="cellIs" dxfId="13519" priority="279" operator="greaterThan">
      <formula>0</formula>
    </cfRule>
  </conditionalFormatting>
  <conditionalFormatting sqref="J88">
    <cfRule type="cellIs" dxfId="13518" priority="278" operator="greaterThan">
      <formula>0</formula>
    </cfRule>
  </conditionalFormatting>
  <conditionalFormatting sqref="AL30:AL33">
    <cfRule type="cellIs" dxfId="13517" priority="276" operator="notEqual">
      <formula>0</formula>
    </cfRule>
  </conditionalFormatting>
  <conditionalFormatting sqref="G32">
    <cfRule type="cellIs" dxfId="13516" priority="275" operator="greaterThan">
      <formula>0</formula>
    </cfRule>
  </conditionalFormatting>
  <conditionalFormatting sqref="J32">
    <cfRule type="cellIs" dxfId="13515" priority="274" operator="greaterThan">
      <formula>0</formula>
    </cfRule>
  </conditionalFormatting>
  <conditionalFormatting sqref="J16">
    <cfRule type="cellIs" dxfId="13514" priority="273" operator="greaterThan">
      <formula>0</formula>
    </cfRule>
  </conditionalFormatting>
  <conditionalFormatting sqref="AL54:AL57">
    <cfRule type="cellIs" dxfId="13513" priority="271" operator="notEqual">
      <formula>0</formula>
    </cfRule>
  </conditionalFormatting>
  <conditionalFormatting sqref="G56">
    <cfRule type="cellIs" dxfId="13512" priority="270" operator="greaterThan">
      <formula>0</formula>
    </cfRule>
  </conditionalFormatting>
  <conditionalFormatting sqref="J56">
    <cfRule type="cellIs" dxfId="13511" priority="269" operator="greaterThan">
      <formula>0</formula>
    </cfRule>
  </conditionalFormatting>
  <conditionalFormatting sqref="AL42:AL45">
    <cfRule type="cellIs" dxfId="13510" priority="267" operator="notEqual">
      <formula>0</formula>
    </cfRule>
  </conditionalFormatting>
  <conditionalFormatting sqref="G44">
    <cfRule type="cellIs" dxfId="13509" priority="266" operator="greaterThan">
      <formula>0</formula>
    </cfRule>
  </conditionalFormatting>
  <conditionalFormatting sqref="AL34:AL37">
    <cfRule type="cellIs" dxfId="13508" priority="264" operator="notEqual">
      <formula>0</formula>
    </cfRule>
  </conditionalFormatting>
  <conditionalFormatting sqref="G36">
    <cfRule type="cellIs" dxfId="13507" priority="263" operator="greaterThan">
      <formula>0</formula>
    </cfRule>
  </conditionalFormatting>
  <conditionalFormatting sqref="J36">
    <cfRule type="cellIs" dxfId="13506" priority="262" operator="greaterThan">
      <formula>0</formula>
    </cfRule>
  </conditionalFormatting>
  <conditionalFormatting sqref="J44">
    <cfRule type="cellIs" dxfId="13505" priority="261" operator="greaterThan">
      <formula>0</formula>
    </cfRule>
  </conditionalFormatting>
  <conditionalFormatting sqref="J8">
    <cfRule type="cellIs" dxfId="13504" priority="260" operator="greaterThan">
      <formula>0</formula>
    </cfRule>
  </conditionalFormatting>
  <conditionalFormatting sqref="J68">
    <cfRule type="cellIs" dxfId="13503" priority="259" operator="greaterThan">
      <formula>0</formula>
    </cfRule>
  </conditionalFormatting>
  <conditionalFormatting sqref="AP8:AP9">
    <cfRule type="cellIs" dxfId="13502" priority="258" operator="lessThan">
      <formula>0</formula>
    </cfRule>
  </conditionalFormatting>
  <conditionalFormatting sqref="AP8:AP9">
    <cfRule type="cellIs" dxfId="13501" priority="257" operator="lessThan">
      <formula>0</formula>
    </cfRule>
  </conditionalFormatting>
  <conditionalFormatting sqref="AP8:AP9">
    <cfRule type="cellIs" dxfId="13500" priority="256" operator="lessThan">
      <formula>0</formula>
    </cfRule>
  </conditionalFormatting>
  <conditionalFormatting sqref="AP8:AP9">
    <cfRule type="cellIs" dxfId="13499" priority="255" operator="lessThan">
      <formula>0</formula>
    </cfRule>
  </conditionalFormatting>
  <conditionalFormatting sqref="AP7">
    <cfRule type="cellIs" dxfId="13498" priority="254" operator="lessThan">
      <formula>0</formula>
    </cfRule>
  </conditionalFormatting>
  <conditionalFormatting sqref="AP7">
    <cfRule type="cellIs" dxfId="13497" priority="253" operator="lessThan">
      <formula>0</formula>
    </cfRule>
  </conditionalFormatting>
  <conditionalFormatting sqref="AP7">
    <cfRule type="cellIs" dxfId="13496" priority="252" operator="lessThan">
      <formula>0</formula>
    </cfRule>
  </conditionalFormatting>
  <conditionalFormatting sqref="AP7">
    <cfRule type="cellIs" dxfId="13495" priority="251" operator="lessThan">
      <formula>0</formula>
    </cfRule>
  </conditionalFormatting>
  <conditionalFormatting sqref="AP7">
    <cfRule type="cellIs" dxfId="13494" priority="250" operator="lessThan">
      <formula>0</formula>
    </cfRule>
  </conditionalFormatting>
  <conditionalFormatting sqref="AP7">
    <cfRule type="cellIs" dxfId="13493" priority="249" operator="lessThan">
      <formula>0</formula>
    </cfRule>
  </conditionalFormatting>
  <conditionalFormatting sqref="AP7">
    <cfRule type="cellIs" dxfId="13492" priority="248" operator="lessThan">
      <formula>0</formula>
    </cfRule>
  </conditionalFormatting>
  <conditionalFormatting sqref="AP7">
    <cfRule type="cellIs" dxfId="13491" priority="247" operator="lessThan">
      <formula>0</formula>
    </cfRule>
  </conditionalFormatting>
  <conditionalFormatting sqref="AP7">
    <cfRule type="cellIs" dxfId="13490" priority="246" operator="lessThan">
      <formula>0</formula>
    </cfRule>
  </conditionalFormatting>
  <conditionalFormatting sqref="AP7">
    <cfRule type="cellIs" dxfId="13489" priority="245" operator="lessThan">
      <formula>0</formula>
    </cfRule>
  </conditionalFormatting>
  <conditionalFormatting sqref="AP7">
    <cfRule type="cellIs" dxfId="13488" priority="244" operator="lessThan">
      <formula>0</formula>
    </cfRule>
  </conditionalFormatting>
  <conditionalFormatting sqref="AP7">
    <cfRule type="cellIs" dxfId="13487" priority="243" operator="lessThan">
      <formula>0</formula>
    </cfRule>
  </conditionalFormatting>
  <conditionalFormatting sqref="AP7">
    <cfRule type="cellIs" dxfId="13486" priority="242" operator="lessThan">
      <formula>0</formula>
    </cfRule>
  </conditionalFormatting>
  <conditionalFormatting sqref="AP7">
    <cfRule type="cellIs" dxfId="13485" priority="241" operator="lessThan">
      <formula>0</formula>
    </cfRule>
  </conditionalFormatting>
  <conditionalFormatting sqref="AP7">
    <cfRule type="cellIs" dxfId="13484" priority="240" operator="lessThan">
      <formula>0</formula>
    </cfRule>
  </conditionalFormatting>
  <conditionalFormatting sqref="AP7">
    <cfRule type="cellIs" dxfId="13483" priority="239" operator="lessThan">
      <formula>0</formula>
    </cfRule>
  </conditionalFormatting>
  <conditionalFormatting sqref="AL46:AL49">
    <cfRule type="cellIs" dxfId="13482" priority="237" operator="notEqual">
      <formula>0</formula>
    </cfRule>
  </conditionalFormatting>
  <conditionalFormatting sqref="G48">
    <cfRule type="cellIs" dxfId="13481" priority="236" operator="greaterThan">
      <formula>0</formula>
    </cfRule>
  </conditionalFormatting>
  <conditionalFormatting sqref="J48">
    <cfRule type="cellIs" dxfId="13480" priority="235" operator="greaterThan">
      <formula>0</formula>
    </cfRule>
  </conditionalFormatting>
  <conditionalFormatting sqref="AP7">
    <cfRule type="cellIs" dxfId="13479" priority="193" operator="lessThan">
      <formula>0</formula>
    </cfRule>
  </conditionalFormatting>
  <conditionalFormatting sqref="AP14 AP18 AP22 AP30 AP34 AP38 AP42 AP46 AP50 AP54 AP58 AP62 AP66 AP70 AP74 AP78 AP86">
    <cfRule type="cellIs" dxfId="13478" priority="185" operator="lessThan">
      <formula>0</formula>
    </cfRule>
  </conditionalFormatting>
  <conditionalFormatting sqref="AP14 AP16:AP18 AP20:AP22 AP24:AP25 AP32:AP34 AP36:AP38 AP40:AP42 AP44:AP46 AP48:AP50 AP52:AP54 AP56:AP58 AP60:AP62 AP64:AP66 AP68:AP70 AP72:AP74 AP76:AP78 AP80:AP81 AP88:AP89 AP30 AP86">
    <cfRule type="cellIs" dxfId="13477" priority="184" operator="lessThan">
      <formula>0</formula>
    </cfRule>
  </conditionalFormatting>
  <conditionalFormatting sqref="AP14 AP16:AP18 AP20:AP22 AP24:AP25 AP32:AP34 AP36:AP38 AP40:AP42 AP44:AP46 AP48:AP50 AP52:AP54 AP56:AP58 AP60:AP62 AP64:AP66 AP68:AP70 AP72:AP74 AP76:AP78 AP80:AP81 AP88:AP89 AP30 AP86">
    <cfRule type="cellIs" dxfId="13476" priority="183" operator="lessThan">
      <formula>0</formula>
    </cfRule>
  </conditionalFormatting>
  <conditionalFormatting sqref="AP14 AP16:AP18 AP20:AP22 AP24:AP25 AP32:AP34 AP36:AP38 AP40:AP42 AP44:AP46 AP48:AP50 AP52:AP54 AP56:AP58 AP60:AP62 AP64:AP66 AP68:AP70 AP72:AP74 AP76:AP78 AP80:AP81 AP88:AP89 AP30 AP86">
    <cfRule type="cellIs" dxfId="13475" priority="182" operator="lessThan">
      <formula>0</formula>
    </cfRule>
  </conditionalFormatting>
  <conditionalFormatting sqref="AP14 AP16:AP18 AP20:AP22 AP24:AP25 AP32:AP34 AP36:AP38 AP40:AP42 AP44:AP46 AP48:AP50 AP52:AP54 AP56:AP58 AP60:AP62 AP64:AP66 AP68:AP70 AP72:AP74 AP76:AP78 AP80:AP81 AP88:AP89 AP30 AP86">
    <cfRule type="cellIs" dxfId="13474" priority="181" operator="lessThan">
      <formula>0</formula>
    </cfRule>
  </conditionalFormatting>
  <conditionalFormatting sqref="AP16:AP17 AP20:AP21 AP24:AP25 AP32:AP33 AP36:AP37 AP40:AP41 AP44:AP45 AP48:AP49 AP52:AP53 AP56:AP57 AP60:AP61 AP64:AP65 AP68:AP69 AP72:AP73 AP76:AP77 AP80:AP81 AP88:AP89">
    <cfRule type="cellIs" dxfId="13473" priority="180" operator="lessThan">
      <formula>0</formula>
    </cfRule>
  </conditionalFormatting>
  <conditionalFormatting sqref="AP16:AP17 AP20:AP21 AP24:AP25 AP32:AP33 AP36:AP37 AP40:AP41 AP44:AP45 AP48:AP49 AP52:AP53 AP56:AP57 AP60:AP61 AP64:AP65 AP68:AP69 AP72:AP73 AP76:AP77 AP80:AP81 AP88:AP89">
    <cfRule type="cellIs" dxfId="13472" priority="179" operator="lessThan">
      <formula>0</formula>
    </cfRule>
  </conditionalFormatting>
  <conditionalFormatting sqref="AP16:AP17 AP20:AP21 AP24:AP25 AP32:AP33 AP36:AP37 AP40:AP41 AP44:AP45 AP48:AP49 AP52:AP53 AP56:AP57 AP60:AP61 AP64:AP65 AP68:AP69 AP72:AP73 AP76:AP77 AP80:AP81 AP88:AP89">
    <cfRule type="cellIs" dxfId="13471" priority="178" operator="lessThan">
      <formula>0</formula>
    </cfRule>
  </conditionalFormatting>
  <conditionalFormatting sqref="AP16:AP17 AP20:AP21 AP24:AP25 AP32:AP33 AP36:AP37 AP40:AP41 AP44:AP45 AP48:AP49 AP52:AP53 AP56:AP57 AP60:AP61 AP64:AP65 AP68:AP69 AP72:AP73 AP76:AP77 AP80:AP81 AP88:AP89">
    <cfRule type="cellIs" dxfId="13470" priority="177" operator="lessThan">
      <formula>0</formula>
    </cfRule>
  </conditionalFormatting>
  <conditionalFormatting sqref="AP15 AP19 AP23 AP31 AP35 AP39 AP43 AP47 AP51 AP55 AP59 AP63 AP67 AP71 AP75 AP79 AP87">
    <cfRule type="cellIs" dxfId="13469" priority="176" operator="lessThan">
      <formula>0</formula>
    </cfRule>
  </conditionalFormatting>
  <conditionalFormatting sqref="AP15 AP19 AP23 AP31 AP35 AP39 AP43 AP47 AP51 AP55 AP59 AP63 AP67 AP71 AP75 AP79 AP87">
    <cfRule type="cellIs" dxfId="13468" priority="175" operator="lessThan">
      <formula>0</formula>
    </cfRule>
  </conditionalFormatting>
  <conditionalFormatting sqref="AP15 AP19 AP23 AP31 AP35 AP39 AP43 AP47 AP51 AP55 AP59 AP63 AP67 AP71 AP75 AP79 AP87">
    <cfRule type="cellIs" dxfId="13467" priority="174" operator="lessThan">
      <formula>0</formula>
    </cfRule>
  </conditionalFormatting>
  <conditionalFormatting sqref="AP7">
    <cfRule type="cellIs" dxfId="13466" priority="208" operator="lessThan">
      <formula>0</formula>
    </cfRule>
  </conditionalFormatting>
  <conditionalFormatting sqref="AP7">
    <cfRule type="cellIs" dxfId="13465" priority="207" operator="lessThan">
      <formula>0</formula>
    </cfRule>
  </conditionalFormatting>
  <conditionalFormatting sqref="AP7">
    <cfRule type="cellIs" dxfId="13464" priority="206" operator="lessThan">
      <formula>0</formula>
    </cfRule>
  </conditionalFormatting>
  <conditionalFormatting sqref="AP7">
    <cfRule type="cellIs" dxfId="13463" priority="205" operator="lessThan">
      <formula>0</formula>
    </cfRule>
  </conditionalFormatting>
  <conditionalFormatting sqref="AP7">
    <cfRule type="cellIs" dxfId="13462" priority="204" operator="lessThan">
      <formula>0</formula>
    </cfRule>
  </conditionalFormatting>
  <conditionalFormatting sqref="AP7">
    <cfRule type="cellIs" dxfId="13461" priority="203" operator="lessThan">
      <formula>0</formula>
    </cfRule>
  </conditionalFormatting>
  <conditionalFormatting sqref="AP7">
    <cfRule type="cellIs" dxfId="13460" priority="202" operator="lessThan">
      <formula>0</formula>
    </cfRule>
  </conditionalFormatting>
  <conditionalFormatting sqref="AP7">
    <cfRule type="cellIs" dxfId="13459" priority="201" operator="lessThan">
      <formula>0</formula>
    </cfRule>
  </conditionalFormatting>
  <conditionalFormatting sqref="AP7">
    <cfRule type="cellIs" dxfId="13458" priority="200" operator="lessThan">
      <formula>0</formula>
    </cfRule>
  </conditionalFormatting>
  <conditionalFormatting sqref="AP7">
    <cfRule type="cellIs" dxfId="13457" priority="199" operator="lessThan">
      <formula>0</formula>
    </cfRule>
  </conditionalFormatting>
  <conditionalFormatting sqref="AP7">
    <cfRule type="cellIs" dxfId="13456" priority="198" operator="lessThan">
      <formula>0</formula>
    </cfRule>
  </conditionalFormatting>
  <conditionalFormatting sqref="AP7">
    <cfRule type="cellIs" dxfId="13455" priority="197" operator="lessThan">
      <formula>0</formula>
    </cfRule>
  </conditionalFormatting>
  <conditionalFormatting sqref="AP7">
    <cfRule type="cellIs" dxfId="13454" priority="196" operator="lessThan">
      <formula>0</formula>
    </cfRule>
  </conditionalFormatting>
  <conditionalFormatting sqref="AP7">
    <cfRule type="cellIs" dxfId="13453" priority="195" operator="lessThan">
      <formula>0</formula>
    </cfRule>
  </conditionalFormatting>
  <conditionalFormatting sqref="AP7">
    <cfRule type="cellIs" dxfId="13452" priority="194" operator="lessThan">
      <formula>0</formula>
    </cfRule>
  </conditionalFormatting>
  <conditionalFormatting sqref="X6">
    <cfRule type="cellIs" dxfId="13451" priority="191" operator="lessThan">
      <formula>0</formula>
    </cfRule>
  </conditionalFormatting>
  <conditionalFormatting sqref="X7">
    <cfRule type="iconSet" priority="190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3450" priority="189" operator="lessThan">
      <formula>0</formula>
    </cfRule>
  </conditionalFormatting>
  <conditionalFormatting sqref="X14 X18 X22 X30 X34 X38 X42 X46 X50 X54 X58 X62 X66 X70 X74 X78 X86">
    <cfRule type="cellIs" dxfId="13449" priority="188" operator="lessThan">
      <formula>0</formula>
    </cfRule>
  </conditionalFormatting>
  <conditionalFormatting sqref="X15 X19 X23 X31 X35 X39 X43 X47 X51 X55 X59 X63 X67 X71 X75 X79 X87">
    <cfRule type="iconSet" priority="187">
      <iconSet>
        <cfvo type="percent" val="0"/>
        <cfvo type="percent" val="&quot;$I$6&quot;"/>
        <cfvo type="percent" val="#REF!"/>
      </iconSet>
    </cfRule>
  </conditionalFormatting>
  <conditionalFormatting sqref="X16 X20 X24 X32 X36 X40 X44 X48 X52 X56 X60 X64 X68 X72 X76 X80 X88">
    <cfRule type="cellIs" dxfId="13448" priority="186" operator="lessThan">
      <formula>0</formula>
    </cfRule>
  </conditionalFormatting>
  <conditionalFormatting sqref="AP15 AP19 AP23 AP31 AP35 AP39 AP43 AP47 AP51 AP55 AP59 AP63 AP67 AP71 AP75 AP79 AP87">
    <cfRule type="cellIs" dxfId="13447" priority="173" operator="lessThan">
      <formula>0</formula>
    </cfRule>
  </conditionalFormatting>
  <conditionalFormatting sqref="AP15 AP19 AP23 AP31 AP35 AP39 AP43 AP47 AP51 AP55 AP59 AP63 AP67 AP71 AP75 AP79 AP87">
    <cfRule type="cellIs" dxfId="13446" priority="172" operator="lessThan">
      <formula>0</formula>
    </cfRule>
  </conditionalFormatting>
  <conditionalFormatting sqref="AP15 AP19 AP23 AP31 AP35 AP39 AP43 AP47 AP51 AP55 AP59 AP63 AP67 AP71 AP75 AP79 AP87">
    <cfRule type="cellIs" dxfId="13445" priority="171" operator="lessThan">
      <formula>0</formula>
    </cfRule>
  </conditionalFormatting>
  <conditionalFormatting sqref="AP15 AP19 AP23 AP31 AP35 AP39 AP43 AP47 AP51 AP55 AP59 AP63 AP67 AP71 AP75 AP79 AP87">
    <cfRule type="cellIs" dxfId="13444" priority="170" operator="lessThan">
      <formula>0</formula>
    </cfRule>
  </conditionalFormatting>
  <conditionalFormatting sqref="AP15 AP19 AP23 AP31 AP35 AP39 AP43 AP47 AP51 AP55 AP59 AP63 AP67 AP71 AP75 AP79 AP87">
    <cfRule type="cellIs" dxfId="13443" priority="169" operator="lessThan">
      <formula>0</formula>
    </cfRule>
  </conditionalFormatting>
  <conditionalFormatting sqref="AP15 AP19 AP23 AP31 AP35 AP39 AP43 AP47 AP51 AP55 AP59 AP63 AP67 AP71 AP75 AP79 AP87">
    <cfRule type="cellIs" dxfId="13442" priority="168" operator="lessThan">
      <formula>0</formula>
    </cfRule>
  </conditionalFormatting>
  <conditionalFormatting sqref="AP15 AP19 AP23 AP31 AP35 AP39 AP43 AP47 AP51 AP55 AP59 AP63 AP67 AP71 AP75 AP79 AP87">
    <cfRule type="cellIs" dxfId="13441" priority="167" operator="lessThan">
      <formula>0</formula>
    </cfRule>
  </conditionalFormatting>
  <conditionalFormatting sqref="AP15 AP19 AP23 AP31 AP35 AP39 AP43 AP47 AP51 AP55 AP59 AP63 AP67 AP71 AP75 AP79 AP87">
    <cfRule type="cellIs" dxfId="13440" priority="166" operator="lessThan">
      <formula>0</formula>
    </cfRule>
  </conditionalFormatting>
  <conditionalFormatting sqref="AP15 AP19 AP23 AP31 AP35 AP39 AP43 AP47 AP51 AP55 AP59 AP63 AP67 AP71 AP75 AP79 AP87">
    <cfRule type="cellIs" dxfId="13439" priority="165" operator="lessThan">
      <formula>0</formula>
    </cfRule>
  </conditionalFormatting>
  <conditionalFormatting sqref="AP15 AP19 AP23 AP31 AP35 AP39 AP43 AP47 AP51 AP55 AP59 AP63 AP67 AP71 AP75 AP79 AP87">
    <cfRule type="cellIs" dxfId="13438" priority="164" operator="lessThan">
      <formula>0</formula>
    </cfRule>
  </conditionalFormatting>
  <conditionalFormatting sqref="AP15 AP19 AP23 AP31 AP35 AP39 AP43 AP47 AP51 AP55 AP59 AP63 AP67 AP71 AP75 AP79 AP87">
    <cfRule type="cellIs" dxfId="13437" priority="163" operator="lessThan">
      <formula>0</formula>
    </cfRule>
  </conditionalFormatting>
  <conditionalFormatting sqref="AP15 AP19 AP23 AP31 AP35 AP39 AP43 AP47 AP51 AP55 AP59 AP63 AP67 AP71 AP75 AP79 AP87">
    <cfRule type="cellIs" dxfId="13436" priority="162" operator="lessThan">
      <formula>0</formula>
    </cfRule>
  </conditionalFormatting>
  <conditionalFormatting sqref="AP15 AP19 AP23 AP31 AP35 AP39 AP43 AP47 AP51 AP55 AP59 AP63 AP67 AP71 AP75 AP79 AP87">
    <cfRule type="cellIs" dxfId="13435" priority="161" operator="lessThan">
      <formula>0</formula>
    </cfRule>
  </conditionalFormatting>
  <conditionalFormatting sqref="AP15 AP19 AP23 AP31 AP35 AP39 AP43 AP47 AP51 AP55 AP59 AP63 AP67 AP71 AP75 AP79 AP87">
    <cfRule type="cellIs" dxfId="13434" priority="160" operator="lessThan">
      <formula>0</formula>
    </cfRule>
  </conditionalFormatting>
  <conditionalFormatting sqref="AP15 AP19 AP23 AP31 AP35 AP39 AP43 AP47 AP51 AP55 AP59 AP63 AP67 AP71 AP75 AP79 AP87">
    <cfRule type="cellIs" dxfId="13433" priority="159" operator="lessThan">
      <formula>0</formula>
    </cfRule>
  </conditionalFormatting>
  <conditionalFormatting sqref="AP15 AP19 AP23 AP31 AP35 AP39 AP43 AP47 AP51 AP55 AP59 AP63 AP67 AP71 AP75 AP79 AP87">
    <cfRule type="cellIs" dxfId="13432" priority="158" operator="lessThan">
      <formula>0</formula>
    </cfRule>
  </conditionalFormatting>
  <conditionalFormatting sqref="AP15 AP19 AP23 AP31 AP35 AP39 AP43 AP47 AP51 AP55 AP59 AP63 AP67 AP71 AP75 AP79 AP87">
    <cfRule type="cellIs" dxfId="13431" priority="157" operator="lessThan">
      <formula>0</formula>
    </cfRule>
  </conditionalFormatting>
  <conditionalFormatting sqref="AP15 AP19 AP23 AP31 AP35 AP39 AP43 AP47 AP51 AP55 AP59 AP63 AP67 AP71 AP75 AP79 AP87">
    <cfRule type="cellIs" dxfId="13430" priority="156" operator="lessThan">
      <formula>0</formula>
    </cfRule>
  </conditionalFormatting>
  <conditionalFormatting sqref="AP15 AP19 AP23 AP31 AP35 AP39 AP43 AP47 AP51 AP55 AP59 AP63 AP67 AP71 AP75 AP79 AP87">
    <cfRule type="cellIs" dxfId="13429" priority="155" operator="lessThan">
      <formula>0</formula>
    </cfRule>
  </conditionalFormatting>
  <conditionalFormatting sqref="AP15 AP19 AP23 AP31 AP35 AP39 AP43 AP47 AP51 AP55 AP59 AP63 AP67 AP71 AP75 AP79 AP87">
    <cfRule type="cellIs" dxfId="13428" priority="154" operator="lessThan">
      <formula>0</formula>
    </cfRule>
  </conditionalFormatting>
  <conditionalFormatting sqref="AP15 AP19 AP23 AP31 AP35 AP39 AP43 AP47 AP51 AP55 AP59 AP63 AP67 AP71 AP75 AP79 AP87">
    <cfRule type="cellIs" dxfId="13427" priority="153" operator="lessThan">
      <formula>0</formula>
    </cfRule>
  </conditionalFormatting>
  <conditionalFormatting sqref="AP15 AP19 AP23 AP31 AP35 AP39 AP43 AP47 AP51 AP55 AP59 AP63 AP67 AP71 AP75 AP79 AP87">
    <cfRule type="cellIs" dxfId="13426" priority="152" operator="lessThan">
      <formula>0</formula>
    </cfRule>
  </conditionalFormatting>
  <conditionalFormatting sqref="AP15 AP19 AP23 AP31 AP35 AP39 AP43 AP47 AP51 AP55 AP59 AP63 AP67 AP71 AP75 AP79 AP87">
    <cfRule type="cellIs" dxfId="13425" priority="151" operator="lessThan">
      <formula>0</formula>
    </cfRule>
  </conditionalFormatting>
  <conditionalFormatting sqref="AP15 AP19 AP23 AP31 AP35 AP39 AP43 AP47 AP51 AP55 AP59 AP63 AP67 AP71 AP75 AP79 AP87">
    <cfRule type="cellIs" dxfId="13424" priority="150" operator="lessThan">
      <formula>0</formula>
    </cfRule>
  </conditionalFormatting>
  <conditionalFormatting sqref="AP15 AP19 AP23 AP31 AP35 AP39 AP43 AP47 AP51 AP55 AP59 AP63 AP67 AP71 AP75 AP79 AP87">
    <cfRule type="cellIs" dxfId="13423" priority="149" operator="lessThan">
      <formula>0</formula>
    </cfRule>
  </conditionalFormatting>
  <conditionalFormatting sqref="AP15 AP19 AP23 AP31 AP35 AP39 AP43 AP47 AP51 AP55 AP59 AP63 AP67 AP71 AP75 AP79 AP87">
    <cfRule type="cellIs" dxfId="13422" priority="148" operator="lessThan">
      <formula>0</formula>
    </cfRule>
  </conditionalFormatting>
  <conditionalFormatting sqref="AP15 AP19 AP23 AP31 AP35 AP39 AP43 AP47 AP51 AP55 AP59 AP63 AP67 AP71 AP75 AP79 AP87">
    <cfRule type="cellIs" dxfId="13421" priority="147" operator="lessThan">
      <formula>0</formula>
    </cfRule>
  </conditionalFormatting>
  <conditionalFormatting sqref="AP15 AP19 AP23 AP31 AP35 AP39 AP43 AP47 AP51 AP55 AP59 AP63 AP67 AP71 AP75 AP79 AP87">
    <cfRule type="cellIs" dxfId="13420" priority="146" operator="lessThan">
      <formula>0</formula>
    </cfRule>
  </conditionalFormatting>
  <conditionalFormatting sqref="AP15 AP19 AP23 AP31 AP35 AP39 AP43 AP47 AP51 AP55 AP59 AP63 AP67 AP71 AP75 AP79 AP87">
    <cfRule type="cellIs" dxfId="13419" priority="145" operator="lessThan">
      <formula>0</formula>
    </cfRule>
  </conditionalFormatting>
  <conditionalFormatting sqref="AP10">
    <cfRule type="cellIs" dxfId="13418" priority="144" operator="lessThan">
      <formula>0</formula>
    </cfRule>
  </conditionalFormatting>
  <conditionalFormatting sqref="AP10 AP12:AP13">
    <cfRule type="cellIs" dxfId="13417" priority="143" operator="lessThan">
      <formula>0</formula>
    </cfRule>
  </conditionalFormatting>
  <conditionalFormatting sqref="AL10:AL13">
    <cfRule type="cellIs" dxfId="13416" priority="142" operator="notEqual">
      <formula>0</formula>
    </cfRule>
  </conditionalFormatting>
  <conditionalFormatting sqref="G12">
    <cfRule type="cellIs" dxfId="13415" priority="141" operator="greaterThan">
      <formula>0</formula>
    </cfRule>
  </conditionalFormatting>
  <conditionalFormatting sqref="AP10 AP12:AP13">
    <cfRule type="cellIs" dxfId="13414" priority="140" operator="lessThan">
      <formula>0</formula>
    </cfRule>
  </conditionalFormatting>
  <conditionalFormatting sqref="AP10 AP12:AP13">
    <cfRule type="cellIs" dxfId="13413" priority="139" operator="lessThan">
      <formula>0</formula>
    </cfRule>
  </conditionalFormatting>
  <conditionalFormatting sqref="AP10 AP12:AP13">
    <cfRule type="cellIs" dxfId="13412" priority="138" operator="lessThan">
      <formula>0</formula>
    </cfRule>
  </conditionalFormatting>
  <conditionalFormatting sqref="J12">
    <cfRule type="cellIs" dxfId="13411" priority="137" operator="greaterThan">
      <formula>0</formula>
    </cfRule>
  </conditionalFormatting>
  <conditionalFormatting sqref="AP12:AP13">
    <cfRule type="cellIs" dxfId="13410" priority="136" operator="lessThan">
      <formula>0</formula>
    </cfRule>
  </conditionalFormatting>
  <conditionalFormatting sqref="AP12:AP13">
    <cfRule type="cellIs" dxfId="13409" priority="135" operator="lessThan">
      <formula>0</formula>
    </cfRule>
  </conditionalFormatting>
  <conditionalFormatting sqref="AP12:AP13">
    <cfRule type="cellIs" dxfId="13408" priority="134" operator="lessThan">
      <formula>0</formula>
    </cfRule>
  </conditionalFormatting>
  <conditionalFormatting sqref="AP12:AP13">
    <cfRule type="cellIs" dxfId="13407" priority="133" operator="lessThan">
      <formula>0</formula>
    </cfRule>
  </conditionalFormatting>
  <conditionalFormatting sqref="AP11">
    <cfRule type="cellIs" dxfId="13406" priority="132" operator="lessThan">
      <formula>0</formula>
    </cfRule>
  </conditionalFormatting>
  <conditionalFormatting sqref="AP11">
    <cfRule type="cellIs" dxfId="13405" priority="131" operator="lessThan">
      <formula>0</formula>
    </cfRule>
  </conditionalFormatting>
  <conditionalFormatting sqref="AP11">
    <cfRule type="cellIs" dxfId="13404" priority="130" operator="lessThan">
      <formula>0</formula>
    </cfRule>
  </conditionalFormatting>
  <conditionalFormatting sqref="AP11">
    <cfRule type="cellIs" dxfId="13403" priority="129" operator="lessThan">
      <formula>0</formula>
    </cfRule>
  </conditionalFormatting>
  <conditionalFormatting sqref="AP11">
    <cfRule type="cellIs" dxfId="13402" priority="128" operator="lessThan">
      <formula>0</formula>
    </cfRule>
  </conditionalFormatting>
  <conditionalFormatting sqref="AP11">
    <cfRule type="cellIs" dxfId="13401" priority="127" operator="lessThan">
      <formula>0</formula>
    </cfRule>
  </conditionalFormatting>
  <conditionalFormatting sqref="AP11">
    <cfRule type="cellIs" dxfId="13400" priority="126" operator="lessThan">
      <formula>0</formula>
    </cfRule>
  </conditionalFormatting>
  <conditionalFormatting sqref="AP11">
    <cfRule type="cellIs" dxfId="13399" priority="125" operator="lessThan">
      <formula>0</formula>
    </cfRule>
  </conditionalFormatting>
  <conditionalFormatting sqref="AP11">
    <cfRule type="cellIs" dxfId="13398" priority="124" operator="lessThan">
      <formula>0</formula>
    </cfRule>
  </conditionalFormatting>
  <conditionalFormatting sqref="AP11">
    <cfRule type="cellIs" dxfId="13397" priority="123" operator="lessThan">
      <formula>0</formula>
    </cfRule>
  </conditionalFormatting>
  <conditionalFormatting sqref="AP11">
    <cfRule type="cellIs" dxfId="13396" priority="122" operator="lessThan">
      <formula>0</formula>
    </cfRule>
  </conditionalFormatting>
  <conditionalFormatting sqref="AP11">
    <cfRule type="cellIs" dxfId="13395" priority="121" operator="lessThan">
      <formula>0</formula>
    </cfRule>
  </conditionalFormatting>
  <conditionalFormatting sqref="AP11">
    <cfRule type="cellIs" dxfId="13394" priority="120" operator="lessThan">
      <formula>0</formula>
    </cfRule>
  </conditionalFormatting>
  <conditionalFormatting sqref="AP11">
    <cfRule type="cellIs" dxfId="13393" priority="119" operator="lessThan">
      <formula>0</formula>
    </cfRule>
  </conditionalFormatting>
  <conditionalFormatting sqref="AP11">
    <cfRule type="cellIs" dxfId="13392" priority="118" operator="lessThan">
      <formula>0</formula>
    </cfRule>
  </conditionalFormatting>
  <conditionalFormatting sqref="AP11">
    <cfRule type="cellIs" dxfId="13391" priority="117" operator="lessThan">
      <formula>0</formula>
    </cfRule>
  </conditionalFormatting>
  <conditionalFormatting sqref="AP11">
    <cfRule type="cellIs" dxfId="13390" priority="101" operator="lessThan">
      <formula>0</formula>
    </cfRule>
  </conditionalFormatting>
  <conditionalFormatting sqref="AP11">
    <cfRule type="cellIs" dxfId="13389" priority="116" operator="lessThan">
      <formula>0</formula>
    </cfRule>
  </conditionalFormatting>
  <conditionalFormatting sqref="AP11">
    <cfRule type="cellIs" dxfId="13388" priority="115" operator="lessThan">
      <formula>0</formula>
    </cfRule>
  </conditionalFormatting>
  <conditionalFormatting sqref="AP11">
    <cfRule type="cellIs" dxfId="13387" priority="114" operator="lessThan">
      <formula>0</formula>
    </cfRule>
  </conditionalFormatting>
  <conditionalFormatting sqref="AP11">
    <cfRule type="cellIs" dxfId="13386" priority="113" operator="lessThan">
      <formula>0</formula>
    </cfRule>
  </conditionalFormatting>
  <conditionalFormatting sqref="AP11">
    <cfRule type="cellIs" dxfId="13385" priority="112" operator="lessThan">
      <formula>0</formula>
    </cfRule>
  </conditionalFormatting>
  <conditionalFormatting sqref="AP11">
    <cfRule type="cellIs" dxfId="13384" priority="111" operator="lessThan">
      <formula>0</formula>
    </cfRule>
  </conditionalFormatting>
  <conditionalFormatting sqref="AP11">
    <cfRule type="cellIs" dxfId="13383" priority="110" operator="lessThan">
      <formula>0</formula>
    </cfRule>
  </conditionalFormatting>
  <conditionalFormatting sqref="AP11">
    <cfRule type="cellIs" dxfId="13382" priority="109" operator="lessThan">
      <formula>0</formula>
    </cfRule>
  </conditionalFormatting>
  <conditionalFormatting sqref="AP11">
    <cfRule type="cellIs" dxfId="13381" priority="108" operator="lessThan">
      <formula>0</formula>
    </cfRule>
  </conditionalFormatting>
  <conditionalFormatting sqref="AP11">
    <cfRule type="cellIs" dxfId="13380" priority="107" operator="lessThan">
      <formula>0</formula>
    </cfRule>
  </conditionalFormatting>
  <conditionalFormatting sqref="AP11">
    <cfRule type="cellIs" dxfId="13379" priority="106" operator="lessThan">
      <formula>0</formula>
    </cfRule>
  </conditionalFormatting>
  <conditionalFormatting sqref="AP11">
    <cfRule type="cellIs" dxfId="13378" priority="105" operator="lessThan">
      <formula>0</formula>
    </cfRule>
  </conditionalFormatting>
  <conditionalFormatting sqref="AP11">
    <cfRule type="cellIs" dxfId="13377" priority="104" operator="lessThan">
      <formula>0</formula>
    </cfRule>
  </conditionalFormatting>
  <conditionalFormatting sqref="AP11">
    <cfRule type="cellIs" dxfId="13376" priority="103" operator="lessThan">
      <formula>0</formula>
    </cfRule>
  </conditionalFormatting>
  <conditionalFormatting sqref="AP11">
    <cfRule type="cellIs" dxfId="13375" priority="102" operator="lessThan">
      <formula>0</formula>
    </cfRule>
  </conditionalFormatting>
  <conditionalFormatting sqref="X10">
    <cfRule type="cellIs" dxfId="13374" priority="99" operator="lessThan">
      <formula>0</formula>
    </cfRule>
  </conditionalFormatting>
  <conditionalFormatting sqref="X11">
    <cfRule type="iconSet" priority="98">
      <iconSet>
        <cfvo type="percent" val="0"/>
        <cfvo type="percent" val="&quot;$I$6&quot;"/>
        <cfvo type="percent" val="#REF!"/>
      </iconSet>
    </cfRule>
  </conditionalFormatting>
  <conditionalFormatting sqref="X12">
    <cfRule type="cellIs" dxfId="13373" priority="97" operator="lessThan">
      <formula>0</formula>
    </cfRule>
  </conditionalFormatting>
  <conditionalFormatting sqref="AL26:AL29">
    <cfRule type="cellIs" dxfId="13372" priority="95" operator="notEqual">
      <formula>0</formula>
    </cfRule>
  </conditionalFormatting>
  <conditionalFormatting sqref="G28">
    <cfRule type="cellIs" dxfId="13371" priority="94" operator="greaterThan">
      <formula>0</formula>
    </cfRule>
  </conditionalFormatting>
  <conditionalFormatting sqref="J28">
    <cfRule type="cellIs" dxfId="13370" priority="93" operator="greaterThan">
      <formula>0</formula>
    </cfRule>
  </conditionalFormatting>
  <conditionalFormatting sqref="AP26">
    <cfRule type="cellIs" dxfId="13369" priority="89" operator="lessThan">
      <formula>0</formula>
    </cfRule>
  </conditionalFormatting>
  <conditionalFormatting sqref="AP26 AP28:AP29">
    <cfRule type="cellIs" dxfId="13368" priority="88" operator="lessThan">
      <formula>0</formula>
    </cfRule>
  </conditionalFormatting>
  <conditionalFormatting sqref="AP26 AP28:AP29">
    <cfRule type="cellIs" dxfId="13367" priority="87" operator="lessThan">
      <formula>0</formula>
    </cfRule>
  </conditionalFormatting>
  <conditionalFormatting sqref="AP26 AP28:AP29">
    <cfRule type="cellIs" dxfId="13366" priority="86" operator="lessThan">
      <formula>0</formula>
    </cfRule>
  </conditionalFormatting>
  <conditionalFormatting sqref="AP26 AP28:AP29">
    <cfRule type="cellIs" dxfId="13365" priority="85" operator="lessThan">
      <formula>0</formula>
    </cfRule>
  </conditionalFormatting>
  <conditionalFormatting sqref="AP28:AP29">
    <cfRule type="cellIs" dxfId="13364" priority="84" operator="lessThan">
      <formula>0</formula>
    </cfRule>
  </conditionalFormatting>
  <conditionalFormatting sqref="AP28:AP29">
    <cfRule type="cellIs" dxfId="13363" priority="83" operator="lessThan">
      <formula>0</formula>
    </cfRule>
  </conditionalFormatting>
  <conditionalFormatting sqref="AP28:AP29">
    <cfRule type="cellIs" dxfId="13362" priority="82" operator="lessThan">
      <formula>0</formula>
    </cfRule>
  </conditionalFormatting>
  <conditionalFormatting sqref="AP28:AP29">
    <cfRule type="cellIs" dxfId="13361" priority="81" operator="lessThan">
      <formula>0</formula>
    </cfRule>
  </conditionalFormatting>
  <conditionalFormatting sqref="AP27">
    <cfRule type="cellIs" dxfId="13360" priority="80" operator="lessThan">
      <formula>0</formula>
    </cfRule>
  </conditionalFormatting>
  <conditionalFormatting sqref="AP27">
    <cfRule type="cellIs" dxfId="13359" priority="79" operator="lessThan">
      <formula>0</formula>
    </cfRule>
  </conditionalFormatting>
  <conditionalFormatting sqref="AP27">
    <cfRule type="cellIs" dxfId="13358" priority="78" operator="lessThan">
      <formula>0</formula>
    </cfRule>
  </conditionalFormatting>
  <conditionalFormatting sqref="X26">
    <cfRule type="cellIs" dxfId="13357" priority="92" operator="lessThan">
      <formula>0</formula>
    </cfRule>
  </conditionalFormatting>
  <conditionalFormatting sqref="X27">
    <cfRule type="iconSet" priority="91">
      <iconSet>
        <cfvo type="percent" val="0"/>
        <cfvo type="percent" val="&quot;$I$6&quot;"/>
        <cfvo type="percent" val="#REF!"/>
      </iconSet>
    </cfRule>
  </conditionalFormatting>
  <conditionalFormatting sqref="X28">
    <cfRule type="cellIs" dxfId="13356" priority="90" operator="lessThan">
      <formula>0</formula>
    </cfRule>
  </conditionalFormatting>
  <conditionalFormatting sqref="AP27">
    <cfRule type="cellIs" dxfId="13355" priority="77" operator="lessThan">
      <formula>0</formula>
    </cfRule>
  </conditionalFormatting>
  <conditionalFormatting sqref="AP27">
    <cfRule type="cellIs" dxfId="13354" priority="76" operator="lessThan">
      <formula>0</formula>
    </cfRule>
  </conditionalFormatting>
  <conditionalFormatting sqref="AP27">
    <cfRule type="cellIs" dxfId="13353" priority="75" operator="lessThan">
      <formula>0</formula>
    </cfRule>
  </conditionalFormatting>
  <conditionalFormatting sqref="AP27">
    <cfRule type="cellIs" dxfId="13352" priority="74" operator="lessThan">
      <formula>0</formula>
    </cfRule>
  </conditionalFormatting>
  <conditionalFormatting sqref="AP27">
    <cfRule type="cellIs" dxfId="13351" priority="73" operator="lessThan">
      <formula>0</formula>
    </cfRule>
  </conditionalFormatting>
  <conditionalFormatting sqref="AP27">
    <cfRule type="cellIs" dxfId="13350" priority="72" operator="lessThan">
      <formula>0</formula>
    </cfRule>
  </conditionalFormatting>
  <conditionalFormatting sqref="AP27">
    <cfRule type="cellIs" dxfId="13349" priority="71" operator="lessThan">
      <formula>0</formula>
    </cfRule>
  </conditionalFormatting>
  <conditionalFormatting sqref="AP27">
    <cfRule type="cellIs" dxfId="13348" priority="70" operator="lessThan">
      <formula>0</formula>
    </cfRule>
  </conditionalFormatting>
  <conditionalFormatting sqref="AP27">
    <cfRule type="cellIs" dxfId="13347" priority="69" operator="lessThan">
      <formula>0</formula>
    </cfRule>
  </conditionalFormatting>
  <conditionalFormatting sqref="AP27">
    <cfRule type="cellIs" dxfId="13346" priority="68" operator="lessThan">
      <formula>0</formula>
    </cfRule>
  </conditionalFormatting>
  <conditionalFormatting sqref="AP27">
    <cfRule type="cellIs" dxfId="13345" priority="67" operator="lessThan">
      <formula>0</formula>
    </cfRule>
  </conditionalFormatting>
  <conditionalFormatting sqref="AP27">
    <cfRule type="cellIs" dxfId="13344" priority="66" operator="lessThan">
      <formula>0</formula>
    </cfRule>
  </conditionalFormatting>
  <conditionalFormatting sqref="AP27">
    <cfRule type="cellIs" dxfId="13343" priority="65" operator="lessThan">
      <formula>0</formula>
    </cfRule>
  </conditionalFormatting>
  <conditionalFormatting sqref="AP27">
    <cfRule type="cellIs" dxfId="13342" priority="64" operator="lessThan">
      <formula>0</formula>
    </cfRule>
  </conditionalFormatting>
  <conditionalFormatting sqref="AP27">
    <cfRule type="cellIs" dxfId="13341" priority="63" operator="lessThan">
      <formula>0</formula>
    </cfRule>
  </conditionalFormatting>
  <conditionalFormatting sqref="AP27">
    <cfRule type="cellIs" dxfId="13340" priority="62" operator="lessThan">
      <formula>0</formula>
    </cfRule>
  </conditionalFormatting>
  <conditionalFormatting sqref="AP27">
    <cfRule type="cellIs" dxfId="13339" priority="61" operator="lessThan">
      <formula>0</formula>
    </cfRule>
  </conditionalFormatting>
  <conditionalFormatting sqref="AP27">
    <cfRule type="cellIs" dxfId="13338" priority="60" operator="lessThan">
      <formula>0</formula>
    </cfRule>
  </conditionalFormatting>
  <conditionalFormatting sqref="AP27">
    <cfRule type="cellIs" dxfId="13337" priority="59" operator="lessThan">
      <formula>0</formula>
    </cfRule>
  </conditionalFormatting>
  <conditionalFormatting sqref="AP27">
    <cfRule type="cellIs" dxfId="13336" priority="58" operator="lessThan">
      <formula>0</formula>
    </cfRule>
  </conditionalFormatting>
  <conditionalFormatting sqref="AP27">
    <cfRule type="cellIs" dxfId="13335" priority="57" operator="lessThan">
      <formula>0</formula>
    </cfRule>
  </conditionalFormatting>
  <conditionalFormatting sqref="AP27">
    <cfRule type="cellIs" dxfId="13334" priority="56" operator="lessThan">
      <formula>0</formula>
    </cfRule>
  </conditionalFormatting>
  <conditionalFormatting sqref="AP27">
    <cfRule type="cellIs" dxfId="13333" priority="55" operator="lessThan">
      <formula>0</formula>
    </cfRule>
  </conditionalFormatting>
  <conditionalFormatting sqref="AP27">
    <cfRule type="cellIs" dxfId="13332" priority="54" operator="lessThan">
      <formula>0</formula>
    </cfRule>
  </conditionalFormatting>
  <conditionalFormatting sqref="AP27">
    <cfRule type="cellIs" dxfId="13331" priority="53" operator="lessThan">
      <formula>0</formula>
    </cfRule>
  </conditionalFormatting>
  <conditionalFormatting sqref="AP27">
    <cfRule type="cellIs" dxfId="13330" priority="52" operator="lessThan">
      <formula>0</formula>
    </cfRule>
  </conditionalFormatting>
  <conditionalFormatting sqref="AP27">
    <cfRule type="cellIs" dxfId="13329" priority="51" operator="lessThan">
      <formula>0</formula>
    </cfRule>
  </conditionalFormatting>
  <conditionalFormatting sqref="AP27">
    <cfRule type="cellIs" dxfId="13328" priority="50" operator="lessThan">
      <formula>0</formula>
    </cfRule>
  </conditionalFormatting>
  <conditionalFormatting sqref="AP27">
    <cfRule type="cellIs" dxfId="13327" priority="49" operator="lessThan">
      <formula>0</formula>
    </cfRule>
  </conditionalFormatting>
  <conditionalFormatting sqref="AL82:AL85">
    <cfRule type="cellIs" dxfId="13326" priority="47" operator="notEqual">
      <formula>0</formula>
    </cfRule>
  </conditionalFormatting>
  <conditionalFormatting sqref="G84">
    <cfRule type="cellIs" dxfId="13325" priority="46" operator="greaterThan">
      <formula>0</formula>
    </cfRule>
  </conditionalFormatting>
  <conditionalFormatting sqref="J84">
    <cfRule type="cellIs" dxfId="13324" priority="45" operator="greaterThan">
      <formula>0</formula>
    </cfRule>
  </conditionalFormatting>
  <conditionalFormatting sqref="AP82">
    <cfRule type="cellIs" dxfId="13323" priority="41" operator="lessThan">
      <formula>0</formula>
    </cfRule>
  </conditionalFormatting>
  <conditionalFormatting sqref="AP82 AP84:AP85">
    <cfRule type="cellIs" dxfId="13322" priority="40" operator="lessThan">
      <formula>0</formula>
    </cfRule>
  </conditionalFormatting>
  <conditionalFormatting sqref="AP82 AP84:AP85">
    <cfRule type="cellIs" dxfId="13321" priority="39" operator="lessThan">
      <formula>0</formula>
    </cfRule>
  </conditionalFormatting>
  <conditionalFormatting sqref="AP82 AP84:AP85">
    <cfRule type="cellIs" dxfId="13320" priority="38" operator="lessThan">
      <formula>0</formula>
    </cfRule>
  </conditionalFormatting>
  <conditionalFormatting sqref="AP82 AP84:AP85">
    <cfRule type="cellIs" dxfId="13319" priority="37" operator="lessThan">
      <formula>0</formula>
    </cfRule>
  </conditionalFormatting>
  <conditionalFormatting sqref="AP84:AP85">
    <cfRule type="cellIs" dxfId="13318" priority="36" operator="lessThan">
      <formula>0</formula>
    </cfRule>
  </conditionalFormatting>
  <conditionalFormatting sqref="AP84:AP85">
    <cfRule type="cellIs" dxfId="13317" priority="35" operator="lessThan">
      <formula>0</formula>
    </cfRule>
  </conditionalFormatting>
  <conditionalFormatting sqref="AP84:AP85">
    <cfRule type="cellIs" dxfId="13316" priority="34" operator="lessThan">
      <formula>0</formula>
    </cfRule>
  </conditionalFormatting>
  <conditionalFormatting sqref="AP84:AP85">
    <cfRule type="cellIs" dxfId="13315" priority="33" operator="lessThan">
      <formula>0</formula>
    </cfRule>
  </conditionalFormatting>
  <conditionalFormatting sqref="AP83">
    <cfRule type="cellIs" dxfId="13314" priority="32" operator="lessThan">
      <formula>0</formula>
    </cfRule>
  </conditionalFormatting>
  <conditionalFormatting sqref="AP83">
    <cfRule type="cellIs" dxfId="13313" priority="31" operator="lessThan">
      <formula>0</formula>
    </cfRule>
  </conditionalFormatting>
  <conditionalFormatting sqref="AP83">
    <cfRule type="cellIs" dxfId="13312" priority="30" operator="lessThan">
      <formula>0</formula>
    </cfRule>
  </conditionalFormatting>
  <conditionalFormatting sqref="X82">
    <cfRule type="cellIs" dxfId="13311" priority="44" operator="lessThan">
      <formula>0</formula>
    </cfRule>
  </conditionalFormatting>
  <conditionalFormatting sqref="X83">
    <cfRule type="iconSet" priority="43">
      <iconSet>
        <cfvo type="percent" val="0"/>
        <cfvo type="percent" val="&quot;$I$6&quot;"/>
        <cfvo type="percent" val="#REF!"/>
      </iconSet>
    </cfRule>
  </conditionalFormatting>
  <conditionalFormatting sqref="X84">
    <cfRule type="cellIs" dxfId="13310" priority="42" operator="lessThan">
      <formula>0</formula>
    </cfRule>
  </conditionalFormatting>
  <conditionalFormatting sqref="AP83">
    <cfRule type="cellIs" dxfId="13309" priority="29" operator="lessThan">
      <formula>0</formula>
    </cfRule>
  </conditionalFormatting>
  <conditionalFormatting sqref="AP83">
    <cfRule type="cellIs" dxfId="13308" priority="28" operator="lessThan">
      <formula>0</formula>
    </cfRule>
  </conditionalFormatting>
  <conditionalFormatting sqref="AP83">
    <cfRule type="cellIs" dxfId="13307" priority="27" operator="lessThan">
      <formula>0</formula>
    </cfRule>
  </conditionalFormatting>
  <conditionalFormatting sqref="AP83">
    <cfRule type="cellIs" dxfId="13306" priority="26" operator="lessThan">
      <formula>0</formula>
    </cfRule>
  </conditionalFormatting>
  <conditionalFormatting sqref="AP83">
    <cfRule type="cellIs" dxfId="13305" priority="25" operator="lessThan">
      <formula>0</formula>
    </cfRule>
  </conditionalFormatting>
  <conditionalFormatting sqref="AP83">
    <cfRule type="cellIs" dxfId="13304" priority="24" operator="lessThan">
      <formula>0</formula>
    </cfRule>
  </conditionalFormatting>
  <conditionalFormatting sqref="AP83">
    <cfRule type="cellIs" dxfId="13303" priority="23" operator="lessThan">
      <formula>0</formula>
    </cfRule>
  </conditionalFormatting>
  <conditionalFormatting sqref="AP83">
    <cfRule type="cellIs" dxfId="13302" priority="22" operator="lessThan">
      <formula>0</formula>
    </cfRule>
  </conditionalFormatting>
  <conditionalFormatting sqref="AP83">
    <cfRule type="cellIs" dxfId="13301" priority="21" operator="lessThan">
      <formula>0</formula>
    </cfRule>
  </conditionalFormatting>
  <conditionalFormatting sqref="AP83">
    <cfRule type="cellIs" dxfId="13300" priority="20" operator="lessThan">
      <formula>0</formula>
    </cfRule>
  </conditionalFormatting>
  <conditionalFormatting sqref="AP83">
    <cfRule type="cellIs" dxfId="13299" priority="19" operator="lessThan">
      <formula>0</formula>
    </cfRule>
  </conditionalFormatting>
  <conditionalFormatting sqref="AP83">
    <cfRule type="cellIs" dxfId="13298" priority="18" operator="lessThan">
      <formula>0</formula>
    </cfRule>
  </conditionalFormatting>
  <conditionalFormatting sqref="AP83">
    <cfRule type="cellIs" dxfId="13297" priority="17" operator="lessThan">
      <formula>0</formula>
    </cfRule>
  </conditionalFormatting>
  <conditionalFormatting sqref="AP83">
    <cfRule type="cellIs" dxfId="13296" priority="16" operator="lessThan">
      <formula>0</formula>
    </cfRule>
  </conditionalFormatting>
  <conditionalFormatting sqref="AP83">
    <cfRule type="cellIs" dxfId="13295" priority="15" operator="lessThan">
      <formula>0</formula>
    </cfRule>
  </conditionalFormatting>
  <conditionalFormatting sqref="AP83">
    <cfRule type="cellIs" dxfId="13294" priority="14" operator="lessThan">
      <formula>0</formula>
    </cfRule>
  </conditionalFormatting>
  <conditionalFormatting sqref="AP83">
    <cfRule type="cellIs" dxfId="13293" priority="13" operator="lessThan">
      <formula>0</formula>
    </cfRule>
  </conditionalFormatting>
  <conditionalFormatting sqref="AP83">
    <cfRule type="cellIs" dxfId="13292" priority="12" operator="lessThan">
      <formula>0</formula>
    </cfRule>
  </conditionalFormatting>
  <conditionalFormatting sqref="AP83">
    <cfRule type="cellIs" dxfId="13291" priority="11" operator="lessThan">
      <formula>0</formula>
    </cfRule>
  </conditionalFormatting>
  <conditionalFormatting sqref="AP83">
    <cfRule type="cellIs" dxfId="13290" priority="10" operator="lessThan">
      <formula>0</formula>
    </cfRule>
  </conditionalFormatting>
  <conditionalFormatting sqref="AP83">
    <cfRule type="cellIs" dxfId="13289" priority="9" operator="lessThan">
      <formula>0</formula>
    </cfRule>
  </conditionalFormatting>
  <conditionalFormatting sqref="AP83">
    <cfRule type="cellIs" dxfId="13288" priority="8" operator="lessThan">
      <formula>0</formula>
    </cfRule>
  </conditionalFormatting>
  <conditionalFormatting sqref="AP83">
    <cfRule type="cellIs" dxfId="13287" priority="7" operator="lessThan">
      <formula>0</formula>
    </cfRule>
  </conditionalFormatting>
  <conditionalFormatting sqref="AP83">
    <cfRule type="cellIs" dxfId="13286" priority="6" operator="lessThan">
      <formula>0</formula>
    </cfRule>
  </conditionalFormatting>
  <conditionalFormatting sqref="AP83">
    <cfRule type="cellIs" dxfId="13285" priority="5" operator="lessThan">
      <formula>0</formula>
    </cfRule>
  </conditionalFormatting>
  <conditionalFormatting sqref="AP83">
    <cfRule type="cellIs" dxfId="13284" priority="4" operator="lessThan">
      <formula>0</formula>
    </cfRule>
  </conditionalFormatting>
  <conditionalFormatting sqref="AP83">
    <cfRule type="cellIs" dxfId="13283" priority="3" operator="lessThan">
      <formula>0</formula>
    </cfRule>
  </conditionalFormatting>
  <conditionalFormatting sqref="AP83">
    <cfRule type="cellIs" dxfId="13282" priority="2" operator="lessThan">
      <formula>0</formula>
    </cfRule>
  </conditionalFormatting>
  <conditionalFormatting sqref="AP83">
    <cfRule type="cellIs" dxfId="13281" priority="1" operator="lessThan">
      <formula>0</formula>
    </cfRule>
  </conditionalFormatting>
  <dataValidations count="1">
    <dataValidation allowBlank="1" showInputMessage="1" showErrorMessage="1" prompt="Youssef Ch15 remplace Abdenour Ch18" sqref="X88"/>
  </dataValidations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30" id="{C17CB59B-7065-4089-9C50-3658962F1A2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Y22</xm:sqref>
        </x14:conditionalFormatting>
        <x14:conditionalFormatting xmlns:xm="http://schemas.microsoft.com/office/excel/2006/main">
          <x14:cfRule type="iconSet" priority="325" id="{1602421F-7B5B-48D8-94B6-11317C13671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Y66</xm:sqref>
        </x14:conditionalFormatting>
        <x14:conditionalFormatting xmlns:xm="http://schemas.microsoft.com/office/excel/2006/main">
          <x14:cfRule type="iconSet" priority="322" id="{D98A96F5-BCA2-4C2A-83F1-F0E7376AE04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Y50</xm:sqref>
        </x14:conditionalFormatting>
        <x14:conditionalFormatting xmlns:xm="http://schemas.microsoft.com/office/excel/2006/main">
          <x14:cfRule type="iconSet" priority="319" id="{342048D1-27DE-4291-B934-A72B774FBF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Y18</xm:sqref>
        </x14:conditionalFormatting>
        <x14:conditionalFormatting xmlns:xm="http://schemas.microsoft.com/office/excel/2006/main">
          <x14:cfRule type="iconSet" priority="311" id="{2BF52F64-77BC-4A9F-95FA-75CFD907E1C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Y14</xm:sqref>
        </x14:conditionalFormatting>
        <x14:conditionalFormatting xmlns:xm="http://schemas.microsoft.com/office/excel/2006/main">
          <x14:cfRule type="iconSet" priority="308" id="{ABDF068A-19FB-427B-A278-0FE830482F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Y38</xm:sqref>
        </x14:conditionalFormatting>
        <x14:conditionalFormatting xmlns:xm="http://schemas.microsoft.com/office/excel/2006/main">
          <x14:cfRule type="iconSet" priority="305" id="{D016D5E0-6242-4770-8AFF-5D482085A3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Y78</xm:sqref>
        </x14:conditionalFormatting>
        <x14:conditionalFormatting xmlns:xm="http://schemas.microsoft.com/office/excel/2006/main">
          <x14:cfRule type="iconSet" priority="302" id="{2FC3E5D5-1E95-4709-915F-36F6A0E1BB1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Y58</xm:sqref>
        </x14:conditionalFormatting>
        <x14:conditionalFormatting xmlns:xm="http://schemas.microsoft.com/office/excel/2006/main">
          <x14:cfRule type="iconSet" priority="293" id="{5CCBA597-9390-4511-88B9-0C6C0D4DAB7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Y62</xm:sqref>
        </x14:conditionalFormatting>
        <x14:conditionalFormatting xmlns:xm="http://schemas.microsoft.com/office/excel/2006/main">
          <x14:cfRule type="iconSet" priority="289" id="{4A71760E-D356-4E2B-89B4-8D1E41D55D1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Y70</xm:sqref>
        </x14:conditionalFormatting>
        <x14:conditionalFormatting xmlns:xm="http://schemas.microsoft.com/office/excel/2006/main">
          <x14:cfRule type="iconSet" priority="286" id="{968AA06C-8B79-450C-A183-B140DDECAC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Y74</xm:sqref>
        </x14:conditionalFormatting>
        <x14:conditionalFormatting xmlns:xm="http://schemas.microsoft.com/office/excel/2006/main">
          <x14:cfRule type="iconSet" priority="283" id="{A2B4C111-4CB8-4E17-980E-FA45C5A8A93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Y86</xm:sqref>
        </x14:conditionalFormatting>
        <x14:conditionalFormatting xmlns:xm="http://schemas.microsoft.com/office/excel/2006/main">
          <x14:cfRule type="iconSet" priority="277" id="{F979BF6C-B0EC-4770-AD41-01131FB8923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Y30</xm:sqref>
        </x14:conditionalFormatting>
        <x14:conditionalFormatting xmlns:xm="http://schemas.microsoft.com/office/excel/2006/main">
          <x14:cfRule type="iconSet" priority="272" id="{93A8CF9F-612B-4F27-A393-891FB10D84E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Y54</xm:sqref>
        </x14:conditionalFormatting>
        <x14:conditionalFormatting xmlns:xm="http://schemas.microsoft.com/office/excel/2006/main">
          <x14:cfRule type="iconSet" priority="268" id="{D9766412-F382-4EF9-AC8C-FEE34796B8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Y42</xm:sqref>
        </x14:conditionalFormatting>
        <x14:conditionalFormatting xmlns:xm="http://schemas.microsoft.com/office/excel/2006/main">
          <x14:cfRule type="iconSet" priority="265" id="{1FE5DBA3-E466-4FFA-8317-EAE48FCE3BD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Y34</xm:sqref>
        </x14:conditionalFormatting>
        <x14:conditionalFormatting xmlns:xm="http://schemas.microsoft.com/office/excel/2006/main">
          <x14:cfRule type="iconSet" priority="238" id="{E5BBC5A2-9468-4C57-BD8F-3FBE691F11F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Y46</xm:sqref>
        </x14:conditionalFormatting>
        <x14:conditionalFormatting xmlns:xm="http://schemas.microsoft.com/office/excel/2006/main">
          <x14:cfRule type="iconSet" priority="192" id="{06A4F2E2-D525-43E4-A710-7C6B638F354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Y6</xm:sqref>
        </x14:conditionalFormatting>
        <x14:conditionalFormatting xmlns:xm="http://schemas.microsoft.com/office/excel/2006/main">
          <x14:cfRule type="iconSet" priority="100" id="{4BE4F686-B14F-4C60-8C27-539BCD1D3AB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Y10</xm:sqref>
        </x14:conditionalFormatting>
        <x14:conditionalFormatting xmlns:xm="http://schemas.microsoft.com/office/excel/2006/main">
          <x14:cfRule type="iconSet" priority="96" id="{0DBDA14B-8B4A-4B5A-998F-C19FC76027E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Y26</xm:sqref>
        </x14:conditionalFormatting>
        <x14:conditionalFormatting xmlns:xm="http://schemas.microsoft.com/office/excel/2006/main">
          <x14:cfRule type="iconSet" priority="48" id="{F7BC9568-F4E2-414A-BFDD-7E7B460ECC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Y82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89"/>
  <sheetViews>
    <sheetView zoomScale="18" zoomScaleNormal="18" zoomScaleSheetLayoutView="10" workbookViewId="0">
      <pane xSplit="11" ySplit="5" topLeftCell="AA6" activePane="bottomRight" state="frozen"/>
      <selection pane="topRight" activeCell="L1" sqref="L1"/>
      <selection pane="bottomLeft" activeCell="A6" sqref="A6"/>
      <selection pane="bottomRight" activeCell="AW11" sqref="AW11:BF11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0.76026894607330364</v>
      </c>
      <c r="AE2" s="520"/>
      <c r="AH2" s="183">
        <f>+SUBTOTAL(9,AH6:AH111)</f>
        <v>250942.5</v>
      </c>
      <c r="AI2" s="183">
        <f>+SUBTOTAL(9,AI6:AI111)</f>
        <v>190783.79</v>
      </c>
      <c r="AT2" s="91">
        <v>0.59793648334624327</v>
      </c>
    </row>
    <row r="3" spans="2:58" ht="94.5" customHeight="1" x14ac:dyDescent="0.9">
      <c r="B3" s="464"/>
      <c r="C3" s="464"/>
      <c r="D3" s="464"/>
      <c r="E3" s="464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64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+SUMIF($L$6:$L$94,AA3,$AA$6:$AA$94)</f>
        <v>4240</v>
      </c>
      <c r="AB4" s="144" t="s">
        <v>28</v>
      </c>
      <c r="AC4" s="145"/>
      <c r="AD4" s="524" t="str">
        <f ca="1">RIGHT(CELL("filename",A1),LEN(CELL("filename",A1))-FIND("]",CELL("filename",A1)))</f>
        <v>03-01-2026</v>
      </c>
      <c r="AE4" s="524"/>
      <c r="AF4" s="397">
        <f>+SUM(AF6:AF99)</f>
        <v>4182.375</v>
      </c>
      <c r="AG4" s="397"/>
      <c r="AH4" s="98"/>
      <c r="AI4" s="98"/>
      <c r="AJ4" s="398">
        <v>7.25</v>
      </c>
      <c r="AQ4" s="437">
        <f>+SUBTOTAL(9,AQ6:AQ95)</f>
        <v>-893.125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439" t="str">
        <f>+G7</f>
        <v>NEGRONI-202942</v>
      </c>
      <c r="H6" s="106"/>
      <c r="I6" s="106"/>
      <c r="J6" s="107" t="s">
        <v>20</v>
      </c>
      <c r="K6" s="108" t="s">
        <v>23</v>
      </c>
      <c r="L6" s="100" t="s">
        <v>21</v>
      </c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7" t="str">
        <f>IF(AQ7="","",SUM(M6:W6)-(-(AQ7-SUM(M6:W6))/$AQ$3)*SUM($M$2:$W$2))</f>
        <v/>
      </c>
      <c r="Y6" s="466"/>
      <c r="Z6" s="533">
        <f>+X8</f>
        <v>-152</v>
      </c>
      <c r="AA6" s="447">
        <f t="shared" ref="AA6:AA67" si="0">+SUM(L6:W6)</f>
        <v>0</v>
      </c>
      <c r="AB6" s="343">
        <f>+AC6+AA6</f>
        <v>6024</v>
      </c>
      <c r="AC6" s="343">
        <v>6024</v>
      </c>
      <c r="AD6" s="344"/>
      <c r="AE6" s="345"/>
      <c r="AF6" s="346"/>
      <c r="AG6" s="347">
        <f t="shared" ref="AG6:AG85" si="1">TRUNC(AF6)+(AF6-TRUNC(AF6))*60/100</f>
        <v>0</v>
      </c>
      <c r="AH6" s="341">
        <f t="shared" ref="AH6:AH85" si="2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427</v>
      </c>
      <c r="E7" s="111"/>
      <c r="F7" s="111" t="s">
        <v>428</v>
      </c>
      <c r="G7" s="106" t="s">
        <v>429</v>
      </c>
      <c r="H7" s="111"/>
      <c r="I7" s="111" t="s">
        <v>430</v>
      </c>
      <c r="J7" s="113">
        <v>48.06</v>
      </c>
      <c r="K7" s="130">
        <v>60</v>
      </c>
      <c r="L7" s="101" t="s">
        <v>17</v>
      </c>
      <c r="M7" s="214">
        <v>46</v>
      </c>
      <c r="N7" s="214">
        <v>40</v>
      </c>
      <c r="O7" s="214">
        <v>45</v>
      </c>
      <c r="P7" s="214">
        <v>42</v>
      </c>
      <c r="Q7" s="214">
        <v>35</v>
      </c>
      <c r="R7" s="214">
        <v>35</v>
      </c>
      <c r="S7" s="214">
        <v>30</v>
      </c>
      <c r="T7" s="214">
        <v>10</v>
      </c>
      <c r="U7" s="214"/>
      <c r="V7" s="214"/>
      <c r="W7" s="214"/>
      <c r="X7" s="123">
        <f>+IF(H8="s",0,IF(AA7=0,0,IF(COUNTA(M7:W7)=AK9+0.75,SUMIF($C:$C,B7,$AA:$AA)/AK9,SUMIF($C:$C,B7,$AA:$AA)/(COUNTA(M7:W7)))))</f>
        <v>39.03448275862069</v>
      </c>
      <c r="Y7" s="466"/>
      <c r="Z7" s="534"/>
      <c r="AA7" s="134">
        <f t="shared" si="0"/>
        <v>283</v>
      </c>
      <c r="AB7" s="354">
        <f>+AA7+AC7</f>
        <v>5916</v>
      </c>
      <c r="AC7" s="354">
        <v>5633</v>
      </c>
      <c r="AD7" s="355">
        <f>+AB6-AB7</f>
        <v>108</v>
      </c>
      <c r="AE7" s="131">
        <f>+IF(((AA8+(AA9/2))*60)=0,"",(J7*AA7)/((AA8+(AA9/2))*60))</f>
        <v>0.90311952191235068</v>
      </c>
      <c r="AF7" s="347">
        <f>+AA8+AA9/2</f>
        <v>251</v>
      </c>
      <c r="AG7" s="347">
        <f t="shared" si="1"/>
        <v>251</v>
      </c>
      <c r="AH7" s="341">
        <f>+AF7*60</f>
        <v>15060</v>
      </c>
      <c r="AI7" s="341">
        <f>+AA7*J7</f>
        <v>13600.980000000001</v>
      </c>
      <c r="AJ7" s="356">
        <f>+AA7-(AF7*K7/K9)</f>
        <v>9.181818181818187</v>
      </c>
      <c r="AK7" s="348"/>
      <c r="AL7" s="349"/>
      <c r="AM7" s="341"/>
      <c r="AN7" s="341"/>
      <c r="AO7" s="341"/>
      <c r="AP7" s="341"/>
      <c r="AQ7" s="339"/>
      <c r="AR7" s="434"/>
      <c r="AT7" s="390">
        <v>391</v>
      </c>
      <c r="AV7" s="390">
        <f>+AT7-AD7</f>
        <v>283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113">
        <f>+IFERROR(IF(K9=0,0,IF((LOOKUP(2,1/(M8:W8&lt;&gt;""),M8:W8)-K9)&lt;0,0,IF(K9=0,"",LOOKUP(2,1/(M8:W8&lt;&gt;""),M8:W8)-K9))),0)</f>
        <v>0</v>
      </c>
      <c r="H8" s="411"/>
      <c r="I8" s="113"/>
      <c r="J8" s="113">
        <v>1</v>
      </c>
      <c r="K8" s="114" t="s">
        <v>22</v>
      </c>
      <c r="L8" s="102" t="s">
        <v>18</v>
      </c>
      <c r="M8" s="448">
        <v>45</v>
      </c>
      <c r="N8" s="448">
        <v>45</v>
      </c>
      <c r="O8" s="448">
        <v>40</v>
      </c>
      <c r="P8" s="448">
        <v>38</v>
      </c>
      <c r="Q8" s="448">
        <v>32</v>
      </c>
      <c r="R8" s="448">
        <v>27</v>
      </c>
      <c r="S8" s="448">
        <v>20</v>
      </c>
      <c r="T8" s="448">
        <v>16</v>
      </c>
      <c r="U8" s="448"/>
      <c r="V8" s="448"/>
      <c r="W8" s="448"/>
      <c r="X8" s="160">
        <f>+IF(H8="l",IF(COUNTA(M7:W7)=AK9+0.75,AA7-K7*AK9,AA7-(K7*COUNTA(M7:W7))),IF(H8="s",0,IF(COUNTA(M7:W7)=AK9+0.75,SUMIF($C:$C,B7,$AA:$AA)-K7*AK9,SUMIF($C:$C,B7,$AA:$AA)-K7*COUNTA(M7:W7))))</f>
        <v>-152</v>
      </c>
      <c r="Y8" s="466"/>
      <c r="Z8" s="534"/>
      <c r="AA8" s="462">
        <f>+SUM(M8:W8)-T8*0.75</f>
        <v>251</v>
      </c>
      <c r="AB8" s="360"/>
      <c r="AC8" s="360"/>
      <c r="AD8" s="362"/>
      <c r="AE8" s="363"/>
      <c r="AF8" s="346"/>
      <c r="AG8" s="347">
        <f t="shared" si="1"/>
        <v>0</v>
      </c>
      <c r="AH8" s="341">
        <f t="shared" si="2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251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444">
        <f>+SUMPRODUCT((M8:W8&lt;&gt;"")*(M8:W8&lt;&gt;0)*(M8:W8-K9))</f>
        <v>-177</v>
      </c>
      <c r="H9" s="117"/>
      <c r="I9" s="442"/>
      <c r="J9" s="165">
        <f>+IF(K9="","",IF(K7=0,"",(K7*J7)/(K9*60)))</f>
        <v>0.87381818181818194</v>
      </c>
      <c r="K9" s="118">
        <v>55</v>
      </c>
      <c r="L9" s="104" t="s">
        <v>19</v>
      </c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173"/>
      <c r="Y9" s="467">
        <v>36.08</v>
      </c>
      <c r="Z9" s="365">
        <v>36.08</v>
      </c>
      <c r="AA9" s="465">
        <f>+SUM(M9:W9)-T9*0.75</f>
        <v>0</v>
      </c>
      <c r="AB9" s="367"/>
      <c r="AC9" s="367"/>
      <c r="AD9" s="368">
        <f>+IFERROR(AD7/(K7*$AQ$3),"")</f>
        <v>0.20571428571428571</v>
      </c>
      <c r="AE9" s="369"/>
      <c r="AF9" s="347"/>
      <c r="AG9" s="347">
        <f t="shared" si="1"/>
        <v>0</v>
      </c>
      <c r="AH9" s="341">
        <f t="shared" si="2"/>
        <v>0</v>
      </c>
      <c r="AI9" s="341"/>
      <c r="AJ9" s="356"/>
      <c r="AK9" s="370">
        <f>+$AJ$4</f>
        <v>7.25</v>
      </c>
      <c r="AL9" s="349">
        <f>+IF(AK9=7.75,SUM(M9:S9)+T9*0.75,IF(AK9=8,SUM(M9:T9),IF(AK9=7.25,SUM(M9:S9)+T9*0.25,IF(AK9=8.25,SUM(M9:T9)+U9*0.25,IF(AK9=8.75,SUM(M9:T9)+U9*0.75,0)))))</f>
        <v>0</v>
      </c>
      <c r="AM9" s="341">
        <f>+AL9-AA9</f>
        <v>0</v>
      </c>
      <c r="AN9" s="341"/>
      <c r="AO9" s="341"/>
      <c r="AP9" s="341"/>
      <c r="AQ9" s="369"/>
      <c r="AR9" s="434"/>
      <c r="AT9" s="390">
        <v>0.74476190476190474</v>
      </c>
      <c r="AV9" s="390"/>
    </row>
    <row r="10" spans="2:58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439" t="str">
        <f>+G11</f>
        <v>7394-595-401</v>
      </c>
      <c r="H10" s="106"/>
      <c r="I10" s="106"/>
      <c r="J10" s="107" t="s">
        <v>20</v>
      </c>
      <c r="K10" s="108" t="s">
        <v>23</v>
      </c>
      <c r="L10" s="100" t="s">
        <v>21</v>
      </c>
      <c r="M10" s="448"/>
      <c r="N10" s="448"/>
      <c r="O10" s="448"/>
      <c r="P10" s="448"/>
      <c r="Q10" s="448"/>
      <c r="R10" s="448"/>
      <c r="S10" s="448"/>
      <c r="T10" s="448"/>
      <c r="U10" s="448"/>
      <c r="V10" s="448"/>
      <c r="W10" s="448"/>
      <c r="X10" s="447">
        <f t="shared" ref="X10" si="3">IF(AQ11="","",SUM(M10:W10)-(-(AQ11-SUM(M10:W10))/$AQ$3)*SUM($M$2:$W$2))</f>
        <v>0</v>
      </c>
      <c r="Y10" s="466"/>
      <c r="Z10" s="533">
        <f>+X12</f>
        <v>0</v>
      </c>
      <c r="AA10" s="447">
        <f t="shared" si="0"/>
        <v>0</v>
      </c>
      <c r="AB10" s="343">
        <f>+AC10+AA10</f>
        <v>250</v>
      </c>
      <c r="AC10" s="343">
        <v>250</v>
      </c>
      <c r="AD10" s="344"/>
      <c r="AE10" s="345"/>
      <c r="AF10" s="346"/>
      <c r="AG10" s="347">
        <f t="shared" si="1"/>
        <v>0</v>
      </c>
      <c r="AH10" s="341">
        <f t="shared" si="2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1</v>
      </c>
      <c r="C11" s="406">
        <f>+B11</f>
        <v>1</v>
      </c>
      <c r="D11" s="407" t="s">
        <v>439</v>
      </c>
      <c r="E11" s="111"/>
      <c r="F11" s="111" t="s">
        <v>35</v>
      </c>
      <c r="G11" s="106" t="s">
        <v>440</v>
      </c>
      <c r="H11" s="111"/>
      <c r="I11" s="111" t="s">
        <v>33</v>
      </c>
      <c r="J11" s="113"/>
      <c r="K11" s="130"/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123">
        <f>+IF(H12="s",0,IF(AA11=0,0,IF(COUNTA(M11:W11)=AK13+0.75,SUMIF($C:$C,B11,$AA:$AA)/AK13,SUMIF($C:$C,B11,$AA:$AA)/(COUNTA(M11:W11)))))</f>
        <v>0</v>
      </c>
      <c r="Y11" s="466"/>
      <c r="Z11" s="534"/>
      <c r="AA11" s="134">
        <f t="shared" si="0"/>
        <v>0</v>
      </c>
      <c r="AB11" s="354">
        <f>+AA11+AC11</f>
        <v>0</v>
      </c>
      <c r="AC11" s="354">
        <v>0</v>
      </c>
      <c r="AD11" s="355">
        <f>+AB10-AB11</f>
        <v>250</v>
      </c>
      <c r="AE11" s="131">
        <f>+IF(((AA12+(AA13/2))*60)=0,"",(J11*AA11)/((AA12+(AA13/2))*60))</f>
        <v>0</v>
      </c>
      <c r="AF11" s="347">
        <f>+AA12+AA13/2</f>
        <v>111.5</v>
      </c>
      <c r="AG11" s="347">
        <f t="shared" si="1"/>
        <v>111.3</v>
      </c>
      <c r="AH11" s="341">
        <f t="shared" si="2"/>
        <v>6690</v>
      </c>
      <c r="AI11" s="341">
        <f>+AA11*J11</f>
        <v>0</v>
      </c>
      <c r="AJ11" s="356" t="e">
        <f>+AA11-(AF11*K11/K13)</f>
        <v>#DIV/0!</v>
      </c>
      <c r="AK11" s="348"/>
      <c r="AL11" s="349"/>
      <c r="AM11" s="341"/>
      <c r="AN11" s="341"/>
      <c r="AO11" s="341"/>
      <c r="AP11" s="341"/>
      <c r="AQ11" s="339">
        <f>-200+AA10</f>
        <v>-200</v>
      </c>
      <c r="AR11" s="434"/>
      <c r="AT11" s="390">
        <v>250</v>
      </c>
      <c r="AV11" s="390">
        <f>+AT11-AD11</f>
        <v>0</v>
      </c>
      <c r="AW11" s="535" t="s">
        <v>478</v>
      </c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113">
        <f>+IFERROR(IF(K13=0,0,IF((LOOKUP(2,1/(M12:W12&lt;&gt;""),M12:W12)-K13)&lt;0,0,IF(K13=0,"",LOOKUP(2,1/(M12:W12&lt;&gt;""),M12:W12)-K13))),0)</f>
        <v>0</v>
      </c>
      <c r="H12" s="411" t="s">
        <v>412</v>
      </c>
      <c r="I12" s="113"/>
      <c r="J12" s="113"/>
      <c r="K12" s="114" t="s">
        <v>22</v>
      </c>
      <c r="L12" s="102" t="s">
        <v>18</v>
      </c>
      <c r="M12" s="448">
        <v>5</v>
      </c>
      <c r="N12" s="448">
        <v>5</v>
      </c>
      <c r="O12" s="448">
        <v>10</v>
      </c>
      <c r="P12" s="448">
        <v>12</v>
      </c>
      <c r="Q12" s="448">
        <v>18</v>
      </c>
      <c r="R12" s="448">
        <v>23</v>
      </c>
      <c r="S12" s="448">
        <v>30</v>
      </c>
      <c r="T12" s="448">
        <v>34</v>
      </c>
      <c r="U12" s="448"/>
      <c r="V12" s="448"/>
      <c r="W12" s="448"/>
      <c r="X12" s="160">
        <f>+IF(H12="l",IF(COUNTA(M11:W11)=AK13+0.75,AA11-K11*AK13,AA11-(K11*COUNTA(M11:W11))),IF(H12="s",0,IF(COUNTA(M11:W11)=AK13+0.75,SUMIF($C:$C,B11,$AA:$AA)-K11*AK13,SUMIF($C:$C,B11,$AA:$AA)-K11*COUNTA(M11:W11))))</f>
        <v>0</v>
      </c>
      <c r="Y12" s="466"/>
      <c r="Z12" s="534"/>
      <c r="AA12" s="462">
        <f t="shared" ref="AA12:AA13" si="4">+SUM(M12:W12)-T12*0.75</f>
        <v>111.5</v>
      </c>
      <c r="AB12" s="360"/>
      <c r="AC12" s="360"/>
      <c r="AD12" s="362"/>
      <c r="AE12" s="363"/>
      <c r="AF12" s="346"/>
      <c r="AG12" s="347">
        <f t="shared" si="1"/>
        <v>0</v>
      </c>
      <c r="AH12" s="341">
        <f t="shared" si="2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111.5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444">
        <f>+SUMPRODUCT((M12:W12&lt;&gt;"")*(M12:W12&lt;&gt;0)*(M12:W12-K13))</f>
        <v>137</v>
      </c>
      <c r="H13" s="117"/>
      <c r="I13" s="442"/>
      <c r="J13" s="165" t="str">
        <f>+IF(K13="","",IF(K11=0,"",(K11*J11)/(K13*60)))</f>
        <v/>
      </c>
      <c r="K13" s="118"/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0</v>
      </c>
      <c r="Z13" s="371" t="e">
        <f>+IF(COUNTA(M11:W11)=$AJ$4+0.25,$AJ$4-(AA11/K11),COUNTA(M11:W11)-(AA11/K11))+Y13</f>
        <v>#DIV/0!</v>
      </c>
      <c r="AA13" s="465">
        <f t="shared" si="4"/>
        <v>0</v>
      </c>
      <c r="AB13" s="367"/>
      <c r="AC13" s="367"/>
      <c r="AD13" s="368" t="str">
        <f>+IFERROR(AD11/(K11*$AQ$3),"")</f>
        <v/>
      </c>
      <c r="AE13" s="369"/>
      <c r="AF13" s="347"/>
      <c r="AG13" s="347">
        <f t="shared" si="1"/>
        <v>0</v>
      </c>
      <c r="AH13" s="341">
        <f t="shared" si="2"/>
        <v>0</v>
      </c>
      <c r="AI13" s="341"/>
      <c r="AJ13" s="356"/>
      <c r="AK13" s="370">
        <f>+$AJ$4</f>
        <v>7.25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 t="s">
        <v>416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439" t="str">
        <f>+G15</f>
        <v>NEGRONI-202942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100</v>
      </c>
      <c r="N14" s="448">
        <v>50</v>
      </c>
      <c r="O14" s="448"/>
      <c r="P14" s="448">
        <v>100</v>
      </c>
      <c r="Q14" s="448">
        <v>100</v>
      </c>
      <c r="R14" s="448"/>
      <c r="S14" s="448"/>
      <c r="T14" s="448"/>
      <c r="U14" s="448"/>
      <c r="V14" s="448"/>
      <c r="W14" s="448"/>
      <c r="X14" s="447">
        <f t="shared" ref="X14" si="5">IF(AQ15="","",SUM(M14:W14)-(-(AQ15-SUM(M14:W14))/$AQ$3)*SUM($M$2:$W$2))</f>
        <v>350</v>
      </c>
      <c r="Y14" s="466"/>
      <c r="Z14" s="533">
        <f>+X16</f>
        <v>-75</v>
      </c>
      <c r="AA14" s="447">
        <f t="shared" si="0"/>
        <v>350</v>
      </c>
      <c r="AB14" s="343">
        <f>+AC14+AA14</f>
        <v>5827</v>
      </c>
      <c r="AC14" s="343">
        <v>5477</v>
      </c>
      <c r="AD14" s="344"/>
      <c r="AE14" s="345"/>
      <c r="AF14" s="346"/>
      <c r="AG14" s="347">
        <f t="shared" si="1"/>
        <v>0</v>
      </c>
      <c r="AH14" s="341">
        <f t="shared" si="2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427</v>
      </c>
      <c r="E15" s="111"/>
      <c r="F15" s="111" t="s">
        <v>428</v>
      </c>
      <c r="G15" s="106" t="s">
        <v>429</v>
      </c>
      <c r="H15" s="111"/>
      <c r="I15" s="111" t="s">
        <v>430</v>
      </c>
      <c r="J15" s="113">
        <v>48.06</v>
      </c>
      <c r="K15" s="130">
        <v>60</v>
      </c>
      <c r="L15" s="101" t="s">
        <v>17</v>
      </c>
      <c r="M15" s="214">
        <v>40</v>
      </c>
      <c r="N15" s="214">
        <v>60</v>
      </c>
      <c r="O15" s="214">
        <v>60</v>
      </c>
      <c r="P15" s="214">
        <v>55</v>
      </c>
      <c r="Q15" s="214">
        <v>60</v>
      </c>
      <c r="R15" s="214">
        <v>37</v>
      </c>
      <c r="S15" s="214">
        <v>40</v>
      </c>
      <c r="T15" s="214">
        <v>8</v>
      </c>
      <c r="U15" s="214"/>
      <c r="V15" s="214"/>
      <c r="W15" s="214"/>
      <c r="X15" s="123">
        <f>+IF(H16="s",0,IF(AA15=0,0,IF(COUNTA(M15:W15)=AK17+0.75,SUMIF($C:$C,B15,$AA:$AA)/AK17,SUMIF($C:$C,B15,$AA:$AA)/(COUNTA(M15:W15)))))</f>
        <v>49.655172413793103</v>
      </c>
      <c r="Y15" s="466"/>
      <c r="Z15" s="534"/>
      <c r="AA15" s="134">
        <f t="shared" si="0"/>
        <v>360</v>
      </c>
      <c r="AB15" s="354">
        <f>+AA15+AC15</f>
        <v>4958</v>
      </c>
      <c r="AC15" s="354">
        <v>4598</v>
      </c>
      <c r="AD15" s="355">
        <f>+AB14-AB15</f>
        <v>869</v>
      </c>
      <c r="AE15" s="131">
        <f>+IF(((AA16+(AA17/2))*60)=0,"",(J15*AA15)/((AA16+(AA17/2))*60))</f>
        <v>0.72497800125707113</v>
      </c>
      <c r="AF15" s="347">
        <f>+AA16+AA17/2</f>
        <v>397.75</v>
      </c>
      <c r="AG15" s="347">
        <f t="shared" si="1"/>
        <v>397.45</v>
      </c>
      <c r="AH15" s="341">
        <f t="shared" si="2"/>
        <v>23865</v>
      </c>
      <c r="AI15" s="341">
        <f>+AA15*J15</f>
        <v>17301.600000000002</v>
      </c>
      <c r="AJ15" s="356">
        <f>+AA15-(AF15*K15/K17)</f>
        <v>-73.909090909090935</v>
      </c>
      <c r="AK15" s="348"/>
      <c r="AL15" s="349"/>
      <c r="AM15" s="341"/>
      <c r="AN15" s="341"/>
      <c r="AO15" s="341"/>
      <c r="AP15" s="341"/>
      <c r="AQ15" s="339">
        <f>-350+AA14</f>
        <v>0</v>
      </c>
      <c r="AR15" s="434">
        <v>1.5</v>
      </c>
      <c r="AT15" s="390">
        <v>879</v>
      </c>
      <c r="AV15" s="390">
        <f>+AT15-AD15</f>
        <v>10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>
        <f>+B15</f>
        <v>2</v>
      </c>
      <c r="F16" s="409"/>
      <c r="G16" s="113">
        <f>+IFERROR(IF(K17=0,0,IF((LOOKUP(2,1/(M16:W16&lt;&gt;""),M16:W16)-K17)&lt;0,0,IF(K17=0,"",LOOKUP(2,1/(M16:W16&lt;&gt;""),M16:W16)-K17))),0)</f>
        <v>0</v>
      </c>
      <c r="H16" s="411"/>
      <c r="I16" s="113"/>
      <c r="J16" s="113">
        <v>1</v>
      </c>
      <c r="K16" s="114" t="s">
        <v>22</v>
      </c>
      <c r="L16" s="102" t="s">
        <v>18</v>
      </c>
      <c r="M16" s="448">
        <v>54</v>
      </c>
      <c r="N16" s="448">
        <v>55</v>
      </c>
      <c r="O16" s="448">
        <v>55</v>
      </c>
      <c r="P16" s="448">
        <v>55</v>
      </c>
      <c r="Q16" s="448">
        <v>55</v>
      </c>
      <c r="R16" s="448">
        <v>55</v>
      </c>
      <c r="S16" s="448">
        <v>55</v>
      </c>
      <c r="T16" s="448">
        <v>55</v>
      </c>
      <c r="U16" s="448"/>
      <c r="V16" s="448"/>
      <c r="W16" s="448"/>
      <c r="X16" s="160">
        <f>+IF(H16="l",IF(COUNTA(M15:W15)=AK17+0.75,AA15-K15*AK17,AA15-(K15*COUNTA(M15:W15))),IF(H16="s",0,IF(COUNTA(M15:W15)=AK17+0.75,SUMIF($C:$C,B15,$AA:$AA)-K15*AK17,SUMIF($C:$C,B15,$AA:$AA)-K15*COUNTA(M15:W15))))</f>
        <v>-75</v>
      </c>
      <c r="Y16" s="466"/>
      <c r="Z16" s="534"/>
      <c r="AA16" s="462">
        <f t="shared" ref="AA16:AA17" si="6">+SUM(M16:W16)-T16*0.75</f>
        <v>397.75</v>
      </c>
      <c r="AB16" s="360"/>
      <c r="AC16" s="360"/>
      <c r="AD16" s="362"/>
      <c r="AE16" s="363"/>
      <c r="AF16" s="346"/>
      <c r="AG16" s="347">
        <f t="shared" si="1"/>
        <v>0</v>
      </c>
      <c r="AH16" s="341">
        <f t="shared" si="2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397.75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>
        <f>+E16+100</f>
        <v>102</v>
      </c>
      <c r="F17" s="175"/>
      <c r="G17" s="444">
        <f>+SUMPRODUCT((M16:W16&lt;&gt;"")*(M16:W16&lt;&gt;0)*(M16:W16-K17))</f>
        <v>-1</v>
      </c>
      <c r="H17" s="117"/>
      <c r="I17" s="442"/>
      <c r="J17" s="165">
        <f>+IF(K17="","",IF(K15=0,"",(K15*J15)/(K17*60)))</f>
        <v>0.87381818181818194</v>
      </c>
      <c r="K17" s="118">
        <v>55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/>
      <c r="Z17" s="365">
        <v>36.14</v>
      </c>
      <c r="AA17" s="465">
        <f t="shared" si="6"/>
        <v>0</v>
      </c>
      <c r="AB17" s="367"/>
      <c r="AC17" s="367"/>
      <c r="AD17" s="368">
        <f>+IFERROR(AD15/(K15*$AQ$3),"")</f>
        <v>1.6552380952380952</v>
      </c>
      <c r="AE17" s="369"/>
      <c r="AF17" s="347"/>
      <c r="AG17" s="347">
        <f t="shared" si="1"/>
        <v>0</v>
      </c>
      <c r="AH17" s="341">
        <f t="shared" si="2"/>
        <v>0</v>
      </c>
      <c r="AI17" s="341"/>
      <c r="AJ17" s="356"/>
      <c r="AK17" s="370">
        <f>+$AJ$4</f>
        <v>7.25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1.6742857142857144</v>
      </c>
      <c r="AV17" s="390"/>
    </row>
    <row r="18" spans="2:58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439">
        <f>+G19</f>
        <v>0</v>
      </c>
      <c r="H18" s="106"/>
      <c r="I18" s="106"/>
      <c r="J18" s="107" t="s">
        <v>20</v>
      </c>
      <c r="K18" s="108" t="s">
        <v>23</v>
      </c>
      <c r="L18" s="100" t="s">
        <v>21</v>
      </c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47" t="str">
        <f t="shared" ref="X18" si="7">IF(AQ19="","",SUM(M18:W18)-(-(AQ19-SUM(M18:W18))/$AQ$3)*SUM($M$2:$W$2))</f>
        <v/>
      </c>
      <c r="Y18" s="466"/>
      <c r="Z18" s="533">
        <f>+X20</f>
        <v>0</v>
      </c>
      <c r="AA18" s="447">
        <f t="shared" si="0"/>
        <v>0</v>
      </c>
      <c r="AB18" s="343">
        <f>+AC18+AA18</f>
        <v>0</v>
      </c>
      <c r="AC18" s="343">
        <v>0</v>
      </c>
      <c r="AD18" s="344"/>
      <c r="AE18" s="345"/>
      <c r="AF18" s="346"/>
      <c r="AG18" s="347"/>
      <c r="AH18" s="341"/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3</v>
      </c>
      <c r="C19" s="406">
        <v>3</v>
      </c>
      <c r="D19" s="407"/>
      <c r="E19" s="111"/>
      <c r="F19" s="111"/>
      <c r="G19" s="106"/>
      <c r="H19" s="111"/>
      <c r="I19" s="111"/>
      <c r="J19" s="113"/>
      <c r="K19" s="130"/>
      <c r="L19" s="101" t="s">
        <v>17</v>
      </c>
      <c r="M19" s="454"/>
      <c r="N19" s="454"/>
      <c r="O19" s="454"/>
      <c r="P19" s="454"/>
      <c r="Q19" s="454"/>
      <c r="R19" s="454"/>
      <c r="S19" s="454"/>
      <c r="T19" s="454"/>
      <c r="U19" s="454"/>
      <c r="V19" s="454"/>
      <c r="W19" s="454"/>
      <c r="X19" s="123">
        <f>+IF(H20="s",0,IF(AA19=0,0,IF(COUNTA(M19:W19)=AK21+0.75,SUMIF($C:$C,B19,$AA:$AA)/AK21,SUMIF($C:$C,B19,$AA:$AA)/(COUNTA(M19:W19)))))</f>
        <v>0</v>
      </c>
      <c r="Y19" s="466"/>
      <c r="Z19" s="534"/>
      <c r="AA19" s="134">
        <f t="shared" si="0"/>
        <v>0</v>
      </c>
      <c r="AB19" s="354">
        <f>+AA19+AC19</f>
        <v>0</v>
      </c>
      <c r="AC19" s="354">
        <v>0</v>
      </c>
      <c r="AD19" s="355">
        <f>+AB18-AB19</f>
        <v>0</v>
      </c>
      <c r="AE19" s="131" t="str">
        <f>+IF(((AA20+(AA21/2))*60)=0,"",(J19*AA19)/((AA20+(AA21/2))*60))</f>
        <v/>
      </c>
      <c r="AF19" s="347"/>
      <c r="AG19" s="347"/>
      <c r="AH19" s="341"/>
      <c r="AI19" s="341"/>
      <c r="AJ19" s="356"/>
      <c r="AK19" s="348"/>
      <c r="AL19" s="349"/>
      <c r="AM19" s="341"/>
      <c r="AN19" s="341"/>
      <c r="AO19" s="341"/>
      <c r="AP19" s="341"/>
      <c r="AQ19" s="339" t="str">
        <f t="shared" ref="AQ19:AQ71" si="8">IF(AR19=0,"",AT19-(($AQ$3*K19)+($AQ$3*K19)*AR19)+AA18)</f>
        <v/>
      </c>
      <c r="AR19" s="434"/>
      <c r="AT19" s="390">
        <v>0</v>
      </c>
      <c r="AV19" s="390">
        <f t="shared" ref="AV19" si="9">+AT19-AD19</f>
        <v>0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113">
        <f>+IFERROR(IF(K21=0,0,IF((LOOKUP(2,1/(M20:W20&lt;&gt;""),M20:W20)-K21)&lt;0,0,IF(K21=0,"",LOOKUP(2,1/(M20:W20&lt;&gt;""),M20:W20)-K21))),0)</f>
        <v>0</v>
      </c>
      <c r="H20" s="411" t="s">
        <v>414</v>
      </c>
      <c r="I20" s="113"/>
      <c r="J20" s="113"/>
      <c r="K20" s="114" t="s">
        <v>22</v>
      </c>
      <c r="L20" s="102" t="s">
        <v>18</v>
      </c>
      <c r="M20" s="453"/>
      <c r="N20" s="453"/>
      <c r="O20" s="453"/>
      <c r="P20" s="453"/>
      <c r="Q20" s="453"/>
      <c r="R20" s="453"/>
      <c r="S20" s="453"/>
      <c r="T20" s="453"/>
      <c r="U20" s="453"/>
      <c r="V20" s="453"/>
      <c r="W20" s="453"/>
      <c r="X20" s="160">
        <f>+IF(H20="l",IF(COUNTA(M19:W19)=AK21+0.75,AA19-K19*AK21,AA19-(K19*COUNTA(M19:W19))),IF(H20="s",0,IF(COUNTA(M19:W19)=AK21+0.75,SUMIF($C:$C,B19,$AA:$AA)-K19*AK21,SUMIF($C:$C,B19,$AA:$AA)-K19*COUNTA(M19:W19))))</f>
        <v>0</v>
      </c>
      <c r="Y20" s="466"/>
      <c r="Z20" s="534"/>
      <c r="AA20" s="462">
        <f t="shared" ref="AA20:AA21" si="10">+SUM(M20:W20)-T20*0.75</f>
        <v>0</v>
      </c>
      <c r="AB20" s="360"/>
      <c r="AC20" s="360"/>
      <c r="AD20" s="362"/>
      <c r="AE20" s="363"/>
      <c r="AF20" s="346"/>
      <c r="AG20" s="347"/>
      <c r="AH20" s="341"/>
      <c r="AI20" s="341"/>
      <c r="AJ20" s="341"/>
      <c r="AK20" s="348"/>
      <c r="AL20" s="349"/>
      <c r="AM20" s="341"/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444">
        <f>+SUMPRODUCT((M20:W20&lt;&gt;"")*(M20:W20&lt;&gt;0)*(M20:W20-K21))</f>
        <v>0</v>
      </c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173"/>
      <c r="Y21" s="467"/>
      <c r="Z21" s="371"/>
      <c r="AA21" s="465">
        <f t="shared" si="10"/>
        <v>0</v>
      </c>
      <c r="AB21" s="367"/>
      <c r="AC21" s="367"/>
      <c r="AD21" s="368" t="str">
        <f>+IFERROR(AD19/(K19*$AQ$3),"")</f>
        <v/>
      </c>
      <c r="AE21" s="369"/>
      <c r="AF21" s="347"/>
      <c r="AG21" s="347"/>
      <c r="AH21" s="341"/>
      <c r="AI21" s="341"/>
      <c r="AJ21" s="356"/>
      <c r="AK21" s="370">
        <f>+$AJ$4</f>
        <v>7.25</v>
      </c>
      <c r="AL21" s="349"/>
      <c r="AM21" s="341"/>
      <c r="AN21" s="341"/>
      <c r="AO21" s="341"/>
      <c r="AP21" s="341"/>
      <c r="AQ21" s="369"/>
      <c r="AR21" s="434"/>
      <c r="AT21" s="390" t="s">
        <v>416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439" t="str">
        <f>+G23</f>
        <v>2215-518-800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7" t="str">
        <f t="shared" ref="X22" si="11">IF(AQ23="","",SUM(M22:W22)-(-(AQ23-SUM(M22:W22))/$AQ$3)*SUM($M$2:$W$2))</f>
        <v/>
      </c>
      <c r="Y22" s="466"/>
      <c r="Z22" s="533">
        <f>+X24</f>
        <v>-108.25</v>
      </c>
      <c r="AA22" s="447">
        <f t="shared" si="0"/>
        <v>0</v>
      </c>
      <c r="AB22" s="343">
        <f>+AC22+AA22</f>
        <v>8799</v>
      </c>
      <c r="AC22" s="343">
        <v>8799</v>
      </c>
      <c r="AD22" s="344"/>
      <c r="AE22" s="345"/>
      <c r="AF22" s="346"/>
      <c r="AG22" s="347">
        <f t="shared" si="1"/>
        <v>0</v>
      </c>
      <c r="AH22" s="341">
        <f t="shared" si="2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4</v>
      </c>
      <c r="C23" s="406">
        <f>+B23</f>
        <v>4</v>
      </c>
      <c r="D23" s="407" t="s">
        <v>423</v>
      </c>
      <c r="E23" s="111"/>
      <c r="F23" s="111" t="s">
        <v>35</v>
      </c>
      <c r="G23" s="106" t="s">
        <v>424</v>
      </c>
      <c r="H23" s="111"/>
      <c r="I23" s="111" t="s">
        <v>33</v>
      </c>
      <c r="J23" s="113">
        <v>33.42</v>
      </c>
      <c r="K23" s="130">
        <v>61</v>
      </c>
      <c r="L23" s="101" t="s">
        <v>17</v>
      </c>
      <c r="M23" s="214">
        <v>28</v>
      </c>
      <c r="N23" s="214">
        <v>61</v>
      </c>
      <c r="O23" s="214">
        <v>61</v>
      </c>
      <c r="P23" s="214">
        <v>52</v>
      </c>
      <c r="Q23" s="214">
        <v>37</v>
      </c>
      <c r="R23" s="214">
        <v>47</v>
      </c>
      <c r="S23" s="214">
        <v>40</v>
      </c>
      <c r="T23" s="214">
        <v>8</v>
      </c>
      <c r="U23" s="214"/>
      <c r="V23" s="214"/>
      <c r="W23" s="214"/>
      <c r="X23" s="123">
        <f>+IF(H24="s",0,IF(AA23=0,0,IF(COUNTA(M23:W23)=AK25+0.75,SUMIF($C:$C,B23,$AA:$AA)/AK25,SUMIF($C:$C,B23,$AA:$AA)/(COUNTA(M23:W23)))))</f>
        <v>46.068965517241381</v>
      </c>
      <c r="Y23" s="466"/>
      <c r="Z23" s="534"/>
      <c r="AA23" s="134">
        <f t="shared" si="0"/>
        <v>334</v>
      </c>
      <c r="AB23" s="354">
        <f>+AA23+AC23</f>
        <v>8602</v>
      </c>
      <c r="AC23" s="354">
        <v>8268</v>
      </c>
      <c r="AD23" s="355">
        <f>+AB22-AB23</f>
        <v>197</v>
      </c>
      <c r="AE23" s="131">
        <f>+IF(((AA24+(AA25/2))*60)=0,"",(J23*AA23)/((AA24+(AA25/2))*60))</f>
        <v>0.84370975056689346</v>
      </c>
      <c r="AF23" s="347">
        <f>+AA24+AA25/2</f>
        <v>220.5</v>
      </c>
      <c r="AG23" s="347">
        <f t="shared" si="1"/>
        <v>220.3</v>
      </c>
      <c r="AH23" s="341">
        <f t="shared" si="2"/>
        <v>13230</v>
      </c>
      <c r="AI23" s="341">
        <f>+AA23*J23</f>
        <v>11162.28</v>
      </c>
      <c r="AJ23" s="356">
        <f>+AA23-(AF23*K23/K25)</f>
        <v>-19.96052631578948</v>
      </c>
      <c r="AK23" s="348"/>
      <c r="AL23" s="349"/>
      <c r="AM23" s="341"/>
      <c r="AN23" s="341"/>
      <c r="AO23" s="341"/>
      <c r="AP23" s="341"/>
      <c r="AQ23" s="339"/>
      <c r="AR23" s="434"/>
      <c r="AT23" s="390">
        <v>531</v>
      </c>
      <c r="AV23" s="390">
        <f t="shared" ref="AV23" si="12">+AT23-AD23</f>
        <v>334</v>
      </c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113">
        <f>+IFERROR(IF(K25=0,0,IF((LOOKUP(2,1/(M24:W24&lt;&gt;""),M24:W24)-K25)&lt;0,0,IF(K25=0,"",LOOKUP(2,1/(M24:W24&lt;&gt;""),M24:W24)-K25))),0)</f>
        <v>0</v>
      </c>
      <c r="H24" s="411"/>
      <c r="I24" s="113"/>
      <c r="J24" s="113">
        <v>1</v>
      </c>
      <c r="K24" s="114" t="s">
        <v>22</v>
      </c>
      <c r="L24" s="102" t="s">
        <v>18</v>
      </c>
      <c r="M24" s="448">
        <v>39</v>
      </c>
      <c r="N24" s="448">
        <v>36</v>
      </c>
      <c r="O24" s="448">
        <v>33</v>
      </c>
      <c r="P24" s="448">
        <v>30</v>
      </c>
      <c r="Q24" s="448">
        <v>28</v>
      </c>
      <c r="R24" s="448">
        <v>25</v>
      </c>
      <c r="S24" s="448">
        <v>24</v>
      </c>
      <c r="T24" s="448">
        <v>22</v>
      </c>
      <c r="U24" s="448"/>
      <c r="V24" s="448"/>
      <c r="W24" s="448"/>
      <c r="X24" s="160">
        <f>+IF(H24="l",IF(COUNTA(M23:W23)=AK25+0.75,AA23-K23*AK25,AA23-(K23*COUNTA(M23:W23))),IF(H24="s",0,IF(COUNTA(M23:W23)=AK25+0.75,SUMIF($C:$C,B23,$AA:$AA)-K23*AK25,SUMIF($C:$C,B23,$AA:$AA)-K23*COUNTA(M23:W23))))</f>
        <v>-108.25</v>
      </c>
      <c r="Y24" s="466"/>
      <c r="Z24" s="534"/>
      <c r="AA24" s="462">
        <f t="shared" ref="AA24:AA25" si="13">+SUM(M24:W24)-T24*0.75</f>
        <v>220.5</v>
      </c>
      <c r="AB24" s="360"/>
      <c r="AC24" s="360"/>
      <c r="AD24" s="362"/>
      <c r="AE24" s="363"/>
      <c r="AF24" s="346"/>
      <c r="AG24" s="347">
        <f t="shared" si="1"/>
        <v>0</v>
      </c>
      <c r="AH24" s="341">
        <f t="shared" si="2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220.5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444">
        <f>+SUMPRODUCT((M24:W24&lt;&gt;"")*(M24:W24&lt;&gt;0)*(M24:W24-K25))</f>
        <v>-67</v>
      </c>
      <c r="H25" s="117"/>
      <c r="I25" s="442"/>
      <c r="J25" s="165">
        <f>+IF(K25="","",IF(K23=0,"",(K23*J23)/(K25*60)))</f>
        <v>0.8941315789473685</v>
      </c>
      <c r="K25" s="118">
        <v>38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/>
      <c r="Z25" s="365">
        <v>24.63</v>
      </c>
      <c r="AA25" s="465">
        <f t="shared" si="13"/>
        <v>0</v>
      </c>
      <c r="AB25" s="367"/>
      <c r="AC25" s="367"/>
      <c r="AD25" s="368">
        <f>+IFERROR(AD23/(K23*$AQ$3),"")</f>
        <v>0.36908665105386418</v>
      </c>
      <c r="AE25" s="369"/>
      <c r="AF25" s="347"/>
      <c r="AG25" s="347">
        <f t="shared" si="1"/>
        <v>0</v>
      </c>
      <c r="AH25" s="341">
        <f t="shared" si="2"/>
        <v>0</v>
      </c>
      <c r="AI25" s="341"/>
      <c r="AJ25" s="356"/>
      <c r="AK25" s="370">
        <f>+$AJ$4</f>
        <v>7.25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0.99484777517564404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439" t="str">
        <f>+G27</f>
        <v>2259-600-730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/>
      <c r="O26" s="448"/>
      <c r="P26" s="448">
        <v>121</v>
      </c>
      <c r="Q26" s="448">
        <v>120</v>
      </c>
      <c r="R26" s="448"/>
      <c r="S26" s="448"/>
      <c r="T26" s="448"/>
      <c r="U26" s="448"/>
      <c r="V26" s="448"/>
      <c r="W26" s="448"/>
      <c r="X26" s="447">
        <f t="shared" ref="X26" si="14">IF(AQ27="","",SUM(M26:W26)-(-(AQ27-SUM(M26:W26))/$AQ$3)*SUM($M$2:$W$2))</f>
        <v>241</v>
      </c>
      <c r="Y26" s="466"/>
      <c r="Z26" s="533">
        <f>+X28</f>
        <v>0</v>
      </c>
      <c r="AA26" s="447">
        <f t="shared" si="0"/>
        <v>241</v>
      </c>
      <c r="AB26" s="343">
        <f>+AC26+AA26</f>
        <v>421</v>
      </c>
      <c r="AC26" s="343">
        <v>180</v>
      </c>
      <c r="AD26" s="344"/>
      <c r="AE26" s="345"/>
      <c r="AF26" s="346"/>
      <c r="AG26" s="347">
        <f t="shared" si="1"/>
        <v>0</v>
      </c>
      <c r="AH26" s="341">
        <f t="shared" si="2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441</v>
      </c>
      <c r="E27" s="111"/>
      <c r="F27" s="111" t="s">
        <v>35</v>
      </c>
      <c r="G27" s="106" t="s">
        <v>442</v>
      </c>
      <c r="H27" s="111"/>
      <c r="I27" s="111" t="s">
        <v>33</v>
      </c>
      <c r="J27" s="113">
        <v>35.68</v>
      </c>
      <c r="K27" s="130">
        <v>65</v>
      </c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123">
        <f>+IF(H28="s",0,IF(AA27=0,0,IF(COUNTA(M27:W27)=AK29+0.75,SUMIF($C:$C,B27,$AA:$AA)/AK29,SUMIF($C:$C,B27,$AA:$AA)/(COUNTA(M27:W27)))))</f>
        <v>0</v>
      </c>
      <c r="Y27" s="466"/>
      <c r="Z27" s="534"/>
      <c r="AA27" s="134">
        <f t="shared" si="0"/>
        <v>0</v>
      </c>
      <c r="AB27" s="354">
        <f>+AA27+AC27</f>
        <v>0</v>
      </c>
      <c r="AC27" s="354">
        <v>0</v>
      </c>
      <c r="AD27" s="355">
        <f>+AB26-AB27</f>
        <v>421</v>
      </c>
      <c r="AE27" s="131">
        <f>+IF(((AA28+(AA29/2))*60)=0,"",(J27*AA27)/((AA28+(AA29/2))*60))</f>
        <v>0</v>
      </c>
      <c r="AF27" s="347">
        <f>+AA28+AA29/2</f>
        <v>62.25</v>
      </c>
      <c r="AG27" s="347">
        <f t="shared" si="1"/>
        <v>62.15</v>
      </c>
      <c r="AH27" s="341">
        <f t="shared" si="2"/>
        <v>3735</v>
      </c>
      <c r="AI27" s="341">
        <f>+AA27*J27</f>
        <v>0</v>
      </c>
      <c r="AJ27" s="356">
        <f>+AA27-(AF27*K27/K29)</f>
        <v>-91.960227272727266</v>
      </c>
      <c r="AK27" s="348"/>
      <c r="AL27" s="349"/>
      <c r="AM27" s="341"/>
      <c r="AN27" s="341"/>
      <c r="AO27" s="341"/>
      <c r="AP27" s="341"/>
      <c r="AQ27" s="339">
        <f>-240+AA26</f>
        <v>1</v>
      </c>
      <c r="AR27" s="434"/>
      <c r="AT27" s="390">
        <v>180</v>
      </c>
      <c r="AV27" s="390">
        <f t="shared" ref="AV27" si="15">+AT27-AD27</f>
        <v>-241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113">
        <f>+IFERROR(IF(K29=0,0,IF((LOOKUP(2,1/(M28:W28&lt;&gt;""),M28:W28)-K29)&lt;0,0,IF(K29=0,"",LOOKUP(2,1/(M28:W28&lt;&gt;""),M28:W28)-K29))),0)</f>
        <v>0</v>
      </c>
      <c r="H28" s="411" t="s">
        <v>412</v>
      </c>
      <c r="I28" s="113"/>
      <c r="J28" s="113">
        <v>0</v>
      </c>
      <c r="K28" s="114" t="s">
        <v>22</v>
      </c>
      <c r="L28" s="102" t="s">
        <v>18</v>
      </c>
      <c r="M28" s="448"/>
      <c r="N28" s="448">
        <v>3</v>
      </c>
      <c r="O28" s="448">
        <f>39-33</f>
        <v>6</v>
      </c>
      <c r="P28" s="448">
        <f>39-30</f>
        <v>9</v>
      </c>
      <c r="Q28" s="448">
        <f>39-28</f>
        <v>11</v>
      </c>
      <c r="R28" s="448">
        <f>39-25</f>
        <v>14</v>
      </c>
      <c r="S28" s="448">
        <f>39-24</f>
        <v>15</v>
      </c>
      <c r="T28" s="448">
        <f>39-22</f>
        <v>17</v>
      </c>
      <c r="U28" s="448"/>
      <c r="V28" s="448"/>
      <c r="W28" s="448"/>
      <c r="X28" s="160">
        <f>+IF(H28="l",IF(COUNTA(M27:W27)=AK29+0.75,AA27-K27*AK29,AA27-(K27*COUNTA(M27:W27))),IF(H28="s",0,IF(COUNTA(M27:W27)=AK29+0.75,SUMIF($C:$C,B27,$AA:$AA)-K27*AK29,SUMIF($C:$C,B27,$AA:$AA)-K27*COUNTA(M27:W27))))</f>
        <v>0</v>
      </c>
      <c r="Y28" s="466"/>
      <c r="Z28" s="534"/>
      <c r="AA28" s="462">
        <f t="shared" ref="AA28:AA29" si="16">+SUM(M28:W28)-T28*0.75</f>
        <v>62.25</v>
      </c>
      <c r="AB28" s="360"/>
      <c r="AC28" s="360"/>
      <c r="AD28" s="362"/>
      <c r="AE28" s="363"/>
      <c r="AF28" s="346"/>
      <c r="AG28" s="347">
        <f t="shared" si="1"/>
        <v>0</v>
      </c>
      <c r="AH28" s="341">
        <f t="shared" si="2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62.25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444">
        <f>+SUMPRODUCT((M28:W28&lt;&gt;"")*(M28:W28&lt;&gt;0)*(M28:W28-K29))</f>
        <v>-233</v>
      </c>
      <c r="H29" s="117"/>
      <c r="I29" s="442"/>
      <c r="J29" s="165">
        <v>0.44</v>
      </c>
      <c r="K29" s="118">
        <v>44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/>
      <c r="Z29" s="371">
        <f>+IF(COUNTA(M27:W27)=$AJ$4+0.25,$AJ$4-(AA27/K27),COUNTA(M27:W27)-(AA27/K27))+Y29</f>
        <v>0</v>
      </c>
      <c r="AA29" s="465">
        <f t="shared" si="16"/>
        <v>0</v>
      </c>
      <c r="AB29" s="367"/>
      <c r="AC29" s="367"/>
      <c r="AD29" s="368">
        <f>+IFERROR(AD27/(K27*$AQ$3),"")</f>
        <v>0.74021978021978019</v>
      </c>
      <c r="AE29" s="369"/>
      <c r="AF29" s="347"/>
      <c r="AG29" s="347">
        <f t="shared" si="1"/>
        <v>0</v>
      </c>
      <c r="AH29" s="341">
        <f t="shared" si="2"/>
        <v>0</v>
      </c>
      <c r="AI29" s="341"/>
      <c r="AJ29" s="356"/>
      <c r="AK29" s="370">
        <f>+$AJ$4</f>
        <v>7.25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0.31648351648351647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439" t="str">
        <f>+G31</f>
        <v>ATENAS-203645</v>
      </c>
      <c r="H30" s="106"/>
      <c r="I30" s="111"/>
      <c r="J30" s="107" t="s">
        <v>20</v>
      </c>
      <c r="K30" s="108" t="s">
        <v>23</v>
      </c>
      <c r="L30" s="100" t="s">
        <v>21</v>
      </c>
      <c r="M30" s="448">
        <v>120</v>
      </c>
      <c r="N30" s="448">
        <v>50</v>
      </c>
      <c r="O30" s="448"/>
      <c r="P30" s="448">
        <v>50</v>
      </c>
      <c r="Q30" s="448">
        <v>50</v>
      </c>
      <c r="R30" s="448"/>
      <c r="S30" s="448"/>
      <c r="T30" s="448"/>
      <c r="U30" s="448"/>
      <c r="V30" s="448"/>
      <c r="W30" s="448"/>
      <c r="X30" s="447">
        <f t="shared" ref="X30" si="17">IF(AQ31="","",SUM(M30:W30)-(-(AQ31-SUM(M30:W30))/$AQ$3)*SUM($M$2:$W$2))</f>
        <v>270</v>
      </c>
      <c r="Y30" s="466"/>
      <c r="Z30" s="533">
        <f>+X32</f>
        <v>-50.75</v>
      </c>
      <c r="AA30" s="447">
        <f t="shared" si="0"/>
        <v>270</v>
      </c>
      <c r="AB30" s="343">
        <f>+AC30+AA30</f>
        <v>2626</v>
      </c>
      <c r="AC30" s="343">
        <v>2356</v>
      </c>
      <c r="AD30" s="344"/>
      <c r="AE30" s="345"/>
      <c r="AF30" s="346"/>
      <c r="AG30" s="347">
        <f t="shared" si="1"/>
        <v>0</v>
      </c>
      <c r="AH30" s="341">
        <f t="shared" si="2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106" t="s">
        <v>434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>
        <v>40</v>
      </c>
      <c r="N31" s="214">
        <v>40</v>
      </c>
      <c r="O31" s="214">
        <v>40</v>
      </c>
      <c r="P31" s="214">
        <v>40</v>
      </c>
      <c r="Q31" s="214">
        <v>40</v>
      </c>
      <c r="R31" s="214">
        <v>40</v>
      </c>
      <c r="S31" s="214">
        <v>40</v>
      </c>
      <c r="T31" s="214">
        <v>10</v>
      </c>
      <c r="U31" s="214"/>
      <c r="V31" s="214"/>
      <c r="W31" s="214"/>
      <c r="X31" s="123">
        <f>+IF(H32="s",0,IF(AA31=0,0,IF(COUNTA(M31:W31)=AK33+0.75,SUMIF($C:$C,B31,$AA:$AA)/AK33,SUMIF($C:$C,B31,$AA:$AA)/(COUNTA(M31:W31)))))</f>
        <v>40</v>
      </c>
      <c r="Y31" s="466"/>
      <c r="Z31" s="534"/>
      <c r="AA31" s="134">
        <f t="shared" si="0"/>
        <v>290</v>
      </c>
      <c r="AB31" s="354">
        <f>+AA31+AC31</f>
        <v>1876</v>
      </c>
      <c r="AC31" s="354">
        <v>1586</v>
      </c>
      <c r="AD31" s="355">
        <f>+AB30-AB31</f>
        <v>750</v>
      </c>
      <c r="AE31" s="131">
        <f>+IF(((AA32+(AA33/2))*60)=0,"",(J31*AA31)/((AA32+(AA33/2))*60))</f>
        <v>0.73159636062861866</v>
      </c>
      <c r="AF31" s="347">
        <f>+AA32+AA33/2</f>
        <v>403</v>
      </c>
      <c r="AG31" s="347">
        <f t="shared" si="1"/>
        <v>403</v>
      </c>
      <c r="AH31" s="341">
        <f t="shared" si="2"/>
        <v>24180</v>
      </c>
      <c r="AI31" s="341">
        <f>+AA31*J31</f>
        <v>17690</v>
      </c>
      <c r="AJ31" s="356">
        <f>+AA31-(AF31*K31/K33)</f>
        <v>-48.232142857142833</v>
      </c>
      <c r="AK31" s="348"/>
      <c r="AL31" s="349"/>
      <c r="AM31" s="341"/>
      <c r="AN31" s="341"/>
      <c r="AO31" s="341"/>
      <c r="AP31" s="341"/>
      <c r="AQ31" s="339">
        <f t="shared" si="8"/>
        <v>11.875</v>
      </c>
      <c r="AR31" s="434">
        <v>1.5</v>
      </c>
      <c r="AT31" s="390">
        <v>770</v>
      </c>
      <c r="AV31" s="390">
        <f t="shared" ref="AV31" si="18">+AT31-AD31</f>
        <v>20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113">
        <f>+IFERROR(IF(K33=0,0,IF((LOOKUP(2,1/(M32:W32&lt;&gt;""),M32:W32)-K33)&lt;0,0,IF(K33=0,"",LOOKUP(2,1/(M32:W32&lt;&gt;""),M32:W32)-K33))),0)</f>
        <v>0</v>
      </c>
      <c r="H32" s="411"/>
      <c r="I32" s="113"/>
      <c r="J32" s="113">
        <v>0</v>
      </c>
      <c r="K32" s="114" t="s">
        <v>22</v>
      </c>
      <c r="L32" s="102" t="s">
        <v>18</v>
      </c>
      <c r="M32" s="448">
        <v>53</v>
      </c>
      <c r="N32" s="448">
        <v>56</v>
      </c>
      <c r="O32" s="448">
        <v>56</v>
      </c>
      <c r="P32" s="448">
        <v>56</v>
      </c>
      <c r="Q32" s="448">
        <v>56</v>
      </c>
      <c r="R32" s="448">
        <v>56</v>
      </c>
      <c r="S32" s="448">
        <v>56</v>
      </c>
      <c r="T32" s="448">
        <v>56</v>
      </c>
      <c r="U32" s="448"/>
      <c r="V32" s="448"/>
      <c r="W32" s="448"/>
      <c r="X32" s="160">
        <f>+IF(H32="l",IF(COUNTA(M31:W31)=AK33+0.75,AA31-K31*AK33,AA31-(K31*COUNTA(M31:W31))),IF(H32="s",0,IF(COUNTA(M31:W31)=AK33+0.75,SUMIF($C:$C,B31,$AA:$AA)-K31*AK33,SUMIF($C:$C,B31,$AA:$AA)-K31*COUNTA(M31:W31))))</f>
        <v>-50.75</v>
      </c>
      <c r="Y32" s="466"/>
      <c r="Z32" s="534"/>
      <c r="AA32" s="462">
        <f t="shared" ref="AA32:AA33" si="19">+SUM(M32:W32)-T32*0.75</f>
        <v>403</v>
      </c>
      <c r="AB32" s="360"/>
      <c r="AC32" s="360"/>
      <c r="AD32" s="362"/>
      <c r="AE32" s="363"/>
      <c r="AF32" s="346"/>
      <c r="AG32" s="347">
        <f t="shared" si="1"/>
        <v>0</v>
      </c>
      <c r="AH32" s="341">
        <f t="shared" si="2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403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444">
        <f>+SUMPRODUCT((M32:W32&lt;&gt;"")*(M32:W32&lt;&gt;0)*(M32:W32-K33))</f>
        <v>-3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44.9</v>
      </c>
      <c r="Z33" s="371">
        <f>+IF(COUNTA(M31:W31)=$AJ$4+0.25,$AJ$4-(AA31/K31),COUNTA(M31:W31)-(AA31/K31))+Y33</f>
        <v>46.729787234042554</v>
      </c>
      <c r="AA33" s="465">
        <f t="shared" si="19"/>
        <v>0</v>
      </c>
      <c r="AB33" s="367"/>
      <c r="AC33" s="367"/>
      <c r="AD33" s="368">
        <f>+IFERROR(AD31/(K31*$AQ$3),"")</f>
        <v>1.8237082066869301</v>
      </c>
      <c r="AE33" s="369"/>
      <c r="AF33" s="347"/>
      <c r="AG33" s="347">
        <f t="shared" si="1"/>
        <v>0</v>
      </c>
      <c r="AH33" s="341">
        <f t="shared" si="2"/>
        <v>0</v>
      </c>
      <c r="AI33" s="341"/>
      <c r="AJ33" s="356"/>
      <c r="AK33" s="370">
        <f>+$AJ$4</f>
        <v>7.25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1.8723404255319149</v>
      </c>
      <c r="AV33" s="390"/>
    </row>
    <row r="34" spans="2:58" s="98" customFormat="1" ht="62.25" customHeight="1" thickTop="1" x14ac:dyDescent="0.9">
      <c r="B34" s="342">
        <f>+B35</f>
        <v>6</v>
      </c>
      <c r="C34" s="405"/>
      <c r="D34" s="106"/>
      <c r="E34" s="106"/>
      <c r="F34" s="106"/>
      <c r="G34" s="439" t="str">
        <f>+G35</f>
        <v>2076-780-803</v>
      </c>
      <c r="H34" s="106"/>
      <c r="I34" s="111"/>
      <c r="J34" s="107" t="s">
        <v>20</v>
      </c>
      <c r="K34" s="108">
        <v>0</v>
      </c>
      <c r="L34" s="100" t="s">
        <v>21</v>
      </c>
      <c r="M34" s="448"/>
      <c r="N34" s="448"/>
      <c r="O34" s="448">
        <v>80</v>
      </c>
      <c r="P34" s="448">
        <v>40</v>
      </c>
      <c r="Q34" s="448">
        <v>80</v>
      </c>
      <c r="R34" s="448"/>
      <c r="S34" s="448">
        <v>80</v>
      </c>
      <c r="T34" s="448"/>
      <c r="U34" s="448"/>
      <c r="V34" s="448"/>
      <c r="W34" s="448"/>
      <c r="X34" s="447">
        <f t="shared" ref="X34" si="20">IF(AQ35="","",SUM(M34:W34)-(-(AQ35-SUM(M34:W34))/$AQ$3)*SUM($M$2:$W$2))</f>
        <v>280</v>
      </c>
      <c r="Y34" s="466"/>
      <c r="Z34" s="533">
        <f>+X36</f>
        <v>-20.5</v>
      </c>
      <c r="AA34" s="447">
        <f t="shared" si="0"/>
        <v>280</v>
      </c>
      <c r="AB34" s="343">
        <f>+AC34+AA34</f>
        <v>3241</v>
      </c>
      <c r="AC34" s="343">
        <v>2961</v>
      </c>
      <c r="AD34" s="344"/>
      <c r="AE34" s="345"/>
      <c r="AF34" s="346"/>
      <c r="AG34" s="347">
        <f t="shared" si="1"/>
        <v>0</v>
      </c>
      <c r="AH34" s="341">
        <f t="shared" si="2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1.35">
      <c r="B35" s="351">
        <v>6</v>
      </c>
      <c r="C35" s="406">
        <f>+B35</f>
        <v>6</v>
      </c>
      <c r="D35" s="407" t="s">
        <v>436</v>
      </c>
      <c r="E35" s="111"/>
      <c r="F35" s="111" t="s">
        <v>35</v>
      </c>
      <c r="G35" s="106" t="s">
        <v>435</v>
      </c>
      <c r="H35" s="111"/>
      <c r="I35" s="111" t="s">
        <v>38</v>
      </c>
      <c r="J35" s="113">
        <v>38.729999999999997</v>
      </c>
      <c r="K35" s="130">
        <v>58</v>
      </c>
      <c r="L35" s="101" t="s">
        <v>17</v>
      </c>
      <c r="M35" s="214">
        <v>50</v>
      </c>
      <c r="N35" s="214">
        <v>58</v>
      </c>
      <c r="O35" s="214">
        <v>58</v>
      </c>
      <c r="P35" s="214">
        <v>58</v>
      </c>
      <c r="Q35" s="214">
        <v>58</v>
      </c>
      <c r="R35" s="214">
        <v>58</v>
      </c>
      <c r="S35" s="214">
        <v>50</v>
      </c>
      <c r="T35" s="214">
        <v>10</v>
      </c>
      <c r="U35" s="214"/>
      <c r="V35" s="214"/>
      <c r="W35" s="214"/>
      <c r="X35" s="123">
        <f>+IF(H36="s",0,IF(AA35=0,0,IF(COUNTA(M35:W35)=AK37+0.75,SUMIF($C:$C,B35,$AA:$AA)/AK37,SUMIF($C:$C,B35,$AA:$AA)/(COUNTA(M35:W35)))))</f>
        <v>55.172413793103445</v>
      </c>
      <c r="Y35" s="466"/>
      <c r="Z35" s="534"/>
      <c r="AA35" s="134">
        <f t="shared" si="0"/>
        <v>400</v>
      </c>
      <c r="AB35" s="354">
        <f>+AA35+AC35</f>
        <v>2754</v>
      </c>
      <c r="AC35" s="354">
        <v>2354</v>
      </c>
      <c r="AD35" s="355">
        <f>+AB34-AB35</f>
        <v>487</v>
      </c>
      <c r="AE35" s="131">
        <f>+IF(((AA36+(AA37/2))*60)=0,"",(J35*AA35)/((AA36+(AA37/2))*60))</f>
        <v>0.83089300080450512</v>
      </c>
      <c r="AF35" s="347">
        <f>+AA36+AA37/2</f>
        <v>310.75</v>
      </c>
      <c r="AG35" s="347">
        <f t="shared" si="1"/>
        <v>310.45</v>
      </c>
      <c r="AH35" s="341">
        <f t="shared" si="2"/>
        <v>18645</v>
      </c>
      <c r="AI35" s="341">
        <f>+AA35*J35</f>
        <v>15491.999999999998</v>
      </c>
      <c r="AJ35" s="356">
        <f>+AA35-(AF35*K35/K37)</f>
        <v>-29.130952380952408</v>
      </c>
      <c r="AK35" s="348"/>
      <c r="AL35" s="349"/>
      <c r="AM35" s="341"/>
      <c r="AN35" s="341"/>
      <c r="AO35" s="341"/>
      <c r="AP35" s="341"/>
      <c r="AQ35" s="339">
        <f t="shared" si="8"/>
        <v>-381.75</v>
      </c>
      <c r="AR35" s="434">
        <v>1.5</v>
      </c>
      <c r="AT35" s="390">
        <v>607</v>
      </c>
      <c r="AV35" s="390">
        <f t="shared" ref="AV35" si="21">+AT35-AD35</f>
        <v>120</v>
      </c>
      <c r="AW35" s="535" t="s">
        <v>473</v>
      </c>
      <c r="AX35" s="535"/>
      <c r="AY35" s="535"/>
      <c r="AZ35" s="535"/>
      <c r="BA35" s="535"/>
      <c r="BB35" s="535"/>
      <c r="BC35" s="535"/>
      <c r="BD35" s="535"/>
      <c r="BE35" s="535"/>
      <c r="BF35" s="535"/>
    </row>
    <row r="36" spans="2:58" s="98" customFormat="1" ht="62.25" customHeight="1" x14ac:dyDescent="0.9">
      <c r="B36" s="357">
        <f>B35</f>
        <v>6</v>
      </c>
      <c r="C36" s="408"/>
      <c r="D36" s="184"/>
      <c r="E36" s="111">
        <f>+B35</f>
        <v>6</v>
      </c>
      <c r="F36" s="409"/>
      <c r="G36" s="113">
        <f>+IFERROR(IF(K37=0,0,IF((LOOKUP(2,1/(M36:W36&lt;&gt;""),M36:W36)-K37)&lt;0,0,IF(K37=0,"",LOOKUP(2,1/(M36:W36&lt;&gt;""),M36:W36)-K37))),0)</f>
        <v>1</v>
      </c>
      <c r="H36" s="411" t="s">
        <v>413</v>
      </c>
      <c r="I36" s="113"/>
      <c r="J36" s="113">
        <v>1</v>
      </c>
      <c r="K36" s="114" t="s">
        <v>22</v>
      </c>
      <c r="L36" s="102" t="s">
        <v>18</v>
      </c>
      <c r="M36" s="448">
        <v>42</v>
      </c>
      <c r="N36" s="448">
        <v>43</v>
      </c>
      <c r="O36" s="448">
        <v>43</v>
      </c>
      <c r="P36" s="448">
        <v>43</v>
      </c>
      <c r="Q36" s="448">
        <v>43</v>
      </c>
      <c r="R36" s="448">
        <v>43</v>
      </c>
      <c r="S36" s="448">
        <v>43</v>
      </c>
      <c r="T36" s="448">
        <v>43</v>
      </c>
      <c r="U36" s="448"/>
      <c r="V36" s="448"/>
      <c r="W36" s="448"/>
      <c r="X36" s="160">
        <f>+IF(H36="l",IF(COUNTA(M35:W35)=AK37+0.75,AA35-K35*AK37,AA35-(K35*COUNTA(M35:W35))),IF(H36="s",0,IF(COUNTA(M35:W35)=AK37+0.75,SUMIF($C:$C,B35,$AA:$AA)-K35*AK37,SUMIF($C:$C,B35,$AA:$AA)-K35*COUNTA(M35:W35))))</f>
        <v>-20.5</v>
      </c>
      <c r="Y36" s="466"/>
      <c r="Z36" s="534"/>
      <c r="AA36" s="462">
        <f t="shared" ref="AA36:AA37" si="22">+SUM(M36:W36)-T36*0.75</f>
        <v>310.75</v>
      </c>
      <c r="AB36" s="360"/>
      <c r="AC36" s="360"/>
      <c r="AD36" s="362"/>
      <c r="AE36" s="363"/>
      <c r="AF36" s="346"/>
      <c r="AG36" s="347">
        <f t="shared" si="1"/>
        <v>0</v>
      </c>
      <c r="AH36" s="341">
        <f t="shared" si="2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310.75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6</v>
      </c>
      <c r="C37" s="410"/>
      <c r="D37" s="174" t="s">
        <v>366</v>
      </c>
      <c r="E37" s="175">
        <f>+E36+100</f>
        <v>106</v>
      </c>
      <c r="F37" s="175"/>
      <c r="G37" s="444">
        <f>+SUMPRODUCT((M36:W36&lt;&gt;"")*(M36:W36&lt;&gt;0)*(M36:W36-K37))</f>
        <v>7</v>
      </c>
      <c r="H37" s="117"/>
      <c r="I37" s="442"/>
      <c r="J37" s="165">
        <f>+IF(K37="","",IF(K35=0,"",(K35*J35)/(K37*60)))</f>
        <v>0.89140476190476181</v>
      </c>
      <c r="K37" s="118">
        <v>42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19.899999999999999</v>
      </c>
      <c r="Z37" s="371">
        <f>+IF(COUNTA(M35:W35)=$AJ$4+0.25,$AJ$4-(AA35/K35),COUNTA(M35:W35)-(AA35/K35))+Y37</f>
        <v>21.00344827586207</v>
      </c>
      <c r="AA37" s="465">
        <f t="shared" si="22"/>
        <v>0</v>
      </c>
      <c r="AB37" s="367"/>
      <c r="AC37" s="367"/>
      <c r="AD37" s="368">
        <f>+IFERROR(AD35/(K35*$AQ$3),"")</f>
        <v>0.95960591133004924</v>
      </c>
      <c r="AE37" s="369"/>
      <c r="AF37" s="347"/>
      <c r="AG37" s="347">
        <f t="shared" si="1"/>
        <v>0</v>
      </c>
      <c r="AH37" s="341">
        <f t="shared" si="2"/>
        <v>0</v>
      </c>
      <c r="AI37" s="341"/>
      <c r="AJ37" s="356"/>
      <c r="AK37" s="370">
        <f>+$AJ$4</f>
        <v>7.25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1.1960591133004925</v>
      </c>
      <c r="AV37" s="390"/>
    </row>
    <row r="38" spans="2:58" s="98" customFormat="1" ht="62.25" customHeight="1" thickTop="1" x14ac:dyDescent="0.9">
      <c r="B38" s="342">
        <f>+B39</f>
        <v>7</v>
      </c>
      <c r="C38" s="405"/>
      <c r="D38" s="106"/>
      <c r="E38" s="106"/>
      <c r="F38" s="106"/>
      <c r="G38" s="439" t="str">
        <f>+G39</f>
        <v>2070-397-802</v>
      </c>
      <c r="H38" s="106"/>
      <c r="I38" s="106"/>
      <c r="J38" s="107" t="s">
        <v>20</v>
      </c>
      <c r="K38" s="108" t="s">
        <v>23</v>
      </c>
      <c r="L38" s="100" t="s">
        <v>21</v>
      </c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48"/>
      <c r="X38" s="447" t="str">
        <f t="shared" ref="X38" si="23">IF(AQ39="","",SUM(M38:W38)-(-(AQ39-SUM(M38:W38))/$AQ$3)*SUM($M$2:$W$2))</f>
        <v/>
      </c>
      <c r="Y38" s="466"/>
      <c r="Z38" s="533">
        <f>+X40</f>
        <v>0</v>
      </c>
      <c r="AA38" s="447">
        <f t="shared" si="0"/>
        <v>0</v>
      </c>
      <c r="AB38" s="343">
        <f>+AC38+AA38</f>
        <v>3511</v>
      </c>
      <c r="AC38" s="343">
        <v>3511</v>
      </c>
      <c r="AD38" s="344"/>
      <c r="AE38" s="345"/>
      <c r="AF38" s="346"/>
      <c r="AG38" s="347">
        <f t="shared" si="1"/>
        <v>0</v>
      </c>
      <c r="AH38" s="341">
        <f t="shared" si="2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1.35">
      <c r="B39" s="351">
        <v>7</v>
      </c>
      <c r="C39" s="406">
        <f>+B39</f>
        <v>7</v>
      </c>
      <c r="D39" s="407" t="s">
        <v>425</v>
      </c>
      <c r="E39" s="111"/>
      <c r="F39" s="111" t="s">
        <v>35</v>
      </c>
      <c r="G39" s="106" t="s">
        <v>426</v>
      </c>
      <c r="H39" s="111"/>
      <c r="I39" s="111" t="s">
        <v>38</v>
      </c>
      <c r="J39" s="113">
        <v>39.299999999999997</v>
      </c>
      <c r="K39" s="130">
        <v>60</v>
      </c>
      <c r="L39" s="101" t="s">
        <v>17</v>
      </c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123">
        <f>+IF(H40="s",0,IF(AA39=0,0,IF(COUNTA(M39:W39)=AK41+0.75,SUMIF($C:$C,B39,$AA:$AA)/AK41,SUMIF($C:$C,B39,$AA:$AA)/(COUNTA(M39:W39)))))</f>
        <v>0</v>
      </c>
      <c r="Y39" s="466"/>
      <c r="Z39" s="534"/>
      <c r="AA39" s="134">
        <f t="shared" si="0"/>
        <v>0</v>
      </c>
      <c r="AB39" s="354">
        <f>+AA39+AC39</f>
        <v>3502</v>
      </c>
      <c r="AC39" s="354">
        <v>3502</v>
      </c>
      <c r="AD39" s="355">
        <f>+AB38-AB39</f>
        <v>9</v>
      </c>
      <c r="AE39" s="131" t="str">
        <f>+IF(((AA40+(AA41/2))*60)=0,"",(J39*AA39)/((AA40+(AA41/2))*60))</f>
        <v/>
      </c>
      <c r="AF39" s="347">
        <f>+AA40+AA41/2</f>
        <v>0</v>
      </c>
      <c r="AG39" s="347">
        <f t="shared" si="1"/>
        <v>0</v>
      </c>
      <c r="AH39" s="341">
        <f t="shared" si="2"/>
        <v>0</v>
      </c>
      <c r="AI39" s="341">
        <f>+AA39*J39</f>
        <v>0</v>
      </c>
      <c r="AJ39" s="356">
        <f>+AA39-(AF39*K39/K41)</f>
        <v>0</v>
      </c>
      <c r="AK39" s="348"/>
      <c r="AL39" s="349"/>
      <c r="AM39" s="341"/>
      <c r="AN39" s="341"/>
      <c r="AO39" s="341"/>
      <c r="AP39" s="341"/>
      <c r="AQ39" s="339" t="str">
        <f t="shared" si="8"/>
        <v/>
      </c>
      <c r="AR39" s="434"/>
      <c r="AT39" s="390">
        <v>9</v>
      </c>
      <c r="AV39" s="390">
        <f t="shared" ref="AV39" si="24">+AT39-AD39</f>
        <v>0</v>
      </c>
      <c r="AW39" s="535"/>
      <c r="AX39" s="535"/>
      <c r="AY39" s="535"/>
      <c r="AZ39" s="535"/>
      <c r="BA39" s="535"/>
      <c r="BB39" s="535"/>
      <c r="BC39" s="535"/>
      <c r="BD39" s="535"/>
      <c r="BE39" s="535"/>
      <c r="BF39" s="535"/>
    </row>
    <row r="40" spans="2:58" s="98" customFormat="1" ht="62.25" customHeight="1" x14ac:dyDescent="0.9">
      <c r="B40" s="357">
        <f>B39</f>
        <v>7</v>
      </c>
      <c r="C40" s="408"/>
      <c r="D40" s="184"/>
      <c r="E40" s="111">
        <f>+B39</f>
        <v>7</v>
      </c>
      <c r="F40" s="409"/>
      <c r="G40" s="113">
        <f>+IFERROR(IF(K41=0,0,IF((LOOKUP(2,1/(M40:W40&lt;&gt;""),M40:W40)-K41)&lt;0,0,IF(K41=0,"",LOOKUP(2,1/(M40:W40&lt;&gt;""),M40:W40)-K41))),0)</f>
        <v>0</v>
      </c>
      <c r="H40" s="411" t="s">
        <v>414</v>
      </c>
      <c r="I40" s="113"/>
      <c r="J40" s="113">
        <v>0</v>
      </c>
      <c r="K40" s="114" t="s">
        <v>22</v>
      </c>
      <c r="L40" s="102" t="s">
        <v>18</v>
      </c>
      <c r="M40" s="448"/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160">
        <f>+IF(H40="l",IF(COUNTA(M39:W39)=AK41+0.75,AA39-K39*AK41,AA39-(K39*COUNTA(M39:W39))),IF(H40="s",0,IF(COUNTA(M39:W39)=AK41+0.75,SUMIF($C:$C,B39,$AA:$AA)-K39*AK41,SUMIF($C:$C,B39,$AA:$AA)-K39*COUNTA(M39:W39))))</f>
        <v>0</v>
      </c>
      <c r="Y40" s="466"/>
      <c r="Z40" s="534"/>
      <c r="AA40" s="462">
        <f t="shared" ref="AA40:AA41" si="25">+SUM(M40:W40)-T40*0.75</f>
        <v>0</v>
      </c>
      <c r="AB40" s="360"/>
      <c r="AC40" s="360"/>
      <c r="AD40" s="362"/>
      <c r="AE40" s="363"/>
      <c r="AF40" s="346"/>
      <c r="AG40" s="347">
        <f t="shared" si="1"/>
        <v>0</v>
      </c>
      <c r="AH40" s="341">
        <f t="shared" si="2"/>
        <v>0</v>
      </c>
      <c r="AI40" s="341"/>
      <c r="AJ40" s="341"/>
      <c r="AK40" s="348"/>
      <c r="AL40" s="349">
        <f>+IF(AK41=7.75,SUM(M40:S40)+T40*0.75,IF(AK41=8,SUM(M40:T40),IF(AK41=7.25,SUM(M40:S40)+T40*0.25,IF(AK41=8.25,SUM(M40:T40)+U40*0.25,IF(AK41=8.75,SUM(M40:T40)+U40*0.75,0)))))</f>
        <v>0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72">
        <f>B39</f>
        <v>7</v>
      </c>
      <c r="C41" s="410"/>
      <c r="D41" s="174" t="s">
        <v>93</v>
      </c>
      <c r="E41" s="175">
        <f>+E40+100</f>
        <v>107</v>
      </c>
      <c r="F41" s="175"/>
      <c r="G41" s="444">
        <f>+SUMPRODUCT((M40:W40&lt;&gt;"")*(M40:W40&lt;&gt;0)*(M40:W40-K41))</f>
        <v>0</v>
      </c>
      <c r="H41" s="117"/>
      <c r="I41" s="442"/>
      <c r="J41" s="165">
        <f>+IF(K41="","",IF(K39=0,"",(K39*J39)/(K41*60)))</f>
        <v>0.93571428571428572</v>
      </c>
      <c r="K41" s="118">
        <v>42</v>
      </c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/>
      <c r="Z41" s="371">
        <f>+IF(COUNTA(M39:W39)=$AJ$4+0.25,$AJ$4-(AA39/K39),COUNTA(M39:W39)-(AA39/K39))+Y41</f>
        <v>0</v>
      </c>
      <c r="AA41" s="465">
        <f t="shared" si="25"/>
        <v>0</v>
      </c>
      <c r="AB41" s="367"/>
      <c r="AC41" s="367"/>
      <c r="AD41" s="368">
        <f>+IFERROR(AD39/(K39*$AQ$3),"")</f>
        <v>1.7142857142857144E-2</v>
      </c>
      <c r="AE41" s="369"/>
      <c r="AF41" s="347"/>
      <c r="AG41" s="347">
        <f t="shared" si="1"/>
        <v>0</v>
      </c>
      <c r="AH41" s="341">
        <f t="shared" si="2"/>
        <v>0</v>
      </c>
      <c r="AI41" s="341"/>
      <c r="AJ41" s="356"/>
      <c r="AK41" s="370">
        <f>+$AJ$4</f>
        <v>7.25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1.7142857142857144E-2</v>
      </c>
      <c r="AV41" s="390"/>
    </row>
    <row r="42" spans="2:58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439" t="str">
        <f>+G43</f>
        <v>2076-780-803</v>
      </c>
      <c r="H42" s="106"/>
      <c r="I42" s="106"/>
      <c r="J42" s="107" t="s">
        <v>20</v>
      </c>
      <c r="K42" s="108" t="s">
        <v>23</v>
      </c>
      <c r="L42" s="100" t="s">
        <v>21</v>
      </c>
      <c r="M42" s="448">
        <v>40</v>
      </c>
      <c r="N42" s="448">
        <v>40</v>
      </c>
      <c r="O42" s="448">
        <v>40</v>
      </c>
      <c r="P42" s="448">
        <v>40</v>
      </c>
      <c r="Q42" s="448">
        <v>80</v>
      </c>
      <c r="R42" s="448"/>
      <c r="S42" s="448"/>
      <c r="T42" s="448"/>
      <c r="U42" s="448"/>
      <c r="V42" s="448"/>
      <c r="W42" s="448"/>
      <c r="X42" s="447">
        <f t="shared" ref="X42" si="26">IF(AQ43="","",SUM(M42:W42)-(-(AQ43-SUM(M42:W42))/$AQ$3)*SUM($M$2:$W$2))</f>
        <v>240</v>
      </c>
      <c r="Y42" s="466"/>
      <c r="Z42" s="533">
        <f>+X44</f>
        <v>-45.5</v>
      </c>
      <c r="AA42" s="447">
        <f t="shared" si="0"/>
        <v>240</v>
      </c>
      <c r="AB42" s="343">
        <f>+AC42+AA42</f>
        <v>2961</v>
      </c>
      <c r="AC42" s="343">
        <v>2721</v>
      </c>
      <c r="AD42" s="344"/>
      <c r="AE42" s="345"/>
      <c r="AF42" s="346"/>
      <c r="AG42" s="347">
        <f t="shared" si="1"/>
        <v>0</v>
      </c>
      <c r="AH42" s="341">
        <f t="shared" si="2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7</v>
      </c>
      <c r="C43" s="406">
        <f>+B43</f>
        <v>7</v>
      </c>
      <c r="D43" s="407" t="s">
        <v>436</v>
      </c>
      <c r="E43" s="111"/>
      <c r="F43" s="111" t="s">
        <v>35</v>
      </c>
      <c r="G43" s="106" t="s">
        <v>435</v>
      </c>
      <c r="H43" s="111"/>
      <c r="I43" s="111" t="s">
        <v>38</v>
      </c>
      <c r="J43" s="113">
        <v>38.729999999999997</v>
      </c>
      <c r="K43" s="130">
        <v>58</v>
      </c>
      <c r="L43" s="101" t="s">
        <v>17</v>
      </c>
      <c r="M43" s="214">
        <v>58</v>
      </c>
      <c r="N43" s="214">
        <v>58</v>
      </c>
      <c r="O43" s="214">
        <v>58</v>
      </c>
      <c r="P43" s="214">
        <v>50</v>
      </c>
      <c r="Q43" s="214">
        <v>58</v>
      </c>
      <c r="R43" s="214">
        <v>58</v>
      </c>
      <c r="S43" s="214">
        <v>20</v>
      </c>
      <c r="T43" s="214">
        <v>15</v>
      </c>
      <c r="U43" s="214"/>
      <c r="V43" s="214"/>
      <c r="W43" s="214"/>
      <c r="X43" s="123">
        <f>+IF(H44="s",0,IF(AA43=0,0,IF(COUNTA(M43:W43)=AK45+0.75,SUMIF($C:$C,B43,$AA:$AA)/AK45,SUMIF($C:$C,B43,$AA:$AA)/(COUNTA(M43:W43)))))</f>
        <v>51.724137931034484</v>
      </c>
      <c r="Y43" s="466"/>
      <c r="Z43" s="534"/>
      <c r="AA43" s="134">
        <f t="shared" si="0"/>
        <v>375</v>
      </c>
      <c r="AB43" s="354">
        <f>+AA43+AC43</f>
        <v>2303</v>
      </c>
      <c r="AC43" s="354">
        <v>1928</v>
      </c>
      <c r="AD43" s="355">
        <f>+AB42-AB43</f>
        <v>658</v>
      </c>
      <c r="AE43" s="131">
        <f>+IF(((AA44+(AA45/2))*60)=0,"",(J43*AA43)/((AA44+(AA45/2))*60))</f>
        <v>0.78559837728194715</v>
      </c>
      <c r="AF43" s="347">
        <f>+AA44+AA45/2</f>
        <v>308.125</v>
      </c>
      <c r="AG43" s="347">
        <f t="shared" si="1"/>
        <v>308.07499999999999</v>
      </c>
      <c r="AH43" s="341">
        <f t="shared" si="2"/>
        <v>18487.5</v>
      </c>
      <c r="AI43" s="341">
        <f>+AA43*J43</f>
        <v>14523.749999999998</v>
      </c>
      <c r="AJ43" s="356">
        <f>+AA43-(AF43*K43/K45)</f>
        <v>-50.505952380952408</v>
      </c>
      <c r="AK43" s="348"/>
      <c r="AL43" s="349"/>
      <c r="AM43" s="341"/>
      <c r="AN43" s="341"/>
      <c r="AO43" s="341"/>
      <c r="AP43" s="341"/>
      <c r="AQ43" s="339">
        <f t="shared" si="8"/>
        <v>-235.75</v>
      </c>
      <c r="AR43" s="434">
        <v>1.5</v>
      </c>
      <c r="AT43" s="390">
        <v>793</v>
      </c>
      <c r="AV43" s="390">
        <f t="shared" ref="AV43" si="27">+AT43-AD43</f>
        <v>135</v>
      </c>
      <c r="AW43" s="535" t="s">
        <v>473</v>
      </c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113">
        <f>+IFERROR(IF(K45=0,0,IF((LOOKUP(2,1/(M44:W44&lt;&gt;""),M44:W44)-K45)&lt;0,0,IF(K45=0,"",LOOKUP(2,1/(M44:W44&lt;&gt;""),M44:W44)-K45))),0)</f>
        <v>0</v>
      </c>
      <c r="H44" s="411" t="s">
        <v>413</v>
      </c>
      <c r="I44" s="113"/>
      <c r="J44" s="113">
        <v>1</v>
      </c>
      <c r="K44" s="114" t="s">
        <v>22</v>
      </c>
      <c r="L44" s="102" t="s">
        <v>18</v>
      </c>
      <c r="M44" s="448">
        <v>42</v>
      </c>
      <c r="N44" s="448">
        <v>42</v>
      </c>
      <c r="O44" s="448">
        <v>42</v>
      </c>
      <c r="P44" s="448">
        <v>42</v>
      </c>
      <c r="Q44" s="448">
        <v>42</v>
      </c>
      <c r="R44" s="448">
        <v>42</v>
      </c>
      <c r="S44" s="448">
        <v>42</v>
      </c>
      <c r="T44" s="448">
        <v>42</v>
      </c>
      <c r="U44" s="448"/>
      <c r="V44" s="448"/>
      <c r="W44" s="448"/>
      <c r="X44" s="160">
        <f>+IF(H44="l",IF(COUNTA(M43:W43)=AK45+0.75,AA43-K43*AK45,AA43-(K43*COUNTA(M43:W43))),IF(H44="s",0,IF(COUNTA(M43:W43)=AK45+0.75,SUMIF($C:$C,B43,$AA:$AA)-K43*AK45,SUMIF($C:$C,B43,$AA:$AA)-K43*COUNTA(M43:W43))))</f>
        <v>-45.5</v>
      </c>
      <c r="Y44" s="466"/>
      <c r="Z44" s="534"/>
      <c r="AA44" s="462">
        <f t="shared" ref="AA44:AA45" si="28">+SUM(M44:W44)-T44*0.75</f>
        <v>304.5</v>
      </c>
      <c r="AB44" s="360"/>
      <c r="AC44" s="360"/>
      <c r="AD44" s="362"/>
      <c r="AE44" s="363"/>
      <c r="AF44" s="346"/>
      <c r="AG44" s="347">
        <f t="shared" si="1"/>
        <v>0</v>
      </c>
      <c r="AH44" s="341">
        <f t="shared" si="2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304.5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444">
        <f>+SUMPRODUCT((M44:W44&lt;&gt;"")*(M44:W44&lt;&gt;0)*(M44:W44-K45))</f>
        <v>0</v>
      </c>
      <c r="H45" s="117"/>
      <c r="I45" s="442"/>
      <c r="J45" s="165">
        <f>+IF(K45="","",IF(K43=0,"",(K43*J43)/(K45*60)))</f>
        <v>0.89140476190476181</v>
      </c>
      <c r="K45" s="118">
        <v>42</v>
      </c>
      <c r="L45" s="104" t="s">
        <v>19</v>
      </c>
      <c r="M45" s="216">
        <v>1</v>
      </c>
      <c r="N45" s="216">
        <v>1</v>
      </c>
      <c r="O45" s="216">
        <v>1</v>
      </c>
      <c r="P45" s="216">
        <v>1</v>
      </c>
      <c r="Q45" s="216">
        <v>1</v>
      </c>
      <c r="R45" s="216">
        <v>1</v>
      </c>
      <c r="S45" s="216">
        <v>1</v>
      </c>
      <c r="T45" s="216">
        <v>1</v>
      </c>
      <c r="U45" s="216"/>
      <c r="V45" s="216"/>
      <c r="W45" s="216"/>
      <c r="X45" s="173"/>
      <c r="Y45" s="467">
        <v>24.59</v>
      </c>
      <c r="Z45" s="371">
        <f>+IF(COUNTA(M43:W43)=$AJ$4+0.25,$AJ$4-(AA43/K43),COUNTA(M43:W43)-(AA43/K43))+Y45</f>
        <v>26.12448275862069</v>
      </c>
      <c r="AA45" s="465">
        <f t="shared" si="28"/>
        <v>7.25</v>
      </c>
      <c r="AB45" s="367"/>
      <c r="AC45" s="367"/>
      <c r="AD45" s="368">
        <f>+IFERROR(AD43/(K43*$AQ$3),"")</f>
        <v>1.296551724137931</v>
      </c>
      <c r="AE45" s="369"/>
      <c r="AF45" s="347"/>
      <c r="AG45" s="347">
        <f t="shared" si="1"/>
        <v>0</v>
      </c>
      <c r="AH45" s="341">
        <f t="shared" si="2"/>
        <v>0</v>
      </c>
      <c r="AI45" s="341"/>
      <c r="AJ45" s="356"/>
      <c r="AK45" s="370">
        <f>+$AJ$4</f>
        <v>7.25</v>
      </c>
      <c r="AL45" s="349">
        <f>+IF(AK45=7.75,SUM(M45:S45)+T45*0.75,IF(AK45=8,SUM(M45:T45),IF(AK45=7.25,SUM(M45:S45)+T45*0.25,IF(AK45=8.25,SUM(M45:T45)+U45*0.25,IF(AK45=8.75,SUM(M45:T45)+U45*0.75,0)))))</f>
        <v>7.25</v>
      </c>
      <c r="AM45" s="341">
        <f>+AL45-AA45</f>
        <v>0</v>
      </c>
      <c r="AN45" s="341"/>
      <c r="AO45" s="341"/>
      <c r="AP45" s="341"/>
      <c r="AQ45" s="369"/>
      <c r="AR45" s="434"/>
      <c r="AT45" s="390">
        <v>1.5625615763546798</v>
      </c>
      <c r="AV45" s="390"/>
    </row>
    <row r="46" spans="2:58" s="98" customFormat="1" ht="62.25" customHeight="1" thickTop="1" x14ac:dyDescent="0.9">
      <c r="B46" s="342">
        <f>+B47</f>
        <v>8</v>
      </c>
      <c r="C46" s="405"/>
      <c r="D46" s="106"/>
      <c r="E46" s="106"/>
      <c r="F46" s="106"/>
      <c r="G46" s="439" t="str">
        <f>+G47</f>
        <v>2158-755-712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60</v>
      </c>
      <c r="N46" s="448">
        <v>60</v>
      </c>
      <c r="O46" s="448"/>
      <c r="P46" s="448">
        <v>60</v>
      </c>
      <c r="Q46" s="448">
        <v>60</v>
      </c>
      <c r="R46" s="448"/>
      <c r="S46" s="448"/>
      <c r="T46" s="448"/>
      <c r="U46" s="448"/>
      <c r="V46" s="448"/>
      <c r="W46" s="448"/>
      <c r="X46" s="447">
        <f t="shared" ref="X46" si="29">IF(AQ47="","",SUM(M46:W46)-(-(AQ47-SUM(M46:W46))/$AQ$3)*SUM($M$2:$W$2))</f>
        <v>240</v>
      </c>
      <c r="Y46" s="466"/>
      <c r="Z46" s="533">
        <f>+X48</f>
        <v>-15</v>
      </c>
      <c r="AA46" s="447">
        <f t="shared" si="0"/>
        <v>240</v>
      </c>
      <c r="AB46" s="343">
        <f>+AC46+AA46</f>
        <v>1741</v>
      </c>
      <c r="AC46" s="343">
        <v>1501</v>
      </c>
      <c r="AD46" s="344"/>
      <c r="AE46" s="345"/>
      <c r="AF46" s="346"/>
      <c r="AG46" s="347">
        <f t="shared" si="1"/>
        <v>0</v>
      </c>
      <c r="AH46" s="341">
        <f t="shared" si="2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0.9">
      <c r="B47" s="351">
        <v>8</v>
      </c>
      <c r="C47" s="406">
        <f>+B47</f>
        <v>8</v>
      </c>
      <c r="D47" s="407" t="s">
        <v>431</v>
      </c>
      <c r="E47" s="111"/>
      <c r="F47" s="111" t="s">
        <v>35</v>
      </c>
      <c r="G47" s="106" t="s">
        <v>432</v>
      </c>
      <c r="H47" s="111"/>
      <c r="I47" s="111" t="s">
        <v>33</v>
      </c>
      <c r="J47" s="113">
        <v>51.42</v>
      </c>
      <c r="K47" s="130">
        <v>52</v>
      </c>
      <c r="L47" s="101" t="s">
        <v>17</v>
      </c>
      <c r="M47" s="214">
        <v>50</v>
      </c>
      <c r="N47" s="214">
        <v>50</v>
      </c>
      <c r="O47" s="214">
        <v>50</v>
      </c>
      <c r="P47" s="214">
        <v>50</v>
      </c>
      <c r="Q47" s="214">
        <v>50</v>
      </c>
      <c r="R47" s="214">
        <v>50</v>
      </c>
      <c r="S47" s="214">
        <v>50</v>
      </c>
      <c r="T47" s="214">
        <v>12</v>
      </c>
      <c r="U47" s="214"/>
      <c r="V47" s="214"/>
      <c r="W47" s="214"/>
      <c r="X47" s="123">
        <f>+IF(H48="s",0,IF(AA47=0,0,IF(COUNTA(M47:W47)=AK49+0.75,SUMIF($C:$C,B47,$AA:$AA)/AK49,SUMIF($C:$C,B47,$AA:$AA)/(COUNTA(M47:W47)))))</f>
        <v>49.931034482758619</v>
      </c>
      <c r="Y47" s="466"/>
      <c r="Z47" s="534"/>
      <c r="AA47" s="134">
        <f t="shared" si="0"/>
        <v>362</v>
      </c>
      <c r="AB47" s="354">
        <f>+AA47+AC47</f>
        <v>934</v>
      </c>
      <c r="AC47" s="354">
        <v>572</v>
      </c>
      <c r="AD47" s="355">
        <f>+AB46-AB47</f>
        <v>807</v>
      </c>
      <c r="AE47" s="131">
        <f>+IF(((AA48+(AA49/2))*60)=0,"",(J47*AA47)/((AA48+(AA49/2))*60))</f>
        <v>0.84131254237288144</v>
      </c>
      <c r="AF47" s="347">
        <f>+AA48+AA49/2</f>
        <v>368.75</v>
      </c>
      <c r="AG47" s="347">
        <f t="shared" si="1"/>
        <v>368.45</v>
      </c>
      <c r="AH47" s="341">
        <f t="shared" si="2"/>
        <v>22125</v>
      </c>
      <c r="AI47" s="341">
        <f>+AA47*J47</f>
        <v>18614.04</v>
      </c>
      <c r="AJ47" s="356">
        <f>+AA47-(AF47*K47/K49)</f>
        <v>-13.980392156862763</v>
      </c>
      <c r="AK47" s="348"/>
      <c r="AL47" s="349"/>
      <c r="AM47" s="341"/>
      <c r="AN47" s="341"/>
      <c r="AO47" s="341"/>
      <c r="AP47" s="341"/>
      <c r="AQ47" s="339">
        <f t="shared" si="8"/>
        <v>31.5</v>
      </c>
      <c r="AR47" s="434">
        <v>1.5</v>
      </c>
      <c r="AT47" s="390">
        <v>929</v>
      </c>
      <c r="AV47" s="390">
        <f t="shared" ref="AV47" si="30">+AT47-AD47</f>
        <v>122</v>
      </c>
    </row>
    <row r="48" spans="2:58" s="98" customFormat="1" ht="62.25" customHeight="1" x14ac:dyDescent="0.9">
      <c r="B48" s="357">
        <f>+B47</f>
        <v>8</v>
      </c>
      <c r="C48" s="408"/>
      <c r="D48" s="184"/>
      <c r="E48" s="111">
        <f>+B47</f>
        <v>8</v>
      </c>
      <c r="F48" s="409"/>
      <c r="G48" s="113">
        <f>+IFERROR(IF(K49=0,0,IF((LOOKUP(2,1/(M48:W48&lt;&gt;""),M48:W48)-K49)&lt;0,0,IF(K49=0,"",LOOKUP(2,1/(M48:W48&lt;&gt;""),M48:W48)-K49))),0)</f>
        <v>0</v>
      </c>
      <c r="H48" s="411" t="s">
        <v>412</v>
      </c>
      <c r="I48" s="113"/>
      <c r="J48" s="113">
        <v>1</v>
      </c>
      <c r="K48" s="114" t="s">
        <v>22</v>
      </c>
      <c r="L48" s="102" t="s">
        <v>18</v>
      </c>
      <c r="M48" s="448">
        <v>50</v>
      </c>
      <c r="N48" s="448">
        <v>51</v>
      </c>
      <c r="O48" s="448">
        <v>51</v>
      </c>
      <c r="P48" s="448">
        <v>51</v>
      </c>
      <c r="Q48" s="448">
        <v>51</v>
      </c>
      <c r="R48" s="448">
        <v>51</v>
      </c>
      <c r="S48" s="448">
        <v>51</v>
      </c>
      <c r="T48" s="448">
        <v>51</v>
      </c>
      <c r="U48" s="448"/>
      <c r="V48" s="448"/>
      <c r="W48" s="448"/>
      <c r="X48" s="160">
        <f>+IF(H48="l",IF(COUNTA(M47:W47)=AK49+0.75,AA47-K47*AK49,AA47-(K47*COUNTA(M47:W47))),IF(H48="s",0,IF(COUNTA(M47:W47)=AK49+0.75,SUMIF($C:$C,B47,$AA:$AA)-K47*AK49,SUMIF($C:$C,B47,$AA:$AA)-K47*COUNTA(M47:W47))))</f>
        <v>-15</v>
      </c>
      <c r="Y48" s="466"/>
      <c r="Z48" s="534"/>
      <c r="AA48" s="462">
        <f t="shared" ref="AA48:AA49" si="31">+SUM(M48:W48)-T48*0.75</f>
        <v>368.75</v>
      </c>
      <c r="AB48" s="360"/>
      <c r="AC48" s="360"/>
      <c r="AD48" s="362"/>
      <c r="AE48" s="363"/>
      <c r="AF48" s="346"/>
      <c r="AG48" s="347">
        <f t="shared" si="1"/>
        <v>0</v>
      </c>
      <c r="AH48" s="341">
        <f t="shared" si="2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368.75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64">
        <f>+B47</f>
        <v>8</v>
      </c>
      <c r="C49" s="410"/>
      <c r="D49" s="174" t="s">
        <v>373</v>
      </c>
      <c r="E49" s="175">
        <f>+E48+100</f>
        <v>108</v>
      </c>
      <c r="F49" s="175"/>
      <c r="G49" s="444">
        <f>+SUMPRODUCT((M48:W48&lt;&gt;"")*(M48:W48&lt;&gt;0)*(M48:W48-K49))</f>
        <v>-1</v>
      </c>
      <c r="H49" s="117"/>
      <c r="I49" s="442"/>
      <c r="J49" s="165">
        <f>+IF(K49="","",IF(K47=0,"",(K47*J47)/(K49*60)))</f>
        <v>0.87380392156862752</v>
      </c>
      <c r="K49" s="118">
        <v>51</v>
      </c>
      <c r="L49" s="104" t="s">
        <v>422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10.92</v>
      </c>
      <c r="Z49" s="371">
        <f>+IF(COUNTA(M47:W47)=$AJ$4+0.25,$AJ$4-(AA47/K47),COUNTA(M47:W47)-(AA47/K47))+Y49</f>
        <v>11.958461538461538</v>
      </c>
      <c r="AA49" s="465">
        <f t="shared" si="31"/>
        <v>0</v>
      </c>
      <c r="AB49" s="367"/>
      <c r="AC49" s="367"/>
      <c r="AD49" s="368">
        <f>+IFERROR(AD47/(K47*$AQ$3),"")</f>
        <v>1.7736263736263735</v>
      </c>
      <c r="AE49" s="369"/>
      <c r="AF49" s="347"/>
      <c r="AG49" s="347">
        <f t="shared" si="1"/>
        <v>0</v>
      </c>
      <c r="AH49" s="341">
        <f t="shared" si="2"/>
        <v>0</v>
      </c>
      <c r="AI49" s="341"/>
      <c r="AJ49" s="356"/>
      <c r="AK49" s="370">
        <f>+$AJ$4</f>
        <v>7.25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2.0417582417582416</v>
      </c>
      <c r="AV49" s="390"/>
    </row>
    <row r="50" spans="2:58" s="98" customFormat="1" ht="62.25" customHeight="1" thickTop="1" x14ac:dyDescent="0.9">
      <c r="B50" s="342">
        <f>+B51</f>
        <v>11</v>
      </c>
      <c r="C50" s="405"/>
      <c r="D50" s="106"/>
      <c r="E50" s="106"/>
      <c r="F50" s="106"/>
      <c r="G50" s="439" t="str">
        <f>+G51</f>
        <v>2070-397-802</v>
      </c>
      <c r="H50" s="106"/>
      <c r="I50" s="106"/>
      <c r="J50" s="107" t="s">
        <v>20</v>
      </c>
      <c r="K50" s="108" t="s">
        <v>23</v>
      </c>
      <c r="L50" s="100" t="s">
        <v>21</v>
      </c>
      <c r="M50" s="448"/>
      <c r="N50" s="448"/>
      <c r="O50" s="448"/>
      <c r="P50" s="448"/>
      <c r="Q50" s="448"/>
      <c r="R50" s="448"/>
      <c r="S50" s="448"/>
      <c r="T50" s="448"/>
      <c r="U50" s="448"/>
      <c r="V50" s="448"/>
      <c r="W50" s="448"/>
      <c r="X50" s="447" t="str">
        <f t="shared" ref="X50" si="32">IF(AQ51="","",SUM(M50:W50)-(-(AQ51-SUM(M50:W50))/$AQ$3)*SUM($M$2:$W$2))</f>
        <v/>
      </c>
      <c r="Y50" s="466"/>
      <c r="Z50" s="533">
        <f>+X52</f>
        <v>0</v>
      </c>
      <c r="AA50" s="447">
        <f t="shared" si="0"/>
        <v>0</v>
      </c>
      <c r="AB50" s="343">
        <f>+AC50+AA50</f>
        <v>3601</v>
      </c>
      <c r="AC50" s="343">
        <v>3601</v>
      </c>
      <c r="AD50" s="344"/>
      <c r="AE50" s="345"/>
      <c r="AF50" s="346"/>
      <c r="AG50" s="347">
        <f t="shared" si="1"/>
        <v>0</v>
      </c>
      <c r="AH50" s="341">
        <f t="shared" si="2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11</v>
      </c>
      <c r="C51" s="406">
        <f>+B51</f>
        <v>11</v>
      </c>
      <c r="D51" s="407" t="s">
        <v>425</v>
      </c>
      <c r="E51" s="111"/>
      <c r="F51" s="111" t="s">
        <v>35</v>
      </c>
      <c r="G51" s="106" t="s">
        <v>426</v>
      </c>
      <c r="H51" s="111"/>
      <c r="I51" s="111" t="s">
        <v>38</v>
      </c>
      <c r="J51" s="113">
        <v>39.299999999999997</v>
      </c>
      <c r="K51" s="130">
        <v>60</v>
      </c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123">
        <f>+IF(H52="s",0,IF(AA51=0,0,IF(COUNTA(M51:W51)=AK53+0.75,SUMIF($C:$C,B51,$AA:$AA)/AK53,SUMIF($C:$C,B51,$AA:$AA)/(COUNTA(M51:W51)))))</f>
        <v>0</v>
      </c>
      <c r="Y51" s="466"/>
      <c r="Z51" s="534"/>
      <c r="AA51" s="134">
        <f t="shared" si="0"/>
        <v>0</v>
      </c>
      <c r="AB51" s="354">
        <f>+AA51+AC51</f>
        <v>3595</v>
      </c>
      <c r="AC51" s="354">
        <v>3595</v>
      </c>
      <c r="AD51" s="355">
        <f>+AB50-AB51</f>
        <v>6</v>
      </c>
      <c r="AE51" s="131" t="str">
        <f>+IF(((AA52+(AA53/2))*60)=0,"",(J51*AA51)/((AA52+(AA53/2))*60))</f>
        <v/>
      </c>
      <c r="AF51" s="347">
        <f>+AA52+AA53/2</f>
        <v>0</v>
      </c>
      <c r="AG51" s="347">
        <f t="shared" si="1"/>
        <v>0</v>
      </c>
      <c r="AH51" s="341">
        <f t="shared" si="2"/>
        <v>0</v>
      </c>
      <c r="AI51" s="341">
        <f>+AA51*J51</f>
        <v>0</v>
      </c>
      <c r="AJ51" s="356">
        <f>+AA51-(AF51*K51/K53)</f>
        <v>0</v>
      </c>
      <c r="AK51" s="348"/>
      <c r="AL51" s="349"/>
      <c r="AM51" s="341"/>
      <c r="AN51" s="341"/>
      <c r="AO51" s="341"/>
      <c r="AP51" s="341"/>
      <c r="AQ51" s="339" t="str">
        <f t="shared" si="8"/>
        <v/>
      </c>
      <c r="AR51" s="434"/>
      <c r="AT51" s="390">
        <v>6</v>
      </c>
      <c r="AV51" s="390">
        <f t="shared" ref="AV51" si="33">+AT51-AD51</f>
        <v>0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+B51</f>
        <v>11</v>
      </c>
      <c r="C52" s="408"/>
      <c r="D52" s="184"/>
      <c r="E52" s="111">
        <f>+B51</f>
        <v>11</v>
      </c>
      <c r="F52" s="412"/>
      <c r="G52" s="113">
        <f>+IFERROR(IF(K53=0,0,IF((LOOKUP(2,1/(M52:W52&lt;&gt;""),M52:W52)-K53)&lt;0,0,IF(K53=0,"",LOOKUP(2,1/(M52:W52&lt;&gt;""),M52:W52)-K53))),0)</f>
        <v>0</v>
      </c>
      <c r="H52" s="411" t="s">
        <v>414</v>
      </c>
      <c r="I52" s="113"/>
      <c r="J52" s="113"/>
      <c r="K52" s="114" t="s">
        <v>22</v>
      </c>
      <c r="L52" s="102" t="s">
        <v>18</v>
      </c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48"/>
      <c r="X52" s="160">
        <f>+IF(H52="l",IF(COUNTA(M51:W51)=AK53+0.75,AA51-K51*AK53,AA51-(K51*COUNTA(M51:W51))),IF(H52="s",0,IF(COUNTA(M51:W51)=AK53+0.75,SUMIF($C:$C,B51,$AA:$AA)-K51*AK53,SUMIF($C:$C,B51,$AA:$AA)-K51*COUNTA(M51:W51))))</f>
        <v>0</v>
      </c>
      <c r="Y52" s="466"/>
      <c r="Z52" s="534"/>
      <c r="AA52" s="462">
        <f t="shared" ref="AA52:AA53" si="34">+SUM(M52:W52)-T52*0.75</f>
        <v>0</v>
      </c>
      <c r="AB52" s="360"/>
      <c r="AC52" s="360"/>
      <c r="AD52" s="362"/>
      <c r="AE52" s="363"/>
      <c r="AF52" s="346"/>
      <c r="AG52" s="347">
        <f t="shared" si="1"/>
        <v>0</v>
      </c>
      <c r="AH52" s="341">
        <f t="shared" si="2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0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11</v>
      </c>
      <c r="C53" s="410"/>
      <c r="D53" s="174" t="s">
        <v>418</v>
      </c>
      <c r="E53" s="175">
        <f>+E52+100</f>
        <v>111</v>
      </c>
      <c r="F53" s="175"/>
      <c r="G53" s="444">
        <f>+SUMPRODUCT((M52:W52&lt;&gt;"")*(M52:W52&lt;&gt;0)*(M52:W52-K53))</f>
        <v>0</v>
      </c>
      <c r="H53" s="117"/>
      <c r="I53" s="442"/>
      <c r="J53" s="165">
        <f>+IF(K53="","",IF(K51=0,"",(K51*J51)/(K53*60)))</f>
        <v>0.93571428571428572</v>
      </c>
      <c r="K53" s="118">
        <v>42</v>
      </c>
      <c r="L53" s="104" t="s">
        <v>422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/>
      <c r="Z53" s="371">
        <f>+IF(COUNTA(M51:W51)=$AJ$4+0.25,$AJ$4-(AA51/K51),COUNTA(M51:W51)-(AA51/K51))+Y53</f>
        <v>0</v>
      </c>
      <c r="AA53" s="465">
        <f t="shared" si="34"/>
        <v>0</v>
      </c>
      <c r="AB53" s="367"/>
      <c r="AC53" s="367"/>
      <c r="AD53" s="368">
        <f>+IFERROR(AD51/(K51*$AQ$3),"")</f>
        <v>1.1428571428571429E-2</v>
      </c>
      <c r="AE53" s="369"/>
      <c r="AF53" s="347"/>
      <c r="AG53" s="347">
        <f t="shared" si="1"/>
        <v>0</v>
      </c>
      <c r="AH53" s="341">
        <f t="shared" si="2"/>
        <v>0</v>
      </c>
      <c r="AI53" s="341"/>
      <c r="AJ53" s="356"/>
      <c r="AK53" s="370">
        <f>+$AJ$4</f>
        <v>7.25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1.1428571428571429E-2</v>
      </c>
      <c r="AV53" s="390"/>
    </row>
    <row r="54" spans="2:58" s="98" customFormat="1" ht="62.25" customHeight="1" thickTop="1" x14ac:dyDescent="0.9">
      <c r="B54" s="342">
        <f>+B55</f>
        <v>11</v>
      </c>
      <c r="C54" s="405"/>
      <c r="D54" s="106"/>
      <c r="E54" s="106"/>
      <c r="F54" s="106"/>
      <c r="G54" s="439" t="str">
        <f>+G55</f>
        <v>2076-780-803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40</v>
      </c>
      <c r="N54" s="448">
        <v>40</v>
      </c>
      <c r="O54" s="448">
        <v>40</v>
      </c>
      <c r="P54" s="448">
        <v>40</v>
      </c>
      <c r="Q54" s="448">
        <v>80</v>
      </c>
      <c r="R54" s="448"/>
      <c r="S54" s="448"/>
      <c r="T54" s="448"/>
      <c r="U54" s="448"/>
      <c r="V54" s="448"/>
      <c r="W54" s="448"/>
      <c r="X54" s="447">
        <f t="shared" ref="X54" si="35">IF(AQ55="","",SUM(M54:W54)-(-(AQ55-SUM(M54:W54))/$AQ$3)*SUM($M$2:$W$2))</f>
        <v>240</v>
      </c>
      <c r="Y54" s="466"/>
      <c r="Z54" s="533">
        <f>+X56</f>
        <v>-78.5</v>
      </c>
      <c r="AA54" s="447">
        <f t="shared" si="0"/>
        <v>240</v>
      </c>
      <c r="AB54" s="343">
        <f>+AC54+AA54</f>
        <v>2321</v>
      </c>
      <c r="AC54" s="343">
        <v>2081</v>
      </c>
      <c r="AD54" s="344"/>
      <c r="AE54" s="345"/>
      <c r="AF54" s="346"/>
      <c r="AG54" s="347">
        <f t="shared" si="1"/>
        <v>0</v>
      </c>
      <c r="AH54" s="341">
        <f t="shared" si="2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1.35">
      <c r="B55" s="351">
        <v>11</v>
      </c>
      <c r="C55" s="406">
        <f>+B55</f>
        <v>11</v>
      </c>
      <c r="D55" s="407" t="s">
        <v>436</v>
      </c>
      <c r="E55" s="111"/>
      <c r="F55" s="111" t="s">
        <v>35</v>
      </c>
      <c r="G55" s="106" t="s">
        <v>435</v>
      </c>
      <c r="H55" s="111"/>
      <c r="I55" s="111" t="s">
        <v>38</v>
      </c>
      <c r="J55" s="113">
        <v>38.729999999999997</v>
      </c>
      <c r="K55" s="130">
        <v>58</v>
      </c>
      <c r="L55" s="101" t="s">
        <v>17</v>
      </c>
      <c r="M55" s="214">
        <v>42</v>
      </c>
      <c r="N55" s="214">
        <v>40</v>
      </c>
      <c r="O55" s="214">
        <v>40</v>
      </c>
      <c r="P55" s="214">
        <v>45</v>
      </c>
      <c r="Q55" s="214">
        <v>55</v>
      </c>
      <c r="R55" s="214">
        <v>55</v>
      </c>
      <c r="S55" s="214">
        <v>55</v>
      </c>
      <c r="T55" s="214">
        <v>10</v>
      </c>
      <c r="U55" s="214"/>
      <c r="V55" s="214"/>
      <c r="W55" s="214"/>
      <c r="X55" s="123">
        <f>+IF(H56="s",0,IF(AA55=0,0,IF(COUNTA(M55:W55)=AK57+0.75,SUMIF($C:$C,B55,$AA:$AA)/AK57,SUMIF($C:$C,B55,$AA:$AA)/(COUNTA(M55:W55)))))</f>
        <v>47.172413793103445</v>
      </c>
      <c r="Y55" s="466"/>
      <c r="Z55" s="534"/>
      <c r="AA55" s="134">
        <f t="shared" si="0"/>
        <v>342</v>
      </c>
      <c r="AB55" s="354">
        <f>+AA55+AC55</f>
        <v>1775</v>
      </c>
      <c r="AC55" s="354">
        <v>1433</v>
      </c>
      <c r="AD55" s="355">
        <f>+AB54-AB55</f>
        <v>546</v>
      </c>
      <c r="AE55" s="131">
        <f>+IF(((AA56+(AA57/2))*60)=0,"",(J55*AA55)/((AA56+(AA57/2))*60))</f>
        <v>0.67874250576479622</v>
      </c>
      <c r="AF55" s="347">
        <f>+AA56+AA57/2</f>
        <v>325.25</v>
      </c>
      <c r="AG55" s="347">
        <f t="shared" si="1"/>
        <v>325.14999999999998</v>
      </c>
      <c r="AH55" s="341">
        <f t="shared" si="2"/>
        <v>19515</v>
      </c>
      <c r="AI55" s="341">
        <f>+AA55*J55</f>
        <v>13245.659999999998</v>
      </c>
      <c r="AJ55" s="356">
        <f>+AA55-(AF55*K55/K57)</f>
        <v>-107.15476190476193</v>
      </c>
      <c r="AK55" s="348"/>
      <c r="AL55" s="349"/>
      <c r="AM55" s="341"/>
      <c r="AN55" s="341"/>
      <c r="AO55" s="341"/>
      <c r="AP55" s="341"/>
      <c r="AQ55" s="339">
        <f>-360+AA54</f>
        <v>-120</v>
      </c>
      <c r="AR55" s="434"/>
      <c r="AT55" s="390">
        <v>648</v>
      </c>
      <c r="AV55" s="390">
        <f t="shared" ref="AV55" si="36">+AT55-AD55</f>
        <v>102</v>
      </c>
      <c r="AW55" s="535" t="s">
        <v>473</v>
      </c>
      <c r="AX55" s="535"/>
      <c r="AY55" s="535"/>
      <c r="AZ55" s="535"/>
      <c r="BA55" s="535"/>
      <c r="BB55" s="535"/>
      <c r="BC55" s="535"/>
      <c r="BD55" s="535"/>
      <c r="BE55" s="535"/>
      <c r="BF55" s="535"/>
    </row>
    <row r="56" spans="2:58" s="98" customFormat="1" ht="62.25" customHeight="1" x14ac:dyDescent="0.9">
      <c r="B56" s="357">
        <f>+B55</f>
        <v>11</v>
      </c>
      <c r="C56" s="408"/>
      <c r="D56" s="184"/>
      <c r="E56" s="111">
        <f>+B55</f>
        <v>11</v>
      </c>
      <c r="F56" s="412"/>
      <c r="G56" s="113">
        <f>+IFERROR(IF(K57=0,0,IF((LOOKUP(2,1/(M56:W56&lt;&gt;""),M56:W56)-K57)&lt;0,0,IF(K57=0,"",LOOKUP(2,1/(M56:W56&lt;&gt;""),M56:W56)-K57))),0)</f>
        <v>2</v>
      </c>
      <c r="H56" s="411" t="s">
        <v>412</v>
      </c>
      <c r="I56" s="113"/>
      <c r="J56" s="113">
        <v>1</v>
      </c>
      <c r="K56" s="114" t="s">
        <v>22</v>
      </c>
      <c r="L56" s="102" t="s">
        <v>18</v>
      </c>
      <c r="M56" s="448">
        <v>43</v>
      </c>
      <c r="N56" s="448">
        <v>44</v>
      </c>
      <c r="O56" s="448">
        <v>44</v>
      </c>
      <c r="P56" s="448">
        <v>44</v>
      </c>
      <c r="Q56" s="448">
        <v>44</v>
      </c>
      <c r="R56" s="448">
        <v>44</v>
      </c>
      <c r="S56" s="448">
        <v>44</v>
      </c>
      <c r="T56" s="448">
        <v>44</v>
      </c>
      <c r="U56" s="448"/>
      <c r="V56" s="448"/>
      <c r="W56" s="448"/>
      <c r="X56" s="160">
        <f>+IF(H56="l",IF(COUNTA(M55:W55)=AK57+0.75,AA55-K55*AK57,AA55-(K55*COUNTA(M55:W55))),IF(H56="s",0,IF(COUNTA(M55:W55)=AK57+0.75,SUMIF($C:$C,B55,$AA:$AA)-K55*AK57,SUMIF($C:$C,B55,$AA:$AA)-K55*COUNTA(M55:W55))))</f>
        <v>-78.5</v>
      </c>
      <c r="Y56" s="466"/>
      <c r="Z56" s="534"/>
      <c r="AA56" s="462">
        <f t="shared" ref="AA56:AA57" si="37">+SUM(M56:W56)-T56*0.75</f>
        <v>318</v>
      </c>
      <c r="AB56" s="360"/>
      <c r="AC56" s="360"/>
      <c r="AD56" s="362"/>
      <c r="AE56" s="363"/>
      <c r="AF56" s="346"/>
      <c r="AG56" s="347">
        <f t="shared" si="1"/>
        <v>0</v>
      </c>
      <c r="AH56" s="341">
        <f t="shared" si="2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318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11</v>
      </c>
      <c r="C57" s="410"/>
      <c r="D57" s="174" t="s">
        <v>418</v>
      </c>
      <c r="E57" s="175">
        <f>+E56+100</f>
        <v>111</v>
      </c>
      <c r="F57" s="175"/>
      <c r="G57" s="444">
        <f>+SUMPRODUCT((M56:W56&lt;&gt;"")*(M56:W56&lt;&gt;0)*(M56:W56-K57))</f>
        <v>15</v>
      </c>
      <c r="H57" s="117"/>
      <c r="I57" s="442"/>
      <c r="J57" s="165">
        <f>+IF(K57="","",IF(K55=0,"",(K55*J55)/(K57*60)))</f>
        <v>0.89140476190476181</v>
      </c>
      <c r="K57" s="118">
        <v>42</v>
      </c>
      <c r="L57" s="104" t="s">
        <v>422</v>
      </c>
      <c r="M57" s="216">
        <v>2</v>
      </c>
      <c r="N57" s="216">
        <v>2</v>
      </c>
      <c r="O57" s="216">
        <v>2</v>
      </c>
      <c r="P57" s="216">
        <v>2</v>
      </c>
      <c r="Q57" s="216">
        <v>2</v>
      </c>
      <c r="R57" s="216">
        <v>2</v>
      </c>
      <c r="S57" s="216">
        <v>2</v>
      </c>
      <c r="T57" s="216">
        <v>2</v>
      </c>
      <c r="U57" s="216"/>
      <c r="V57" s="216"/>
      <c r="W57" s="216"/>
      <c r="X57" s="173"/>
      <c r="Y57" s="467">
        <v>23.25</v>
      </c>
      <c r="Z57" s="371">
        <f>+IF(COUNTA(M55:W55)=$AJ$4+0.25,$AJ$4-(AA55/K55),COUNTA(M55:W55)-(AA55/K55))+Y57</f>
        <v>25.353448275862071</v>
      </c>
      <c r="AA57" s="465">
        <f t="shared" si="37"/>
        <v>14.5</v>
      </c>
      <c r="AB57" s="367"/>
      <c r="AC57" s="367"/>
      <c r="AD57" s="368">
        <f>+IFERROR(AD55/(K55*$AQ$3),"")</f>
        <v>1.0758620689655172</v>
      </c>
      <c r="AE57" s="369"/>
      <c r="AF57" s="347"/>
      <c r="AG57" s="347">
        <f t="shared" si="1"/>
        <v>0</v>
      </c>
      <c r="AH57" s="341">
        <f t="shared" si="2"/>
        <v>0</v>
      </c>
      <c r="AI57" s="341"/>
      <c r="AJ57" s="356"/>
      <c r="AK57" s="370">
        <f>+$AJ$4</f>
        <v>7.25</v>
      </c>
      <c r="AL57" s="349">
        <f>+IF(AK57=7.75,SUM(M57:S57)+T57*0.75,IF(AK57=8,SUM(M57:T57),IF(AK57=7.25,SUM(M57:S57)+T57*0.25,IF(AK57=8.25,SUM(M57:T57)+U57*0.25,IF(AK57=8.75,SUM(M57:T57)+U57*0.75,0)))))</f>
        <v>14.5</v>
      </c>
      <c r="AM57" s="341">
        <f>+AL57-AA57</f>
        <v>0</v>
      </c>
      <c r="AN57" s="341"/>
      <c r="AO57" s="341"/>
      <c r="AP57" s="341"/>
      <c r="AQ57" s="369"/>
      <c r="AR57" s="434"/>
      <c r="AT57" s="390">
        <v>1.276847290640394</v>
      </c>
      <c r="AV57" s="390"/>
    </row>
    <row r="58" spans="2:58" s="98" customFormat="1" ht="62.25" customHeight="1" thickTop="1" x14ac:dyDescent="0.9">
      <c r="B58" s="342">
        <f>+B59</f>
        <v>12</v>
      </c>
      <c r="C58" s="405"/>
      <c r="D58" s="106"/>
      <c r="E58" s="106"/>
      <c r="F58" s="106"/>
      <c r="G58" s="439">
        <f>+G59</f>
        <v>0</v>
      </c>
      <c r="H58" s="106"/>
      <c r="I58" s="106"/>
      <c r="J58" s="107" t="s">
        <v>20</v>
      </c>
      <c r="K58" s="108" t="s">
        <v>23</v>
      </c>
      <c r="L58" s="100" t="s">
        <v>21</v>
      </c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47" t="str">
        <f t="shared" ref="X58" si="38">IF(AQ59="","",SUM(M58:W58)-(-(AQ59-SUM(M58:W58))/$AQ$3)*SUM($M$2:$W$2))</f>
        <v/>
      </c>
      <c r="Y58" s="466"/>
      <c r="Z58" s="533">
        <f>+X60</f>
        <v>0</v>
      </c>
      <c r="AA58" s="447">
        <f t="shared" si="0"/>
        <v>0</v>
      </c>
      <c r="AB58" s="343">
        <f>+AC58+AA58</f>
        <v>0</v>
      </c>
      <c r="AC58" s="343">
        <v>0</v>
      </c>
      <c r="AD58" s="344"/>
      <c r="AE58" s="345"/>
      <c r="AF58" s="346"/>
      <c r="AG58" s="347"/>
      <c r="AH58" s="341"/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0.9">
      <c r="B59" s="351">
        <v>12</v>
      </c>
      <c r="C59" s="406">
        <v>12</v>
      </c>
      <c r="D59" s="407"/>
      <c r="E59" s="111"/>
      <c r="F59" s="111"/>
      <c r="G59" s="106"/>
      <c r="H59" s="111"/>
      <c r="I59" s="111"/>
      <c r="J59" s="113"/>
      <c r="K59" s="130"/>
      <c r="L59" s="101" t="s">
        <v>17</v>
      </c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123">
        <f>+IF(H60="s",0,IF(AA59=0,0,IF(COUNTA(M59:W59)=AK61+0.75,SUMIF($C:$C,B59,$AA:$AA)/AK61,SUMIF($C:$C,B59,$AA:$AA)/(COUNTA(M59:W59)))))</f>
        <v>0</v>
      </c>
      <c r="Y59" s="466"/>
      <c r="Z59" s="534"/>
      <c r="AA59" s="134">
        <f t="shared" si="0"/>
        <v>0</v>
      </c>
      <c r="AB59" s="354">
        <f>+AA59+AC59</f>
        <v>0</v>
      </c>
      <c r="AC59" s="354">
        <v>0</v>
      </c>
      <c r="AD59" s="355">
        <f>+AB58-AB59</f>
        <v>0</v>
      </c>
      <c r="AE59" s="131" t="str">
        <f>+IF(((AA60+(AA61/2))*60)=0,"",(J59*AA59)/((AA60+(AA61/2))*60))</f>
        <v/>
      </c>
      <c r="AF59" s="347"/>
      <c r="AG59" s="347"/>
      <c r="AH59" s="341"/>
      <c r="AI59" s="341"/>
      <c r="AJ59" s="356"/>
      <c r="AK59" s="348"/>
      <c r="AL59" s="349"/>
      <c r="AM59" s="341"/>
      <c r="AN59" s="341"/>
      <c r="AO59" s="341"/>
      <c r="AP59" s="341"/>
      <c r="AQ59" s="339" t="str">
        <f t="shared" si="8"/>
        <v/>
      </c>
      <c r="AR59" s="434"/>
      <c r="AT59" s="390">
        <v>0</v>
      </c>
      <c r="AV59" s="390">
        <f t="shared" ref="AV59" si="39">+AT59-AD59</f>
        <v>0</v>
      </c>
    </row>
    <row r="60" spans="2:58" s="98" customFormat="1" ht="62.25" customHeight="1" x14ac:dyDescent="0.9">
      <c r="B60" s="357">
        <f>+B59</f>
        <v>12</v>
      </c>
      <c r="C60" s="408"/>
      <c r="D60" s="184"/>
      <c r="E60" s="111">
        <f>+B59</f>
        <v>12</v>
      </c>
      <c r="F60" s="409"/>
      <c r="G60" s="113">
        <f>+IFERROR(IF(K61=0,0,IF((LOOKUP(2,1/(M60:W60&lt;&gt;""),M60:W60)-K61)&lt;0,0,IF(K61=0,"",LOOKUP(2,1/(M60:W60&lt;&gt;""),M60:W60)-K61))),0)</f>
        <v>0</v>
      </c>
      <c r="H60" s="411"/>
      <c r="I60" s="113"/>
      <c r="J60" s="113"/>
      <c r="K60" s="114" t="s">
        <v>22</v>
      </c>
      <c r="L60" s="102" t="s">
        <v>18</v>
      </c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160">
        <f>+IF(H60="l",IF(COUNTA(M59:W59)=AK61+0.75,AA59-K59*AK61,AA59-(K59*COUNTA(M59:W59))),IF(H60="s",0,IF(COUNTA(M59:W59)=AK61+0.75,SUMIF($C:$C,B59,$AA:$AA)-K59*AK61,SUMIF($C:$C,B59,$AA:$AA)-K59*COUNTA(M59:W59))))</f>
        <v>0</v>
      </c>
      <c r="Y60" s="466"/>
      <c r="Z60" s="534"/>
      <c r="AA60" s="462">
        <f t="shared" ref="AA60:AA61" si="40">+SUM(M60:W60)-T60*0.75</f>
        <v>0</v>
      </c>
      <c r="AB60" s="360"/>
      <c r="AC60" s="360"/>
      <c r="AD60" s="362"/>
      <c r="AE60" s="363"/>
      <c r="AF60" s="346"/>
      <c r="AG60" s="347"/>
      <c r="AH60" s="341"/>
      <c r="AI60" s="341"/>
      <c r="AJ60" s="341"/>
      <c r="AK60" s="348"/>
      <c r="AL60" s="349"/>
      <c r="AM60" s="341"/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12</v>
      </c>
      <c r="C61" s="410"/>
      <c r="D61" s="174"/>
      <c r="E61" s="175">
        <f>+E60+100</f>
        <v>112</v>
      </c>
      <c r="F61" s="175"/>
      <c r="G61" s="444">
        <f>+SUMPRODUCT((M60:W60&lt;&gt;"")*(M60:W60&lt;&gt;0)*(M60:W60-K61))</f>
        <v>0</v>
      </c>
      <c r="H61" s="117"/>
      <c r="I61" s="442"/>
      <c r="J61" s="165" t="str">
        <f>+IF(K61="","",IF(K59=0,"",(K59*J59)/(K61*60)))</f>
        <v/>
      </c>
      <c r="K61" s="118"/>
      <c r="L61" s="104" t="s">
        <v>19</v>
      </c>
      <c r="M61" s="455"/>
      <c r="N61" s="455"/>
      <c r="O61" s="455"/>
      <c r="P61" s="455"/>
      <c r="Q61" s="455"/>
      <c r="R61" s="455"/>
      <c r="S61" s="455"/>
      <c r="T61" s="455"/>
      <c r="U61" s="455"/>
      <c r="V61" s="455"/>
      <c r="W61" s="455"/>
      <c r="X61" s="173"/>
      <c r="Y61" s="467"/>
      <c r="Z61" s="371"/>
      <c r="AA61" s="465">
        <f t="shared" si="40"/>
        <v>0</v>
      </c>
      <c r="AB61" s="367"/>
      <c r="AC61" s="367"/>
      <c r="AD61" s="368" t="str">
        <f>+IFERROR(AD59/(K59*$AQ$3),"")</f>
        <v/>
      </c>
      <c r="AE61" s="369"/>
      <c r="AF61" s="347"/>
      <c r="AG61" s="347"/>
      <c r="AH61" s="341"/>
      <c r="AI61" s="341"/>
      <c r="AJ61" s="356"/>
      <c r="AK61" s="370">
        <v>10.25</v>
      </c>
      <c r="AL61" s="349"/>
      <c r="AM61" s="341"/>
      <c r="AN61" s="341"/>
      <c r="AO61" s="341"/>
      <c r="AP61" s="341"/>
      <c r="AQ61" s="369"/>
      <c r="AR61" s="434"/>
      <c r="AT61" s="390" t="s">
        <v>416</v>
      </c>
      <c r="AV61" s="390"/>
    </row>
    <row r="62" spans="2:58" s="98" customFormat="1" ht="62.25" customHeight="1" thickTop="1" x14ac:dyDescent="0.9">
      <c r="B62" s="342">
        <f>+B63</f>
        <v>13</v>
      </c>
      <c r="C62" s="405"/>
      <c r="D62" s="106"/>
      <c r="E62" s="106"/>
      <c r="F62" s="106"/>
      <c r="G62" s="439" t="str">
        <f>+G63</f>
        <v>2158-755-712</v>
      </c>
      <c r="H62" s="106"/>
      <c r="I62" s="106"/>
      <c r="J62" s="107" t="s">
        <v>20</v>
      </c>
      <c r="K62" s="108" t="s">
        <v>23</v>
      </c>
      <c r="L62" s="100" t="s">
        <v>21</v>
      </c>
      <c r="M62" s="448">
        <v>120</v>
      </c>
      <c r="N62" s="448">
        <v>60</v>
      </c>
      <c r="O62" s="448"/>
      <c r="P62" s="448">
        <v>60</v>
      </c>
      <c r="Q62" s="448"/>
      <c r="R62" s="448"/>
      <c r="S62" s="448"/>
      <c r="T62" s="448"/>
      <c r="U62" s="448"/>
      <c r="V62" s="448"/>
      <c r="W62" s="448"/>
      <c r="X62" s="447">
        <f t="shared" ref="X62" si="41">IF(AQ63="","",SUM(M62:W62)-(-(AQ63-SUM(M62:W62))/$AQ$3)*SUM($M$2:$W$2))</f>
        <v>240</v>
      </c>
      <c r="Y62" s="466"/>
      <c r="Z62" s="533">
        <f>+X64</f>
        <v>-63</v>
      </c>
      <c r="AA62" s="447">
        <f t="shared" si="0"/>
        <v>240</v>
      </c>
      <c r="AB62" s="343">
        <f>+AC62+AA62</f>
        <v>4321</v>
      </c>
      <c r="AC62" s="343">
        <v>4081</v>
      </c>
      <c r="AD62" s="344"/>
      <c r="AE62" s="345"/>
      <c r="AF62" s="346"/>
      <c r="AG62" s="347">
        <f t="shared" si="1"/>
        <v>0</v>
      </c>
      <c r="AH62" s="341">
        <f t="shared" si="2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0.9">
      <c r="B63" s="351">
        <v>13</v>
      </c>
      <c r="C63" s="406">
        <f>+B63</f>
        <v>13</v>
      </c>
      <c r="D63" s="407" t="s">
        <v>431</v>
      </c>
      <c r="E63" s="111"/>
      <c r="F63" s="111" t="s">
        <v>35</v>
      </c>
      <c r="G63" s="106" t="s">
        <v>432</v>
      </c>
      <c r="H63" s="111"/>
      <c r="I63" s="111" t="s">
        <v>33</v>
      </c>
      <c r="J63" s="113">
        <v>51.42</v>
      </c>
      <c r="K63" s="130">
        <v>52</v>
      </c>
      <c r="L63" s="101" t="s">
        <v>17</v>
      </c>
      <c r="M63" s="214">
        <v>20</v>
      </c>
      <c r="N63" s="214">
        <v>52</v>
      </c>
      <c r="O63" s="214">
        <v>52</v>
      </c>
      <c r="P63" s="214">
        <v>35</v>
      </c>
      <c r="Q63" s="214">
        <v>40</v>
      </c>
      <c r="R63" s="214">
        <v>52</v>
      </c>
      <c r="S63" s="214">
        <v>50</v>
      </c>
      <c r="T63" s="214">
        <v>13</v>
      </c>
      <c r="U63" s="214"/>
      <c r="V63" s="214"/>
      <c r="W63" s="214"/>
      <c r="X63" s="123">
        <f>+IF(H64="s",0,IF(AA63=0,0,IF(COUNTA(M63:W63)=AK65+0.75,SUMIF($C:$C,B63,$AA:$AA)/AK65,SUMIF($C:$C,B63,$AA:$AA)/(COUNTA(M63:W63)))))</f>
        <v>43.310344827586206</v>
      </c>
      <c r="Y63" s="466"/>
      <c r="Z63" s="534"/>
      <c r="AA63" s="134">
        <f t="shared" si="0"/>
        <v>314</v>
      </c>
      <c r="AB63" s="354">
        <f>+AA63+AC63</f>
        <v>3583</v>
      </c>
      <c r="AC63" s="354">
        <v>3269</v>
      </c>
      <c r="AD63" s="355">
        <f>+AB62-AB63</f>
        <v>738</v>
      </c>
      <c r="AE63" s="131">
        <f>+IF(((AA64+(AA65/2))*60)=0,"",(J63*AA63)/((AA64+(AA65/2))*60))</f>
        <v>0.74233931034482759</v>
      </c>
      <c r="AF63" s="347">
        <f>+AA64+AA65/2</f>
        <v>362.5</v>
      </c>
      <c r="AG63" s="347">
        <f t="shared" si="1"/>
        <v>362.3</v>
      </c>
      <c r="AH63" s="341">
        <f t="shared" si="2"/>
        <v>21750</v>
      </c>
      <c r="AI63" s="341">
        <f>+AA63*J63</f>
        <v>16145.880000000001</v>
      </c>
      <c r="AJ63" s="356">
        <f>+AA63-(AF63*K63/K65)</f>
        <v>-55.607843137254918</v>
      </c>
      <c r="AK63" s="348"/>
      <c r="AL63" s="349"/>
      <c r="AM63" s="341"/>
      <c r="AN63" s="341"/>
      <c r="AO63" s="341"/>
      <c r="AP63" s="341"/>
      <c r="AQ63" s="339">
        <f>-240+AA62</f>
        <v>0</v>
      </c>
      <c r="AR63" s="434">
        <v>1.5</v>
      </c>
      <c r="AT63" s="390">
        <v>812</v>
      </c>
      <c r="AV63" s="390">
        <f t="shared" ref="AV63" si="42">+AT63-AD63</f>
        <v>74</v>
      </c>
    </row>
    <row r="64" spans="2:58" s="98" customFormat="1" ht="62.25" customHeight="1" x14ac:dyDescent="0.9">
      <c r="B64" s="357">
        <f>+B63</f>
        <v>13</v>
      </c>
      <c r="C64" s="408"/>
      <c r="D64" s="184"/>
      <c r="E64" s="111">
        <f>+B63</f>
        <v>13</v>
      </c>
      <c r="F64" s="412"/>
      <c r="G64" s="113">
        <f>+IFERROR(IF(K65=0,0,IF((LOOKUP(2,1/(M64:W64&lt;&gt;""),M64:W64)-K65)&lt;0,0,IF(K65=0,"",LOOKUP(2,1/(M64:W64&lt;&gt;""),M64:W64)-K65))),0)</f>
        <v>0</v>
      </c>
      <c r="H64" s="411"/>
      <c r="I64" s="113"/>
      <c r="J64" s="113">
        <v>1</v>
      </c>
      <c r="K64" s="114" t="s">
        <v>22</v>
      </c>
      <c r="L64" s="102" t="s">
        <v>18</v>
      </c>
      <c r="M64" s="448">
        <v>50</v>
      </c>
      <c r="N64" s="448">
        <v>50</v>
      </c>
      <c r="O64" s="448">
        <v>50</v>
      </c>
      <c r="P64" s="448">
        <v>50</v>
      </c>
      <c r="Q64" s="448">
        <v>50</v>
      </c>
      <c r="R64" s="448">
        <v>50</v>
      </c>
      <c r="S64" s="448">
        <v>50</v>
      </c>
      <c r="T64" s="448">
        <v>50</v>
      </c>
      <c r="U64" s="448"/>
      <c r="V64" s="448"/>
      <c r="W64" s="448"/>
      <c r="X64" s="160">
        <f>+IF(H64="l",IF(COUNTA(M63:W63)=AK65+0.75,AA63-K63*AK65,AA63-(K63*COUNTA(M63:W63))),IF(H64="s",0,IF(COUNTA(M63:W63)=AK65+0.75,SUMIF($C:$C,B63,$AA:$AA)-K63*AK65,SUMIF($C:$C,B63,$AA:$AA)-K63*COUNTA(M63:W63))))</f>
        <v>-63</v>
      </c>
      <c r="Y64" s="466"/>
      <c r="Z64" s="534"/>
      <c r="AA64" s="462">
        <f t="shared" ref="AA64:AA65" si="43">+SUM(M64:W64)-T64*0.75</f>
        <v>362.5</v>
      </c>
      <c r="AB64" s="360"/>
      <c r="AC64" s="360"/>
      <c r="AD64" s="362"/>
      <c r="AE64" s="363"/>
      <c r="AF64" s="346"/>
      <c r="AG64" s="347">
        <f t="shared" si="1"/>
        <v>0</v>
      </c>
      <c r="AH64" s="341">
        <f t="shared" si="2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362.5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9" s="98" customFormat="1" ht="62.25" customHeight="1" thickBot="1" x14ac:dyDescent="0.95">
      <c r="B65" s="364">
        <f>+B63</f>
        <v>13</v>
      </c>
      <c r="C65" s="410"/>
      <c r="D65" s="174" t="s">
        <v>379</v>
      </c>
      <c r="E65" s="175">
        <f>+E64+100</f>
        <v>113</v>
      </c>
      <c r="F65" s="175"/>
      <c r="G65" s="444">
        <f>+SUMPRODUCT((M64:W64&lt;&gt;"")*(M64:W64&lt;&gt;0)*(M64:W64-K65))</f>
        <v>-8</v>
      </c>
      <c r="H65" s="117"/>
      <c r="I65" s="442"/>
      <c r="J65" s="165">
        <f>+IF(K65="","",IF(K63=0,"",(K63*J63)/(K65*60)))</f>
        <v>0.87380392156862752</v>
      </c>
      <c r="K65" s="118">
        <v>51</v>
      </c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/>
      <c r="Z65" s="365">
        <v>30.54</v>
      </c>
      <c r="AA65" s="465">
        <f t="shared" si="43"/>
        <v>0</v>
      </c>
      <c r="AB65" s="367"/>
      <c r="AC65" s="367"/>
      <c r="AD65" s="368">
        <f>+IFERROR(AD63/(K63*$AQ$3),"")</f>
        <v>1.621978021978022</v>
      </c>
      <c r="AE65" s="369"/>
      <c r="AF65" s="347"/>
      <c r="AG65" s="347">
        <f t="shared" si="1"/>
        <v>0</v>
      </c>
      <c r="AH65" s="341">
        <f t="shared" si="2"/>
        <v>0</v>
      </c>
      <c r="AI65" s="341"/>
      <c r="AJ65" s="356"/>
      <c r="AK65" s="370">
        <f>+$AJ$4</f>
        <v>7.25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>
        <v>1.9333333333333333</v>
      </c>
      <c r="AV65" s="390"/>
    </row>
    <row r="66" spans="2:59" s="98" customFormat="1" ht="58.5" customHeight="1" thickTop="1" x14ac:dyDescent="0.9">
      <c r="B66" s="373">
        <f>+B67</f>
        <v>14</v>
      </c>
      <c r="C66" s="405"/>
      <c r="D66" s="106"/>
      <c r="E66" s="106"/>
      <c r="F66" s="106"/>
      <c r="G66" s="439" t="str">
        <f>+G67</f>
        <v>NEGRONI-202942</v>
      </c>
      <c r="H66" s="106"/>
      <c r="I66" s="106"/>
      <c r="J66" s="107" t="s">
        <v>20</v>
      </c>
      <c r="K66" s="108" t="s">
        <v>23</v>
      </c>
      <c r="L66" s="100" t="s">
        <v>21</v>
      </c>
      <c r="M66" s="448"/>
      <c r="N66" s="448"/>
      <c r="O66" s="448"/>
      <c r="P66" s="448"/>
      <c r="Q66" s="448"/>
      <c r="R66" s="448"/>
      <c r="S66" s="448"/>
      <c r="T66" s="448"/>
      <c r="U66" s="448"/>
      <c r="V66" s="448"/>
      <c r="W66" s="448"/>
      <c r="X66" s="447" t="str">
        <f t="shared" ref="X66" si="44">IF(AQ67="","",SUM(M66:W66)-(-(AQ67-SUM(M66:W66))/$AQ$3)*SUM($M$2:$W$2))</f>
        <v/>
      </c>
      <c r="Y66" s="466"/>
      <c r="Z66" s="533">
        <f>+X68</f>
        <v>0</v>
      </c>
      <c r="AA66" s="447">
        <f t="shared" si="0"/>
        <v>0</v>
      </c>
      <c r="AB66" s="343">
        <f>+AC66+AA66</f>
        <v>5400</v>
      </c>
      <c r="AC66" s="343">
        <v>5400</v>
      </c>
      <c r="AD66" s="344"/>
      <c r="AE66" s="345"/>
      <c r="AF66" s="346"/>
      <c r="AG66" s="347">
        <f t="shared" si="1"/>
        <v>0</v>
      </c>
      <c r="AH66" s="341">
        <f t="shared" si="2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9" s="98" customFormat="1" ht="58.5" customHeight="1" x14ac:dyDescent="0.9">
      <c r="B67" s="374">
        <v>14</v>
      </c>
      <c r="C67" s="406">
        <f>+B67</f>
        <v>14</v>
      </c>
      <c r="D67" s="407" t="s">
        <v>427</v>
      </c>
      <c r="E67" s="111"/>
      <c r="F67" s="111" t="s">
        <v>428</v>
      </c>
      <c r="G67" s="106" t="s">
        <v>429</v>
      </c>
      <c r="H67" s="111"/>
      <c r="I67" s="111" t="s">
        <v>430</v>
      </c>
      <c r="J67" s="113">
        <v>48.06</v>
      </c>
      <c r="K67" s="130">
        <v>60</v>
      </c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123">
        <f>+IF(H68="s",0,IF(AA67=0,0,IF(COUNTA(M67:W67)=AK69+0.75,SUMIF($C:$C,B67,$AA:$AA)/AK69,SUMIF($C:$C,B67,$AA:$AA)/(COUNTA(M67:W67)))))</f>
        <v>0</v>
      </c>
      <c r="Y67" s="466"/>
      <c r="Z67" s="534"/>
      <c r="AA67" s="134">
        <f t="shared" si="0"/>
        <v>0</v>
      </c>
      <c r="AB67" s="354">
        <f>+AA67+AC67</f>
        <v>4482</v>
      </c>
      <c r="AC67" s="354">
        <v>4482</v>
      </c>
      <c r="AD67" s="355">
        <f>+AB66-AB67</f>
        <v>918</v>
      </c>
      <c r="AE67" s="131">
        <f>+IF(((AA68+(AA69/2))*60)=0,"",(J67*AA67)/((AA68+(AA69/2))*60))</f>
        <v>0</v>
      </c>
      <c r="AF67" s="347">
        <f>+AA68+AA69/2</f>
        <v>29</v>
      </c>
      <c r="AG67" s="347">
        <f t="shared" si="1"/>
        <v>29</v>
      </c>
      <c r="AH67" s="341">
        <f t="shared" si="2"/>
        <v>1740</v>
      </c>
      <c r="AI67" s="341">
        <f>+AA67*J67</f>
        <v>0</v>
      </c>
      <c r="AJ67" s="356">
        <f>+AA67-(AF67*K67/K69)</f>
        <v>-31.636363636363637</v>
      </c>
      <c r="AK67" s="348"/>
      <c r="AL67" s="349"/>
      <c r="AM67" s="341"/>
      <c r="AN67" s="341"/>
      <c r="AO67" s="341"/>
      <c r="AP67" s="341"/>
      <c r="AQ67" s="339" t="str">
        <f t="shared" si="8"/>
        <v/>
      </c>
      <c r="AR67" s="434"/>
      <c r="AT67" s="390">
        <v>918</v>
      </c>
      <c r="AV67" s="390">
        <f t="shared" ref="AV67" si="45">+AT67-AD67</f>
        <v>0</v>
      </c>
    </row>
    <row r="68" spans="2:59" s="98" customFormat="1" ht="58.5" customHeight="1" x14ac:dyDescent="0.9">
      <c r="B68" s="357">
        <f>+B67</f>
        <v>14</v>
      </c>
      <c r="C68" s="408"/>
      <c r="D68" s="184"/>
      <c r="E68" s="111">
        <f>+B67</f>
        <v>14</v>
      </c>
      <c r="F68" s="409"/>
      <c r="G68" s="113">
        <f>+IFERROR(IF(K69=0,0,IF((LOOKUP(2,1/(M68:W68&lt;&gt;""),M68:W68)-K69)&lt;0,0,IF(K69=0,"",LOOKUP(2,1/(M68:W68&lt;&gt;""),M68:W68)-K69))),0)</f>
        <v>0</v>
      </c>
      <c r="H68" s="411"/>
      <c r="I68" s="113"/>
      <c r="J68" s="113">
        <v>1</v>
      </c>
      <c r="K68" s="114" t="s">
        <v>22</v>
      </c>
      <c r="L68" s="102" t="s">
        <v>18</v>
      </c>
      <c r="M68" s="448">
        <v>4</v>
      </c>
      <c r="N68" s="448">
        <v>4</v>
      </c>
      <c r="O68" s="448">
        <v>4</v>
      </c>
      <c r="P68" s="448">
        <v>4</v>
      </c>
      <c r="Q68" s="448">
        <v>4</v>
      </c>
      <c r="R68" s="448">
        <v>4</v>
      </c>
      <c r="S68" s="448">
        <v>4</v>
      </c>
      <c r="T68" s="448">
        <v>4</v>
      </c>
      <c r="U68" s="448"/>
      <c r="V68" s="448"/>
      <c r="W68" s="448"/>
      <c r="X68" s="160">
        <f>+IF(H68="l",IF(COUNTA(M67:W67)=AK69+0.75,AA67-K67*AK69,AA67-(K67*COUNTA(M67:W67))),IF(H68="s",0,IF(COUNTA(M67:W67)=AK69+0.75,SUMIF($C:$C,B67,$AA:$AA)-K67*AK69,SUMIF($C:$C,B67,$AA:$AA)-K67*COUNTA(M67:W67))))</f>
        <v>0</v>
      </c>
      <c r="Y68" s="466"/>
      <c r="Z68" s="534"/>
      <c r="AA68" s="462">
        <f t="shared" ref="AA68:AA69" si="46">+SUM(M68:W68)-T68*0.75</f>
        <v>29</v>
      </c>
      <c r="AB68" s="360"/>
      <c r="AC68" s="360"/>
      <c r="AD68" s="362"/>
      <c r="AE68" s="363"/>
      <c r="AF68" s="346"/>
      <c r="AG68" s="347">
        <f t="shared" si="1"/>
        <v>0</v>
      </c>
      <c r="AH68" s="341">
        <f t="shared" si="2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29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9" s="98" customFormat="1" ht="58.5" customHeight="1" thickBot="1" x14ac:dyDescent="0.95">
      <c r="B69" s="364">
        <f>+B67</f>
        <v>14</v>
      </c>
      <c r="C69" s="410"/>
      <c r="D69" s="174" t="s">
        <v>112</v>
      </c>
      <c r="E69" s="175">
        <f>+E68+100</f>
        <v>114</v>
      </c>
      <c r="F69" s="175"/>
      <c r="G69" s="444">
        <f>+SUMPRODUCT((M68:W68&lt;&gt;"")*(M68:W68&lt;&gt;0)*(M68:W68-K69))</f>
        <v>-408</v>
      </c>
      <c r="H69" s="117"/>
      <c r="I69" s="442"/>
      <c r="J69" s="165">
        <f>+IF(K69="","",IF(K67=0,"",(K67*J67)/(K69*60)))</f>
        <v>0.87381818181818194</v>
      </c>
      <c r="K69" s="118">
        <v>55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/>
      <c r="Z69" s="365">
        <v>43.52</v>
      </c>
      <c r="AA69" s="465">
        <f t="shared" si="46"/>
        <v>0</v>
      </c>
      <c r="AB69" s="367"/>
      <c r="AC69" s="367"/>
      <c r="AD69" s="368">
        <f>+IFERROR(AD67/(K67*$AQ$3),"")</f>
        <v>1.7485714285714287</v>
      </c>
      <c r="AE69" s="369"/>
      <c r="AF69" s="347"/>
      <c r="AG69" s="347">
        <f t="shared" si="1"/>
        <v>0</v>
      </c>
      <c r="AH69" s="341">
        <f t="shared" si="2"/>
        <v>0</v>
      </c>
      <c r="AI69" s="341"/>
      <c r="AJ69" s="356"/>
      <c r="AK69" s="370">
        <f>+$AJ$4</f>
        <v>7.25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1.7485714285714287</v>
      </c>
      <c r="AV69" s="390"/>
    </row>
    <row r="70" spans="2:59" s="98" customFormat="1" ht="62.25" customHeight="1" thickTop="1" x14ac:dyDescent="0.9">
      <c r="B70" s="342">
        <f>+B71</f>
        <v>15</v>
      </c>
      <c r="C70" s="405"/>
      <c r="D70" s="106"/>
      <c r="E70" s="106"/>
      <c r="F70" s="106"/>
      <c r="G70" s="439" t="str">
        <f>+G71</f>
        <v>2076-780-803</v>
      </c>
      <c r="H70" s="106"/>
      <c r="I70" s="106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ref="X70" si="47">IF(AQ71="","",SUM(M70:W70)-(-(AQ71-SUM(M70:W70))/$AQ$3)*SUM($M$2:$W$2))</f>
        <v/>
      </c>
      <c r="Y70" s="466"/>
      <c r="Z70" s="533">
        <f>+X72</f>
        <v>0</v>
      </c>
      <c r="AA70" s="447">
        <f t="shared" ref="AA70:AA91" si="48">+SUM(L70:W70)</f>
        <v>0</v>
      </c>
      <c r="AB70" s="343">
        <f>+AC70+AA70</f>
        <v>3158</v>
      </c>
      <c r="AC70" s="343">
        <v>3158</v>
      </c>
      <c r="AD70" s="344"/>
      <c r="AE70" s="345"/>
      <c r="AF70" s="346"/>
      <c r="AG70" s="347">
        <f t="shared" si="1"/>
        <v>0</v>
      </c>
      <c r="AH70" s="341">
        <f t="shared" si="2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9" s="98" customFormat="1" ht="62.25" customHeight="1" x14ac:dyDescent="1.35">
      <c r="B71" s="351">
        <v>15</v>
      </c>
      <c r="C71" s="406">
        <f>+B71</f>
        <v>15</v>
      </c>
      <c r="D71" s="407" t="s">
        <v>436</v>
      </c>
      <c r="E71" s="111"/>
      <c r="F71" s="111" t="s">
        <v>35</v>
      </c>
      <c r="G71" s="106" t="s">
        <v>435</v>
      </c>
      <c r="H71" s="111"/>
      <c r="I71" s="111" t="s">
        <v>38</v>
      </c>
      <c r="J71" s="113">
        <v>38.729999999999997</v>
      </c>
      <c r="K71" s="130">
        <v>58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123">
        <f>+IF(H72="s",0,IF(AA71=0,0,IF(COUNTA(M71:W71)=AK73+0.75,SUMIF($C:$C,B71,$AA:$AA)/AK73,SUMIF($C:$C,B71,$AA:$AA)/(COUNTA(M71:W71)))))</f>
        <v>0</v>
      </c>
      <c r="Y71" s="466"/>
      <c r="Z71" s="534"/>
      <c r="AA71" s="134">
        <f t="shared" si="48"/>
        <v>0</v>
      </c>
      <c r="AB71" s="354">
        <f>+AA71+AC71</f>
        <v>2336</v>
      </c>
      <c r="AC71" s="354">
        <v>2336</v>
      </c>
      <c r="AD71" s="355">
        <f>+AB70-AB71</f>
        <v>822</v>
      </c>
      <c r="AE71" s="131">
        <f>+IF(((AA72+(AA73/2))*60)=0,"",(J71*AA71)/((AA72+(AA73/2))*60))</f>
        <v>0</v>
      </c>
      <c r="AF71" s="347">
        <f>+AA72+AA73/2</f>
        <v>7.25</v>
      </c>
      <c r="AG71" s="347">
        <f t="shared" si="1"/>
        <v>7.15</v>
      </c>
      <c r="AH71" s="341">
        <f t="shared" si="2"/>
        <v>435</v>
      </c>
      <c r="AI71" s="341">
        <f>+AA71*J71</f>
        <v>0</v>
      </c>
      <c r="AJ71" s="356">
        <f>+AA71-(AF71*K71/K73)</f>
        <v>-10.011904761904763</v>
      </c>
      <c r="AK71" s="348"/>
      <c r="AL71" s="349"/>
      <c r="AM71" s="341"/>
      <c r="AN71" s="341"/>
      <c r="AO71" s="341"/>
      <c r="AP71" s="341"/>
      <c r="AQ71" s="339" t="str">
        <f t="shared" si="8"/>
        <v/>
      </c>
      <c r="AR71" s="434"/>
      <c r="AT71" s="390">
        <v>822</v>
      </c>
      <c r="AV71" s="390">
        <f t="shared" ref="AV71" si="49">+AT71-AD71</f>
        <v>0</v>
      </c>
      <c r="AW71" s="535"/>
      <c r="AX71" s="535"/>
      <c r="AY71" s="535"/>
      <c r="AZ71" s="535"/>
      <c r="BA71" s="535"/>
      <c r="BB71" s="535"/>
      <c r="BC71" s="535"/>
      <c r="BD71" s="535"/>
      <c r="BE71" s="535"/>
      <c r="BF71" s="535"/>
    </row>
    <row r="72" spans="2:59" s="98" customFormat="1" ht="62.25" customHeight="1" x14ac:dyDescent="0.9">
      <c r="B72" s="357">
        <f>+B71</f>
        <v>15</v>
      </c>
      <c r="C72" s="408"/>
      <c r="D72" s="184"/>
      <c r="E72" s="111">
        <f>+B71</f>
        <v>15</v>
      </c>
      <c r="F72" s="412"/>
      <c r="G72" s="113">
        <f>+IFERROR(IF(K73=0,0,IF((LOOKUP(2,1/(M72:W72&lt;&gt;""),M72:W72)-K73)&lt;0,0,IF(K73=0,"",LOOKUP(2,1/(M72:W72&lt;&gt;""),M72:W72)-K73))),0)</f>
        <v>0</v>
      </c>
      <c r="H72" s="411" t="s">
        <v>412</v>
      </c>
      <c r="I72" s="113"/>
      <c r="J72" s="113">
        <v>1</v>
      </c>
      <c r="K72" s="114" t="s">
        <v>22</v>
      </c>
      <c r="L72" s="102" t="s">
        <v>18</v>
      </c>
      <c r="M72" s="448">
        <v>1</v>
      </c>
      <c r="N72" s="448">
        <v>1</v>
      </c>
      <c r="O72" s="448">
        <v>1</v>
      </c>
      <c r="P72" s="448">
        <v>1</v>
      </c>
      <c r="Q72" s="448">
        <v>1</v>
      </c>
      <c r="R72" s="448">
        <v>1</v>
      </c>
      <c r="S72" s="448">
        <v>1</v>
      </c>
      <c r="T72" s="448">
        <v>1</v>
      </c>
      <c r="U72" s="448"/>
      <c r="V72" s="448"/>
      <c r="W72" s="448"/>
      <c r="X72" s="160">
        <f>+IF(H72="l",IF(COUNTA(M71:W71)=AK73+0.75,AA71-K71*AK73,AA71-(K71*COUNTA(M71:W71))),IF(H72="s",0,IF(COUNTA(M71:W71)=AK73+0.75,SUMIF($C:$C,B71,$AA:$AA)-K71*AK73,SUMIF($C:$C,B71,$AA:$AA)-K71*COUNTA(M71:W71))))</f>
        <v>0</v>
      </c>
      <c r="Y72" s="466"/>
      <c r="Z72" s="534"/>
      <c r="AA72" s="462">
        <f t="shared" ref="AA72:AA73" si="50">+SUM(M72:W72)-T72*0.75</f>
        <v>7.25</v>
      </c>
      <c r="AB72" s="360"/>
      <c r="AC72" s="360"/>
      <c r="AD72" s="362"/>
      <c r="AE72" s="363"/>
      <c r="AF72" s="346"/>
      <c r="AG72" s="347">
        <f t="shared" si="1"/>
        <v>0</v>
      </c>
      <c r="AH72" s="341">
        <f t="shared" si="2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7.25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9" s="98" customFormat="1" ht="62.25" customHeight="1" thickBot="1" x14ac:dyDescent="0.95">
      <c r="B73" s="364">
        <f>+B71</f>
        <v>15</v>
      </c>
      <c r="C73" s="410"/>
      <c r="D73" s="174" t="s">
        <v>93</v>
      </c>
      <c r="E73" s="175">
        <f>+E72+100</f>
        <v>115</v>
      </c>
      <c r="F73" s="175"/>
      <c r="G73" s="444">
        <f>+SUMPRODUCT((M72:W72&lt;&gt;"")*(M72:W72&lt;&gt;0)*(M72:W72-K73))</f>
        <v>-328</v>
      </c>
      <c r="H73" s="117"/>
      <c r="I73" s="442"/>
      <c r="J73" s="165">
        <f>+IF(K73="","",IF(K71=0,"",(K71*J71)/(K73*60)))</f>
        <v>0.89140476190476181</v>
      </c>
      <c r="K73" s="118">
        <v>42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/>
      <c r="Z73" s="365">
        <v>15.46</v>
      </c>
      <c r="AA73" s="465">
        <f t="shared" si="50"/>
        <v>0</v>
      </c>
      <c r="AB73" s="367"/>
      <c r="AC73" s="367"/>
      <c r="AD73" s="368">
        <f>+IFERROR(AD71/(K71*$AQ$3),"")</f>
        <v>1.619704433497537</v>
      </c>
      <c r="AE73" s="369"/>
      <c r="AF73" s="347"/>
      <c r="AG73" s="347">
        <f t="shared" si="1"/>
        <v>0</v>
      </c>
      <c r="AH73" s="341">
        <f t="shared" si="2"/>
        <v>0</v>
      </c>
      <c r="AI73" s="341"/>
      <c r="AJ73" s="356"/>
      <c r="AK73" s="370">
        <f>+$AJ$4</f>
        <v>7.25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1.619704433497537</v>
      </c>
      <c r="AV73" s="390"/>
    </row>
    <row r="74" spans="2:59" s="98" customFormat="1" ht="62.25" customHeight="1" thickTop="1" x14ac:dyDescent="0.9">
      <c r="B74" s="373">
        <f>+B75</f>
        <v>16</v>
      </c>
      <c r="C74" s="405"/>
      <c r="D74" s="106"/>
      <c r="E74" s="106"/>
      <c r="F74" s="106"/>
      <c r="G74" s="439" t="str">
        <f>+G75</f>
        <v>2158-755-712</v>
      </c>
      <c r="H74" s="106"/>
      <c r="I74" s="106"/>
      <c r="J74" s="107" t="s">
        <v>20</v>
      </c>
      <c r="K74" s="108" t="s">
        <v>23</v>
      </c>
      <c r="L74" s="100" t="s">
        <v>21</v>
      </c>
      <c r="M74" s="448"/>
      <c r="N74" s="448"/>
      <c r="O74" s="448"/>
      <c r="P74" s="448"/>
      <c r="Q74" s="448"/>
      <c r="R74" s="448"/>
      <c r="S74" s="448"/>
      <c r="T74" s="448"/>
      <c r="U74" s="448"/>
      <c r="V74" s="448"/>
      <c r="W74" s="448"/>
      <c r="X74" s="447" t="str">
        <f t="shared" ref="X74" si="51">IF(AQ75="","",SUM(M74:W74)-(-(AQ75-SUM(M74:W74))/$AQ$3)*SUM($M$2:$W$2))</f>
        <v/>
      </c>
      <c r="Y74" s="466"/>
      <c r="Z74" s="533">
        <f>+X76</f>
        <v>0</v>
      </c>
      <c r="AA74" s="447">
        <f t="shared" si="48"/>
        <v>0</v>
      </c>
      <c r="AB74" s="343">
        <f>+AC74+AA74</f>
        <v>3661</v>
      </c>
      <c r="AC74" s="343">
        <v>3661</v>
      </c>
      <c r="AD74" s="344"/>
      <c r="AE74" s="345"/>
      <c r="AF74" s="346"/>
      <c r="AG74" s="347">
        <f t="shared" si="1"/>
        <v>0</v>
      </c>
      <c r="AH74" s="341">
        <f t="shared" si="2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9" s="98" customFormat="1" ht="62.25" customHeight="1" x14ac:dyDescent="0.9">
      <c r="B75" s="374">
        <v>16</v>
      </c>
      <c r="C75" s="406">
        <f>+B75</f>
        <v>16</v>
      </c>
      <c r="D75" s="407" t="s">
        <v>431</v>
      </c>
      <c r="E75" s="111"/>
      <c r="F75" s="111" t="s">
        <v>35</v>
      </c>
      <c r="G75" s="106" t="s">
        <v>432</v>
      </c>
      <c r="H75" s="111"/>
      <c r="I75" s="111" t="s">
        <v>33</v>
      </c>
      <c r="J75" s="113">
        <v>51.42</v>
      </c>
      <c r="K75" s="130">
        <v>52</v>
      </c>
      <c r="L75" s="101" t="s">
        <v>17</v>
      </c>
      <c r="M75" s="214">
        <v>52</v>
      </c>
      <c r="N75" s="214">
        <v>30</v>
      </c>
      <c r="O75" s="214">
        <v>60</v>
      </c>
      <c r="P75" s="214">
        <v>57</v>
      </c>
      <c r="Q75" s="214">
        <v>52</v>
      </c>
      <c r="R75" s="214">
        <v>57</v>
      </c>
      <c r="S75" s="214">
        <v>57</v>
      </c>
      <c r="T75" s="214">
        <v>12</v>
      </c>
      <c r="U75" s="214"/>
      <c r="V75" s="214"/>
      <c r="W75" s="214"/>
      <c r="X75" s="123">
        <f>+IF(H76="s",0,IF(AA75=0,0,IF(COUNTA(M75:W75)=AK77+0.75,SUMIF($C:$C,B75,$AA:$AA)/AK77,SUMIF($C:$C,B75,$AA:$AA)/(COUNTA(M75:W75)))))</f>
        <v>52</v>
      </c>
      <c r="Y75" s="466"/>
      <c r="Z75" s="534"/>
      <c r="AA75" s="134">
        <f t="shared" si="48"/>
        <v>377</v>
      </c>
      <c r="AB75" s="354">
        <f>+AA75+AC75</f>
        <v>3230</v>
      </c>
      <c r="AC75" s="354">
        <v>2853</v>
      </c>
      <c r="AD75" s="355">
        <f>+AB74-AB75</f>
        <v>431</v>
      </c>
      <c r="AE75" s="131">
        <f>+IF(((AA76+(AA77/2))*60)=0,"",(J75*AA75)/((AA76+(AA77/2))*60))</f>
        <v>0.87380392156862741</v>
      </c>
      <c r="AF75" s="347">
        <f>+AA76+AA77/2</f>
        <v>369.75</v>
      </c>
      <c r="AG75" s="347">
        <f t="shared" si="1"/>
        <v>369.45</v>
      </c>
      <c r="AH75" s="341">
        <f t="shared" si="2"/>
        <v>22185</v>
      </c>
      <c r="AI75" s="341">
        <f>+AA75*J75</f>
        <v>19385.34</v>
      </c>
      <c r="AJ75" s="356">
        <f>+AA75-(AF75*K75/K77)</f>
        <v>0</v>
      </c>
      <c r="AK75" s="348"/>
      <c r="AL75" s="349"/>
      <c r="AM75" s="341"/>
      <c r="AN75" s="341"/>
      <c r="AO75" s="341"/>
      <c r="AP75" s="341"/>
      <c r="AQ75" s="339"/>
      <c r="AR75" s="434"/>
      <c r="AT75" s="390">
        <v>808</v>
      </c>
      <c r="AV75" s="390">
        <f t="shared" ref="AV75" si="52">+AT75-AD75</f>
        <v>377</v>
      </c>
      <c r="AW75" s="536"/>
      <c r="AX75" s="536"/>
      <c r="AY75" s="536"/>
      <c r="AZ75" s="536"/>
      <c r="BA75" s="536"/>
      <c r="BB75" s="536"/>
      <c r="BC75" s="536"/>
      <c r="BD75" s="536"/>
      <c r="BE75" s="536"/>
      <c r="BF75" s="536"/>
      <c r="BG75" s="536"/>
    </row>
    <row r="76" spans="2:59" s="98" customFormat="1" ht="62.25" customHeight="1" x14ac:dyDescent="0.9">
      <c r="B76" s="357">
        <f>+B75</f>
        <v>16</v>
      </c>
      <c r="C76" s="408"/>
      <c r="D76" s="184"/>
      <c r="E76" s="111">
        <f>+B75</f>
        <v>16</v>
      </c>
      <c r="F76" s="409"/>
      <c r="G76" s="113">
        <f>+IFERROR(IF(K77=0,0,IF((LOOKUP(2,1/(M76:W76&lt;&gt;""),M76:W76)-K77)&lt;0,0,IF(K77=0,"",LOOKUP(2,1/(M76:W76&lt;&gt;""),M76:W76)-K77))),0)</f>
        <v>0</v>
      </c>
      <c r="H76" s="411" t="s">
        <v>413</v>
      </c>
      <c r="I76" s="113"/>
      <c r="J76" s="113"/>
      <c r="K76" s="114" t="s">
        <v>22</v>
      </c>
      <c r="L76" s="102" t="s">
        <v>18</v>
      </c>
      <c r="M76" s="448">
        <v>51</v>
      </c>
      <c r="N76" s="448">
        <v>51</v>
      </c>
      <c r="O76" s="448">
        <v>51</v>
      </c>
      <c r="P76" s="448">
        <v>51</v>
      </c>
      <c r="Q76" s="448">
        <v>51</v>
      </c>
      <c r="R76" s="448">
        <v>51</v>
      </c>
      <c r="S76" s="448">
        <v>51</v>
      </c>
      <c r="T76" s="448">
        <v>51</v>
      </c>
      <c r="U76" s="448"/>
      <c r="V76" s="448"/>
      <c r="W76" s="448"/>
      <c r="X76" s="160">
        <f>+IF(H76="l",IF(COUNTA(M75:W75)=AK77+0.75,AA75-K75*AK77,AA75-(K75*COUNTA(M75:W75))),IF(H76="s",0,IF(COUNTA(M75:W75)=AK77+0.75,SUMIF($C:$C,B75,$AA:$AA)-K75*AK77,SUMIF($C:$C,B75,$AA:$AA)-K75*COUNTA(M75:W75))))</f>
        <v>0</v>
      </c>
      <c r="Y76" s="466"/>
      <c r="Z76" s="534"/>
      <c r="AA76" s="462">
        <f t="shared" ref="AA76:AA77" si="53">+SUM(M76:W76)-T76*0.75</f>
        <v>369.75</v>
      </c>
      <c r="AB76" s="360"/>
      <c r="AC76" s="360"/>
      <c r="AD76" s="362"/>
      <c r="AE76" s="363"/>
      <c r="AF76" s="346"/>
      <c r="AG76" s="347">
        <f t="shared" si="1"/>
        <v>0</v>
      </c>
      <c r="AH76" s="341">
        <f t="shared" si="2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369.75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9" s="98" customFormat="1" ht="62.25" customHeight="1" thickBot="1" x14ac:dyDescent="0.95">
      <c r="B77" s="375">
        <f>+B75</f>
        <v>16</v>
      </c>
      <c r="C77" s="410"/>
      <c r="D77" s="413" t="s">
        <v>152</v>
      </c>
      <c r="E77" s="175">
        <f>+E76+100</f>
        <v>116</v>
      </c>
      <c r="F77" s="175"/>
      <c r="G77" s="444">
        <f>+SUMPRODUCT((M76:W76&lt;&gt;"")*(M76:W76&lt;&gt;0)*(M76:W76-K77))</f>
        <v>0</v>
      </c>
      <c r="H77" s="117"/>
      <c r="I77" s="442"/>
      <c r="J77" s="165">
        <f>+IF(K77="","",IF(K75=0,"",(K75*J75)/(K77*60)))</f>
        <v>0.87380392156862752</v>
      </c>
      <c r="K77" s="118">
        <v>51</v>
      </c>
      <c r="L77" s="104" t="s">
        <v>19</v>
      </c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173"/>
      <c r="Y77" s="467"/>
      <c r="Z77" s="365">
        <v>18.93</v>
      </c>
      <c r="AA77" s="465">
        <f t="shared" si="53"/>
        <v>0</v>
      </c>
      <c r="AB77" s="367"/>
      <c r="AC77" s="367"/>
      <c r="AD77" s="368">
        <f>+IFERROR(AD75/(K75*$AQ$3),"")</f>
        <v>0.94725274725274722</v>
      </c>
      <c r="AE77" s="369"/>
      <c r="AF77" s="347"/>
      <c r="AG77" s="347">
        <f t="shared" si="1"/>
        <v>0</v>
      </c>
      <c r="AH77" s="341">
        <f t="shared" si="2"/>
        <v>0</v>
      </c>
      <c r="AI77" s="341"/>
      <c r="AJ77" s="356"/>
      <c r="AK77" s="370">
        <f>+$AJ$4</f>
        <v>7.25</v>
      </c>
      <c r="AL77" s="349">
        <f>+IF(AK77=7.75,SUM(M77:S77)+T77*0.75,IF(AK77=8,SUM(M77:T77),IF(AK77=7.25,SUM(M77:S77)+T77*0.25,IF(AK77=8.25,SUM(M77:T77)+U77*0.25,IF(AK77=8.75,SUM(M77:T77)+U77*0.75,0)))))</f>
        <v>0</v>
      </c>
      <c r="AM77" s="341">
        <f>+AL77-AA77</f>
        <v>0</v>
      </c>
      <c r="AN77" s="341"/>
      <c r="AO77" s="341"/>
      <c r="AP77" s="341"/>
      <c r="AQ77" s="369"/>
      <c r="AR77" s="434"/>
      <c r="AT77" s="390">
        <v>1.7758241758241757</v>
      </c>
      <c r="AV77" s="390"/>
    </row>
    <row r="78" spans="2:59" s="98" customFormat="1" ht="62.25" customHeight="1" thickTop="1" x14ac:dyDescent="0.9">
      <c r="B78" s="373">
        <f>+B79</f>
        <v>16</v>
      </c>
      <c r="C78" s="405"/>
      <c r="D78" s="106"/>
      <c r="E78" s="106"/>
      <c r="F78" s="106"/>
      <c r="G78" s="439" t="str">
        <f>+G79</f>
        <v>Cheristina-blanc</v>
      </c>
      <c r="H78" s="106"/>
      <c r="I78" s="106"/>
      <c r="J78" s="107" t="s">
        <v>20</v>
      </c>
      <c r="K78" s="108" t="s">
        <v>23</v>
      </c>
      <c r="L78" s="100" t="s">
        <v>21</v>
      </c>
      <c r="M78" s="448">
        <v>120</v>
      </c>
      <c r="N78" s="448">
        <v>120</v>
      </c>
      <c r="O78" s="448"/>
      <c r="P78" s="448"/>
      <c r="Q78" s="448"/>
      <c r="R78" s="448"/>
      <c r="S78" s="448"/>
      <c r="T78" s="448"/>
      <c r="U78" s="448"/>
      <c r="V78" s="448"/>
      <c r="W78" s="448"/>
      <c r="X78" s="447">
        <f t="shared" ref="X78" si="54">IF(AQ79="","",SUM(M78:W78)-(-(AQ79-SUM(M78:W78))/$AQ$3)*SUM($M$2:$W$2))</f>
        <v>240</v>
      </c>
      <c r="Y78" s="466"/>
      <c r="Z78" s="533">
        <f>+X80</f>
        <v>0</v>
      </c>
      <c r="AA78" s="447">
        <f t="shared" ref="AA78:AA79" si="55">+SUM(L78:W78)</f>
        <v>240</v>
      </c>
      <c r="AB78" s="343">
        <f>+AC78+AA78</f>
        <v>240</v>
      </c>
      <c r="AC78" s="343"/>
      <c r="AD78" s="344"/>
      <c r="AE78" s="345"/>
      <c r="AF78" s="346"/>
      <c r="AG78" s="347">
        <f t="shared" ref="AG78:AG81" si="56">TRUNC(AF78)+(AF78-TRUNC(AF78))*60/100</f>
        <v>0</v>
      </c>
      <c r="AH78" s="341">
        <f t="shared" ref="AH78:AH81" si="57">+AF78*60</f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9" s="98" customFormat="1" ht="62.25" customHeight="1" x14ac:dyDescent="0.9">
      <c r="B79" s="374">
        <v>16</v>
      </c>
      <c r="C79" s="406">
        <f>+B79</f>
        <v>16</v>
      </c>
      <c r="D79" s="407" t="s">
        <v>474</v>
      </c>
      <c r="E79" s="111"/>
      <c r="F79" s="111" t="s">
        <v>475</v>
      </c>
      <c r="G79" s="106" t="s">
        <v>476</v>
      </c>
      <c r="H79" s="111"/>
      <c r="I79" s="111" t="s">
        <v>477</v>
      </c>
      <c r="J79" s="113">
        <v>21.04</v>
      </c>
      <c r="K79" s="130">
        <v>140</v>
      </c>
      <c r="L79" s="101" t="s">
        <v>17</v>
      </c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123">
        <f>+IF(H80="s",0,IF(AA79=0,0,IF(COUNTA(M79:W79)=AK81+0.75,SUMIF($C:$C,B79,$AA:$AA)/AK81,SUMIF($C:$C,B79,$AA:$AA)/(COUNTA(M79:W79)))))</f>
        <v>0</v>
      </c>
      <c r="Y79" s="466"/>
      <c r="Z79" s="534"/>
      <c r="AA79" s="134">
        <f t="shared" si="55"/>
        <v>0</v>
      </c>
      <c r="AB79" s="354">
        <f>+AA79+AC79</f>
        <v>0</v>
      </c>
      <c r="AC79" s="354"/>
      <c r="AD79" s="355">
        <f>+AB78-AB79</f>
        <v>240</v>
      </c>
      <c r="AE79" s="131">
        <f>+IF(((AA80+(AA81/2))*60)=0,"",(J79*AA79)/((AA80+(AA81/2))*60))</f>
        <v>0</v>
      </c>
      <c r="AF79" s="347">
        <f>+AA80+AA81/2</f>
        <v>5.25</v>
      </c>
      <c r="AG79" s="347">
        <f t="shared" si="56"/>
        <v>5.15</v>
      </c>
      <c r="AH79" s="341">
        <f t="shared" si="57"/>
        <v>315</v>
      </c>
      <c r="AI79" s="341">
        <f>+AA79*J79</f>
        <v>0</v>
      </c>
      <c r="AJ79" s="356">
        <f>+AA79-(AF79*K79/K81)</f>
        <v>-13.125</v>
      </c>
      <c r="AK79" s="348"/>
      <c r="AL79" s="349"/>
      <c r="AM79" s="341"/>
      <c r="AN79" s="341"/>
      <c r="AO79" s="341"/>
      <c r="AP79" s="341"/>
      <c r="AQ79" s="339">
        <f>-240+AA78</f>
        <v>0</v>
      </c>
      <c r="AR79" s="434"/>
      <c r="AT79" s="390">
        <v>808</v>
      </c>
      <c r="AV79" s="390">
        <f t="shared" ref="AV79" si="58">+AT79-AD79</f>
        <v>568</v>
      </c>
      <c r="AW79" s="536"/>
      <c r="AX79" s="536"/>
      <c r="AY79" s="536"/>
      <c r="AZ79" s="536"/>
      <c r="BA79" s="536"/>
      <c r="BB79" s="536"/>
      <c r="BC79" s="536"/>
      <c r="BD79" s="536"/>
      <c r="BE79" s="536"/>
      <c r="BF79" s="536"/>
      <c r="BG79" s="536"/>
    </row>
    <row r="80" spans="2:59" s="98" customFormat="1" ht="62.25" customHeight="1" x14ac:dyDescent="0.9">
      <c r="B80" s="357">
        <f>+B79</f>
        <v>16</v>
      </c>
      <c r="C80" s="408"/>
      <c r="D80" s="184"/>
      <c r="E80" s="111">
        <f>+B79</f>
        <v>16</v>
      </c>
      <c r="F80" s="409"/>
      <c r="G80" s="113">
        <f>+IFERROR(IF(K81=0,0,IF((LOOKUP(2,1/(M80:W80&lt;&gt;""),M80:W80)-K81)&lt;0,0,IF(K81=0,"",LOOKUP(2,1/(M80:W80&lt;&gt;""),M80:W80)-K81))),0)</f>
        <v>0</v>
      </c>
      <c r="H80" s="411" t="s">
        <v>413</v>
      </c>
      <c r="I80" s="113"/>
      <c r="J80" s="113"/>
      <c r="K80" s="114" t="s">
        <v>22</v>
      </c>
      <c r="L80" s="102" t="s">
        <v>18</v>
      </c>
      <c r="M80" s="448"/>
      <c r="N80" s="448"/>
      <c r="O80" s="448">
        <v>1</v>
      </c>
      <c r="P80" s="448">
        <v>1</v>
      </c>
      <c r="Q80" s="448">
        <v>1</v>
      </c>
      <c r="R80" s="448">
        <v>1</v>
      </c>
      <c r="S80" s="448">
        <v>1</v>
      </c>
      <c r="T80" s="448">
        <v>1</v>
      </c>
      <c r="U80" s="448"/>
      <c r="V80" s="448"/>
      <c r="W80" s="448"/>
      <c r="X80" s="160">
        <f>+IF(H80="l",IF(COUNTA(M79:W79)=AK81+0.75,AA79-K79*AK81,AA79-(K79*COUNTA(M79:W79))),IF(H80="s",0,IF(COUNTA(M79:W79)=AK81+0.75,SUMIF($C:$C,B79,$AA:$AA)-K79*AK81,SUMIF($C:$C,B79,$AA:$AA)-K79*COUNTA(M79:W79))))</f>
        <v>0</v>
      </c>
      <c r="Y80" s="466"/>
      <c r="Z80" s="534"/>
      <c r="AA80" s="462">
        <f t="shared" ref="AA80:AA81" si="59">+SUM(M80:W80)-T80*0.75</f>
        <v>5.25</v>
      </c>
      <c r="AB80" s="360"/>
      <c r="AC80" s="360"/>
      <c r="AD80" s="362"/>
      <c r="AE80" s="363"/>
      <c r="AF80" s="346"/>
      <c r="AG80" s="347">
        <f t="shared" si="56"/>
        <v>0</v>
      </c>
      <c r="AH80" s="341">
        <f t="shared" si="57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5.25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48" s="98" customFormat="1" ht="62.25" customHeight="1" thickBot="1" x14ac:dyDescent="0.95">
      <c r="B81" s="375">
        <f>+B79</f>
        <v>16</v>
      </c>
      <c r="C81" s="410"/>
      <c r="D81" s="413" t="s">
        <v>152</v>
      </c>
      <c r="E81" s="175">
        <f>+E80+100</f>
        <v>116</v>
      </c>
      <c r="F81" s="175"/>
      <c r="G81" s="444">
        <f>+SUMPRODUCT((M80:W80&lt;&gt;"")*(M80:W80&lt;&gt;0)*(M80:W80-K81))</f>
        <v>-330</v>
      </c>
      <c r="H81" s="117"/>
      <c r="I81" s="442"/>
      <c r="J81" s="165">
        <f>+IF(K81="","",IF(K79=0,"",(K79*J79)/(K81*60)))</f>
        <v>0.87666666666666659</v>
      </c>
      <c r="K81" s="118">
        <v>56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/>
      <c r="Z81" s="371">
        <f>+IF(COUNTA(M79:W79)=$AJ$4+0.25,$AJ$4-(AA79/K79),COUNTA(M79:W79)-(AA79/K79))+Y81</f>
        <v>0</v>
      </c>
      <c r="AA81" s="465">
        <f t="shared" si="59"/>
        <v>0</v>
      </c>
      <c r="AB81" s="367"/>
      <c r="AC81" s="367"/>
      <c r="AD81" s="368">
        <f>+IFERROR(AD79/(K79*$AQ$3),"")</f>
        <v>0.19591836734693877</v>
      </c>
      <c r="AE81" s="369"/>
      <c r="AF81" s="347"/>
      <c r="AG81" s="347">
        <f t="shared" si="56"/>
        <v>0</v>
      </c>
      <c r="AH81" s="341">
        <f t="shared" si="57"/>
        <v>0</v>
      </c>
      <c r="AI81" s="341"/>
      <c r="AJ81" s="356"/>
      <c r="AK81" s="370">
        <f>+$AJ$4</f>
        <v>7.25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1.7758241758241757</v>
      </c>
      <c r="AV81" s="390"/>
    </row>
    <row r="82" spans="2:48" s="98" customFormat="1" ht="62.25" customHeight="1" thickTop="1" x14ac:dyDescent="0.9">
      <c r="B82" s="342">
        <f>+B83</f>
        <v>17</v>
      </c>
      <c r="C82" s="405"/>
      <c r="D82" s="106"/>
      <c r="E82" s="106"/>
      <c r="F82" s="106"/>
      <c r="G82" s="439" t="str">
        <f>+G83</f>
        <v>2215-518-800</v>
      </c>
      <c r="H82" s="106"/>
      <c r="I82" s="111"/>
      <c r="J82" s="107" t="s">
        <v>20</v>
      </c>
      <c r="K82" s="108" t="s">
        <v>23</v>
      </c>
      <c r="L82" s="100" t="s">
        <v>21</v>
      </c>
      <c r="M82" s="448">
        <v>60</v>
      </c>
      <c r="N82" s="448">
        <v>40</v>
      </c>
      <c r="O82" s="448"/>
      <c r="P82" s="448"/>
      <c r="Q82" s="448"/>
      <c r="R82" s="448"/>
      <c r="S82" s="448"/>
      <c r="T82" s="448"/>
      <c r="U82" s="448"/>
      <c r="V82" s="448"/>
      <c r="W82" s="448"/>
      <c r="X82" s="447" t="str">
        <f t="shared" ref="X82" si="60">IF(AQ83="","",SUM(M82:W82)-(-(AQ83-SUM(M82:W82))/$AQ$3)*SUM($M$2:$W$2))</f>
        <v/>
      </c>
      <c r="Y82" s="466"/>
      <c r="Z82" s="533">
        <f>+X84</f>
        <v>-9</v>
      </c>
      <c r="AA82" s="447">
        <f t="shared" si="48"/>
        <v>100</v>
      </c>
      <c r="AB82" s="343">
        <f>+AC82+AA82</f>
        <v>8553</v>
      </c>
      <c r="AC82" s="343">
        <v>8453</v>
      </c>
      <c r="AD82" s="344"/>
      <c r="AE82" s="345"/>
      <c r="AF82" s="346"/>
      <c r="AG82" s="347">
        <f t="shared" si="1"/>
        <v>0</v>
      </c>
      <c r="AH82" s="341">
        <f t="shared" si="2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48" s="98" customFormat="1" ht="62.25" customHeight="1" x14ac:dyDescent="0.9">
      <c r="B83" s="351">
        <v>17</v>
      </c>
      <c r="C83" s="406">
        <f>+B83</f>
        <v>17</v>
      </c>
      <c r="D83" s="407" t="s">
        <v>423</v>
      </c>
      <c r="E83" s="111"/>
      <c r="F83" s="111" t="s">
        <v>35</v>
      </c>
      <c r="G83" s="106" t="s">
        <v>424</v>
      </c>
      <c r="H83" s="111"/>
      <c r="I83" s="111" t="s">
        <v>33</v>
      </c>
      <c r="J83" s="113">
        <v>33.42</v>
      </c>
      <c r="K83" s="130">
        <v>60</v>
      </c>
      <c r="L83" s="101" t="s">
        <v>17</v>
      </c>
      <c r="M83" s="214">
        <v>40</v>
      </c>
      <c r="N83" s="214">
        <v>43</v>
      </c>
      <c r="O83" s="214">
        <v>62</v>
      </c>
      <c r="P83" s="214">
        <v>60</v>
      </c>
      <c r="Q83" s="214">
        <v>70</v>
      </c>
      <c r="R83" s="214">
        <v>75</v>
      </c>
      <c r="S83" s="214">
        <v>66</v>
      </c>
      <c r="T83" s="214">
        <v>10</v>
      </c>
      <c r="U83" s="214"/>
      <c r="V83" s="214"/>
      <c r="W83" s="214"/>
      <c r="X83" s="123">
        <f>+IF(H84="s",0,IF(AA83=0,0,IF(COUNTA(M83:W83)=AK85+0.75,SUMIF($C:$C,B83,$AA:$AA)/AK85,SUMIF($C:$C,B83,$AA:$AA)/(COUNTA(M83:W83)))))</f>
        <v>58.758620689655174</v>
      </c>
      <c r="Y83" s="466"/>
      <c r="Z83" s="534"/>
      <c r="AA83" s="134">
        <f t="shared" si="48"/>
        <v>426</v>
      </c>
      <c r="AB83" s="354">
        <f>+AA83+AC83</f>
        <v>8095</v>
      </c>
      <c r="AC83" s="354">
        <v>7669</v>
      </c>
      <c r="AD83" s="355">
        <f>+AB82-AB83</f>
        <v>458</v>
      </c>
      <c r="AE83" s="131">
        <f>+IF(((AA84+(AA85/2))*60)=0,"",(J83*AA83)/((AA84+(AA85/2))*60))</f>
        <v>0.87075963302752291</v>
      </c>
      <c r="AF83" s="347">
        <f>+AA84+AA85/2</f>
        <v>272.5</v>
      </c>
      <c r="AG83" s="347">
        <f t="shared" si="1"/>
        <v>272.3</v>
      </c>
      <c r="AH83" s="341">
        <f t="shared" si="2"/>
        <v>16350</v>
      </c>
      <c r="AI83" s="341">
        <f>+AA83*J83</f>
        <v>14236.92</v>
      </c>
      <c r="AJ83" s="356">
        <f>+AA83-(AF83*K83/K85)</f>
        <v>-4.2631578947368212</v>
      </c>
      <c r="AK83" s="348"/>
      <c r="AL83" s="349"/>
      <c r="AM83" s="341"/>
      <c r="AN83" s="341"/>
      <c r="AO83" s="341"/>
      <c r="AP83" s="341"/>
      <c r="AQ83" s="339"/>
      <c r="AR83" s="434"/>
      <c r="AT83" s="390">
        <v>784</v>
      </c>
      <c r="AV83" s="390">
        <f t="shared" ref="AV83" si="61">+AT83-AD83</f>
        <v>326</v>
      </c>
    </row>
    <row r="84" spans="2:48" s="98" customFormat="1" ht="62.25" customHeight="1" x14ac:dyDescent="0.9">
      <c r="B84" s="357">
        <f>+B83</f>
        <v>17</v>
      </c>
      <c r="C84" s="408"/>
      <c r="D84" s="184"/>
      <c r="E84" s="111">
        <f>+B83</f>
        <v>17</v>
      </c>
      <c r="F84" s="409"/>
      <c r="G84" s="113">
        <f>+IFERROR(IF(K85=0,0,IF((LOOKUP(2,1/(M84:W84&lt;&gt;""),M84:W84)-K85)&lt;0,0,IF(K85=0,"",LOOKUP(2,1/(M84:W84&lt;&gt;""),M84:W84)-K85))),0)</f>
        <v>0</v>
      </c>
      <c r="H84" s="411"/>
      <c r="I84" s="113"/>
      <c r="J84" s="113">
        <v>1</v>
      </c>
      <c r="K84" s="114" t="s">
        <v>22</v>
      </c>
      <c r="L84" s="102" t="s">
        <v>18</v>
      </c>
      <c r="M84" s="448">
        <v>38</v>
      </c>
      <c r="N84" s="448">
        <v>38</v>
      </c>
      <c r="O84" s="448">
        <v>38</v>
      </c>
      <c r="P84" s="448">
        <v>37</v>
      </c>
      <c r="Q84" s="448">
        <v>36</v>
      </c>
      <c r="R84" s="448">
        <v>38</v>
      </c>
      <c r="S84" s="448">
        <v>38</v>
      </c>
      <c r="T84" s="448">
        <v>38</v>
      </c>
      <c r="U84" s="448"/>
      <c r="V84" s="448"/>
      <c r="W84" s="448"/>
      <c r="X84" s="160">
        <f>+IF(H84="l",IF(COUNTA(M83:W83)=AK85+0.75,AA83-K83*AK85,AA83-(K83*COUNTA(M83:W83))),IF(H84="s",0,IF(COUNTA(M83:W83)=AK85+0.75,SUMIF($C:$C,B83,$AA:$AA)-K83*AK85,SUMIF($C:$C,B83,$AA:$AA)-K83*COUNTA(M83:W83))))</f>
        <v>-9</v>
      </c>
      <c r="Y84" s="466"/>
      <c r="Z84" s="534"/>
      <c r="AA84" s="462">
        <f t="shared" ref="AA84:AA85" si="62">+SUM(M84:W84)-T84*0.75</f>
        <v>272.5</v>
      </c>
      <c r="AB84" s="360"/>
      <c r="AC84" s="360"/>
      <c r="AD84" s="362"/>
      <c r="AE84" s="363"/>
      <c r="AF84" s="346"/>
      <c r="AG84" s="347">
        <f t="shared" si="1"/>
        <v>0</v>
      </c>
      <c r="AH84" s="341">
        <f t="shared" si="2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272.5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48" s="98" customFormat="1" ht="62.25" customHeight="1" thickBot="1" x14ac:dyDescent="0.95">
      <c r="B85" s="364">
        <f>+B83</f>
        <v>17</v>
      </c>
      <c r="C85" s="410"/>
      <c r="D85" s="174" t="s">
        <v>379</v>
      </c>
      <c r="E85" s="175">
        <f>+E84+100</f>
        <v>117</v>
      </c>
      <c r="F85" s="175"/>
      <c r="G85" s="444"/>
      <c r="H85" s="117"/>
      <c r="I85" s="442"/>
      <c r="J85" s="165">
        <f>+IF(K85="","",IF(K83=0,"",(K83*J83)/(K85*60)))</f>
        <v>0.8794736842105263</v>
      </c>
      <c r="K85" s="118">
        <v>38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/>
      <c r="Z85" s="365">
        <v>15.5</v>
      </c>
      <c r="AA85" s="465">
        <f t="shared" si="62"/>
        <v>0</v>
      </c>
      <c r="AB85" s="367"/>
      <c r="AC85" s="367"/>
      <c r="AD85" s="368">
        <f>+IFERROR(AD83/(K83*$AQ$3),"")</f>
        <v>0.87238095238095237</v>
      </c>
      <c r="AE85" s="369"/>
      <c r="AF85" s="347"/>
      <c r="AG85" s="347">
        <f t="shared" si="1"/>
        <v>0</v>
      </c>
      <c r="AH85" s="341">
        <f t="shared" si="2"/>
        <v>0</v>
      </c>
      <c r="AI85" s="341"/>
      <c r="AJ85" s="356"/>
      <c r="AK85" s="370">
        <f>+$AJ$4</f>
        <v>7.25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1.4933333333333334</v>
      </c>
      <c r="AV85" s="390"/>
    </row>
    <row r="86" spans="2:48" s="98" customFormat="1" ht="62.25" customHeight="1" thickTop="1" x14ac:dyDescent="0.9">
      <c r="B86" s="342">
        <f>+B87</f>
        <v>17</v>
      </c>
      <c r="C86" s="405"/>
      <c r="D86" s="106"/>
      <c r="E86" s="106"/>
      <c r="F86" s="106"/>
      <c r="G86" s="439" t="str">
        <f>+G87</f>
        <v>2259-600-730</v>
      </c>
      <c r="H86" s="106"/>
      <c r="I86" s="111"/>
      <c r="J86" s="107" t="s">
        <v>20</v>
      </c>
      <c r="K86" s="108" t="s">
        <v>23</v>
      </c>
      <c r="L86" s="100" t="s">
        <v>21</v>
      </c>
      <c r="M86" s="448"/>
      <c r="N86" s="448"/>
      <c r="O86" s="448"/>
      <c r="P86" s="448">
        <v>120</v>
      </c>
      <c r="Q86" s="448">
        <v>120</v>
      </c>
      <c r="R86" s="448"/>
      <c r="S86" s="448"/>
      <c r="T86" s="448"/>
      <c r="U86" s="448"/>
      <c r="V86" s="448"/>
      <c r="W86" s="448"/>
      <c r="X86" s="447">
        <f t="shared" ref="X86" si="63">IF(AQ87="","",SUM(M86:W86)-(-(AQ87-SUM(M86:W86))/$AQ$3)*SUM($M$2:$W$2))</f>
        <v>240</v>
      </c>
      <c r="Y86" s="466"/>
      <c r="Z86" s="533">
        <f>+X88</f>
        <v>426</v>
      </c>
      <c r="AA86" s="447">
        <f t="shared" si="48"/>
        <v>240</v>
      </c>
      <c r="AB86" s="343">
        <f>+AC86+AA86</f>
        <v>240</v>
      </c>
      <c r="AC86" s="343">
        <v>0</v>
      </c>
      <c r="AD86" s="344"/>
      <c r="AE86" s="345"/>
      <c r="AF86" s="346"/>
      <c r="AG86" s="347">
        <f t="shared" ref="AG86:AG93" si="64">TRUNC(AF86)+(AF86-TRUNC(AF86))*60/100</f>
        <v>0</v>
      </c>
      <c r="AH86" s="341">
        <f t="shared" ref="AH86:AH93" si="65">+AF86*60</f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48" s="98" customFormat="1" ht="62.25" customHeight="1" x14ac:dyDescent="0.9">
      <c r="B87" s="351">
        <v>17</v>
      </c>
      <c r="C87" s="406">
        <f>+B87</f>
        <v>17</v>
      </c>
      <c r="D87" s="407" t="s">
        <v>441</v>
      </c>
      <c r="E87" s="111"/>
      <c r="F87" s="111" t="s">
        <v>35</v>
      </c>
      <c r="G87" s="106" t="s">
        <v>442</v>
      </c>
      <c r="H87" s="111"/>
      <c r="I87" s="111" t="s">
        <v>33</v>
      </c>
      <c r="J87" s="113">
        <v>35.68</v>
      </c>
      <c r="K87" s="130">
        <v>65</v>
      </c>
      <c r="L87" s="101" t="s">
        <v>17</v>
      </c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123">
        <f>+IF(H88="s",0,IF(AA87=0,0,IF(COUNTA(M87:W87)=AK89+0.75,SUMIF($C:$C,B87,$AA:$AA)/AK89,SUMIF($C:$C,B87,$AA:$AA)/(COUNTA(M87:W87)))))</f>
        <v>0</v>
      </c>
      <c r="Y87" s="466"/>
      <c r="Z87" s="534"/>
      <c r="AA87" s="134">
        <f t="shared" si="48"/>
        <v>0</v>
      </c>
      <c r="AB87" s="354">
        <f>+AA87+AC87</f>
        <v>0</v>
      </c>
      <c r="AC87" s="354">
        <v>0</v>
      </c>
      <c r="AD87" s="355">
        <f>+AB86-AB87</f>
        <v>240</v>
      </c>
      <c r="AE87" s="131">
        <f>+IF(((AA88+(AA89/2))*60)=0,"",(J87*AA87)/((AA88+(AA89/2))*60))</f>
        <v>0</v>
      </c>
      <c r="AF87" s="347">
        <f>+AA88+AA89/2</f>
        <v>7.5</v>
      </c>
      <c r="AG87" s="347">
        <f t="shared" si="64"/>
        <v>7.3</v>
      </c>
      <c r="AH87" s="341">
        <f t="shared" si="65"/>
        <v>450</v>
      </c>
      <c r="AI87" s="341">
        <f>+AA87*J87</f>
        <v>0</v>
      </c>
      <c r="AJ87" s="356">
        <f>+AA87-(AF87*K87/K89)</f>
        <v>-11.079545454545455</v>
      </c>
      <c r="AK87" s="348"/>
      <c r="AL87" s="349"/>
      <c r="AM87" s="341"/>
      <c r="AN87" s="341"/>
      <c r="AO87" s="341"/>
      <c r="AP87" s="341"/>
      <c r="AQ87" s="339">
        <f>-240+AA86</f>
        <v>0</v>
      </c>
      <c r="AR87" s="434"/>
      <c r="AT87" s="390">
        <v>0</v>
      </c>
      <c r="AV87" s="390">
        <f t="shared" ref="AV87" si="66">+AT87-AD87</f>
        <v>-240</v>
      </c>
    </row>
    <row r="88" spans="2:48" s="98" customFormat="1" ht="62.25" customHeight="1" x14ac:dyDescent="0.9">
      <c r="B88" s="357">
        <f>+B87</f>
        <v>17</v>
      </c>
      <c r="C88" s="408"/>
      <c r="D88" s="184"/>
      <c r="E88" s="111">
        <f>+B87</f>
        <v>17</v>
      </c>
      <c r="F88" s="409"/>
      <c r="G88" s="113">
        <f>+IFERROR(IF(K89=0,0,IF((LOOKUP(2,1/(M88:W88&lt;&gt;""),M88:W88)-K89)&lt;0,0,IF(K89=0,"",LOOKUP(2,1/(M88:W88&lt;&gt;""),M88:W88)-K89))),0)</f>
        <v>0</v>
      </c>
      <c r="H88" s="411"/>
      <c r="I88" s="113"/>
      <c r="J88" s="113"/>
      <c r="K88" s="114" t="s">
        <v>22</v>
      </c>
      <c r="L88" s="102" t="s">
        <v>18</v>
      </c>
      <c r="M88" s="448"/>
      <c r="N88" s="448"/>
      <c r="O88" s="448"/>
      <c r="P88" s="448">
        <v>1</v>
      </c>
      <c r="Q88" s="448">
        <v>2</v>
      </c>
      <c r="R88" s="448">
        <v>2</v>
      </c>
      <c r="S88" s="448">
        <v>2</v>
      </c>
      <c r="T88" s="448">
        <v>2</v>
      </c>
      <c r="U88" s="448"/>
      <c r="V88" s="448"/>
      <c r="W88" s="448"/>
      <c r="X88" s="160">
        <f>+IF(H88="l",IF(COUNTA(M87:W87)=AK89+0.75,AA87-K87*AK89,AA87-(K87*COUNTA(M87:W87))),IF(H88="s",0,IF(COUNTA(M87:W87)=AK89+0.75,SUMIF($C:$C,B87,$AA:$AA)-K87*AK89,SUMIF($C:$C,B87,$AA:$AA)-K87*COUNTA(M87:W87))))</f>
        <v>426</v>
      </c>
      <c r="Y88" s="466"/>
      <c r="Z88" s="534"/>
      <c r="AA88" s="462">
        <f t="shared" ref="AA88:AA89" si="67">+SUM(M88:W88)-T88*0.75</f>
        <v>7.5</v>
      </c>
      <c r="AB88" s="360"/>
      <c r="AC88" s="360"/>
      <c r="AD88" s="362"/>
      <c r="AE88" s="363"/>
      <c r="AF88" s="346"/>
      <c r="AG88" s="347">
        <f t="shared" si="64"/>
        <v>0</v>
      </c>
      <c r="AH88" s="341">
        <f t="shared" si="65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7.5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48" s="98" customFormat="1" ht="62.25" customHeight="1" thickBot="1" x14ac:dyDescent="0.95">
      <c r="B89" s="364">
        <f>+B87</f>
        <v>17</v>
      </c>
      <c r="C89" s="410"/>
      <c r="D89" s="174" t="s">
        <v>379</v>
      </c>
      <c r="E89" s="175">
        <f>+E88+100</f>
        <v>117</v>
      </c>
      <c r="F89" s="175"/>
      <c r="G89" s="444"/>
      <c r="H89" s="117"/>
      <c r="I89" s="442"/>
      <c r="J89" s="165">
        <f>+IF(K89="","",IF(K87=0,"",(K87*J87)/(K89*60)))</f>
        <v>0.87848484848484842</v>
      </c>
      <c r="K89" s="118">
        <v>44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/>
      <c r="Z89" s="371">
        <f>+IF(COUNTA(M87:W87)=$AJ$4+0.25,$AJ$4-(AA87/K87),COUNTA(M87:W87)-(AA87/K87))+Y89</f>
        <v>0</v>
      </c>
      <c r="AA89" s="465">
        <f t="shared" si="67"/>
        <v>0</v>
      </c>
      <c r="AB89" s="367"/>
      <c r="AC89" s="367"/>
      <c r="AD89" s="368">
        <f>+IFERROR(AD87/(K87*$AQ$3),"")</f>
        <v>0.42197802197802198</v>
      </c>
      <c r="AE89" s="369"/>
      <c r="AF89" s="347"/>
      <c r="AG89" s="347">
        <f t="shared" si="64"/>
        <v>0</v>
      </c>
      <c r="AH89" s="341">
        <f t="shared" si="65"/>
        <v>0</v>
      </c>
      <c r="AI89" s="341"/>
      <c r="AJ89" s="356"/>
      <c r="AK89" s="370">
        <f>+$AJ$4</f>
        <v>7.25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0</v>
      </c>
      <c r="AV89" s="390"/>
    </row>
    <row r="90" spans="2:48" s="98" customFormat="1" ht="62.25" customHeight="1" thickTop="1" x14ac:dyDescent="0.9">
      <c r="B90" s="373">
        <f>+B91</f>
        <v>18</v>
      </c>
      <c r="C90" s="405"/>
      <c r="D90" s="106"/>
      <c r="E90" s="106"/>
      <c r="F90" s="106"/>
      <c r="G90" s="439" t="str">
        <f>+G91</f>
        <v>2158-755-712</v>
      </c>
      <c r="H90" s="106"/>
      <c r="I90" s="106"/>
      <c r="J90" s="107" t="s">
        <v>20</v>
      </c>
      <c r="K90" s="108" t="s">
        <v>23</v>
      </c>
      <c r="L90" s="100" t="s">
        <v>21</v>
      </c>
      <c r="M90" s="448">
        <v>120</v>
      </c>
      <c r="N90" s="448">
        <v>60</v>
      </c>
      <c r="O90" s="448"/>
      <c r="P90" s="448">
        <v>60</v>
      </c>
      <c r="Q90" s="448">
        <v>120</v>
      </c>
      <c r="R90" s="448"/>
      <c r="S90" s="448"/>
      <c r="T90" s="448"/>
      <c r="U90" s="448"/>
      <c r="V90" s="448"/>
      <c r="W90" s="448"/>
      <c r="X90" s="447">
        <f t="shared" ref="X90" si="68">IF(AQ91="","",SUM(M90:W90)-(-(AQ91-SUM(M90:W90))/$AQ$3)*SUM($M$2:$W$2))</f>
        <v>360</v>
      </c>
      <c r="Y90" s="466"/>
      <c r="Z90" s="533">
        <f>+X92</f>
        <v>0</v>
      </c>
      <c r="AA90" s="447">
        <f t="shared" si="48"/>
        <v>360</v>
      </c>
      <c r="AB90" s="343">
        <f>+AC90+AA90</f>
        <v>4513</v>
      </c>
      <c r="AC90" s="343">
        <v>4153</v>
      </c>
      <c r="AD90" s="344"/>
      <c r="AE90" s="345"/>
      <c r="AF90" s="346"/>
      <c r="AG90" s="347">
        <f t="shared" si="64"/>
        <v>0</v>
      </c>
      <c r="AH90" s="341">
        <f t="shared" si="65"/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48" s="98" customFormat="1" ht="62.25" customHeight="1" x14ac:dyDescent="0.9">
      <c r="B91" s="374">
        <v>18</v>
      </c>
      <c r="C91" s="406">
        <f>+B91</f>
        <v>18</v>
      </c>
      <c r="D91" s="407" t="s">
        <v>431</v>
      </c>
      <c r="E91" s="111"/>
      <c r="F91" s="111" t="s">
        <v>35</v>
      </c>
      <c r="G91" s="106" t="s">
        <v>432</v>
      </c>
      <c r="H91" s="111"/>
      <c r="I91" s="111" t="s">
        <v>33</v>
      </c>
      <c r="J91" s="113">
        <v>51.42</v>
      </c>
      <c r="K91" s="130">
        <v>52</v>
      </c>
      <c r="L91" s="101" t="s">
        <v>17</v>
      </c>
      <c r="M91" s="214">
        <v>52</v>
      </c>
      <c r="N91" s="214">
        <v>52</v>
      </c>
      <c r="O91" s="214">
        <v>52</v>
      </c>
      <c r="P91" s="214">
        <v>52</v>
      </c>
      <c r="Q91" s="214">
        <v>52</v>
      </c>
      <c r="R91" s="214">
        <v>52</v>
      </c>
      <c r="S91" s="214">
        <v>52</v>
      </c>
      <c r="T91" s="214">
        <v>13</v>
      </c>
      <c r="U91" s="214"/>
      <c r="V91" s="214"/>
      <c r="W91" s="214"/>
      <c r="X91" s="123">
        <f>+IF(H92="s",0,IF(AA91=0,0,IF(COUNTA(M91:W91)=AK93+0.75,SUMIF($C:$C,B91,$AA:$AA)/AK93,SUMIF($C:$C,B91,$AA:$AA)/(COUNTA(M91:W91)))))</f>
        <v>52</v>
      </c>
      <c r="Y91" s="466"/>
      <c r="Z91" s="534"/>
      <c r="AA91" s="134">
        <f t="shared" si="48"/>
        <v>377</v>
      </c>
      <c r="AB91" s="354">
        <f>+AA91+AC91</f>
        <v>3823</v>
      </c>
      <c r="AC91" s="354">
        <v>3446</v>
      </c>
      <c r="AD91" s="355">
        <f>+AB90-AB91</f>
        <v>690</v>
      </c>
      <c r="AE91" s="131">
        <f>+IF(((AA92+(AA93/2))*60)=0,"",(J91*AA91)/((AA92+(AA93/2))*60))</f>
        <v>0.87380392156862741</v>
      </c>
      <c r="AF91" s="347">
        <f>+AA92+AA93/2</f>
        <v>369.75</v>
      </c>
      <c r="AG91" s="347">
        <f t="shared" si="64"/>
        <v>369.45</v>
      </c>
      <c r="AH91" s="341">
        <f t="shared" si="65"/>
        <v>22185</v>
      </c>
      <c r="AI91" s="341">
        <f>+AA91*J91</f>
        <v>19385.34</v>
      </c>
      <c r="AJ91" s="356">
        <f>+AA91-(AF91*K91/K93)</f>
        <v>0</v>
      </c>
      <c r="AK91" s="348"/>
      <c r="AL91" s="349"/>
      <c r="AM91" s="341"/>
      <c r="AN91" s="341"/>
      <c r="AO91" s="341"/>
      <c r="AP91" s="341"/>
      <c r="AQ91" s="339">
        <f>-360+AA90</f>
        <v>0</v>
      </c>
      <c r="AR91" s="434">
        <v>1.5</v>
      </c>
      <c r="AT91" s="390">
        <v>707</v>
      </c>
      <c r="AV91" s="390">
        <f t="shared" ref="AV91" si="69">+AT91-AD91</f>
        <v>17</v>
      </c>
    </row>
    <row r="92" spans="2:48" s="98" customFormat="1" ht="62.25" customHeight="1" x14ac:dyDescent="0.9">
      <c r="B92" s="357">
        <f>+B91</f>
        <v>18</v>
      </c>
      <c r="C92" s="408"/>
      <c r="D92" s="184"/>
      <c r="E92" s="111">
        <f>+B91</f>
        <v>18</v>
      </c>
      <c r="F92" s="409"/>
      <c r="G92" s="113">
        <f>+IFERROR(IF(K93=0,0,IF((LOOKUP(2,1/(M92:W92&lt;&gt;""),M92:W92)-K93)&lt;0,0,IF(K93=0,"",LOOKUP(2,1/(M92:W92&lt;&gt;""),M92:W92)-K93))),0)</f>
        <v>0</v>
      </c>
      <c r="H92" s="411"/>
      <c r="I92" s="113"/>
      <c r="J92" s="113"/>
      <c r="K92" s="114" t="s">
        <v>22</v>
      </c>
      <c r="L92" s="102" t="s">
        <v>18</v>
      </c>
      <c r="M92" s="448">
        <v>50</v>
      </c>
      <c r="N92" s="448">
        <v>50</v>
      </c>
      <c r="O92" s="448">
        <v>50</v>
      </c>
      <c r="P92" s="448">
        <v>50</v>
      </c>
      <c r="Q92" s="448">
        <v>50</v>
      </c>
      <c r="R92" s="448">
        <v>50</v>
      </c>
      <c r="S92" s="448">
        <v>50</v>
      </c>
      <c r="T92" s="448">
        <v>50</v>
      </c>
      <c r="U92" s="448"/>
      <c r="V92" s="448"/>
      <c r="W92" s="448"/>
      <c r="X92" s="160">
        <f>+IF(H92="l",IF(COUNTA(M91:W91)=AK93+0.75,AA91-K91*AK93,AA91-(K91*COUNTA(M91:W91))),IF(H92="s",0,IF(COUNTA(M91:W91)=AK93+0.75,SUMIF($C:$C,B91,$AA:$AA)-K91*AK93,SUMIF($C:$C,B91,$AA:$AA)-K91*COUNTA(M91:W91))))</f>
        <v>0</v>
      </c>
      <c r="Y92" s="466"/>
      <c r="Z92" s="534"/>
      <c r="AA92" s="462">
        <f t="shared" ref="AA92:AA93" si="70">+SUM(M92:W92)-T92*0.75</f>
        <v>362.5</v>
      </c>
      <c r="AB92" s="361"/>
      <c r="AC92" s="361"/>
      <c r="AD92" s="362"/>
      <c r="AE92" s="363"/>
      <c r="AF92" s="346"/>
      <c r="AG92" s="347">
        <f t="shared" si="64"/>
        <v>0</v>
      </c>
      <c r="AH92" s="341">
        <f t="shared" si="65"/>
        <v>0</v>
      </c>
      <c r="AI92" s="341"/>
      <c r="AJ92" s="341"/>
      <c r="AK92" s="348"/>
      <c r="AL92" s="349">
        <f>+IF(AK93=7.75,SUM(M92:S92)+T92*0.75,IF(AK93=8,SUM(M92:T92),IF(AK93=7.25,SUM(M92:S92)+T92*0.25,IF(AK93=8.25,SUM(M92:T92)+U92*0.25,IF(AK93=8.75,SUM(M92:T92)+U92*0.75,0)))))</f>
        <v>362.5</v>
      </c>
      <c r="AM92" s="341">
        <f>+AL92-AA92</f>
        <v>0</v>
      </c>
      <c r="AN92" s="341"/>
      <c r="AO92" s="341"/>
      <c r="AP92" s="341"/>
      <c r="AQ92" s="438"/>
      <c r="AR92" s="434"/>
      <c r="AT92" s="390"/>
      <c r="AV92" s="390"/>
    </row>
    <row r="93" spans="2:48" s="98" customFormat="1" ht="62.25" customHeight="1" thickBot="1" x14ac:dyDescent="0.95">
      <c r="B93" s="375">
        <f>+B91</f>
        <v>18</v>
      </c>
      <c r="C93" s="410"/>
      <c r="D93" s="413" t="s">
        <v>308</v>
      </c>
      <c r="E93" s="175">
        <f>+E92+100</f>
        <v>118</v>
      </c>
      <c r="F93" s="175"/>
      <c r="G93" s="444">
        <f>+SUMPRODUCT((M92:W92&lt;&gt;"")*(M92:W92&lt;&gt;0)*(M92:W92-K93))</f>
        <v>-8</v>
      </c>
      <c r="H93" s="117"/>
      <c r="I93" s="442"/>
      <c r="J93" s="165">
        <f>+IF(K93="","",IF(K91=0,"",(K91*J91)/(K93*60)))</f>
        <v>0.87380392156862752</v>
      </c>
      <c r="K93" s="118">
        <v>51</v>
      </c>
      <c r="L93" s="104" t="s">
        <v>19</v>
      </c>
      <c r="M93" s="216">
        <v>2</v>
      </c>
      <c r="N93" s="216">
        <v>2</v>
      </c>
      <c r="O93" s="216">
        <v>2</v>
      </c>
      <c r="P93" s="216">
        <v>2</v>
      </c>
      <c r="Q93" s="216">
        <v>2</v>
      </c>
      <c r="R93" s="216">
        <v>2</v>
      </c>
      <c r="S93" s="216">
        <v>2</v>
      </c>
      <c r="T93" s="216">
        <v>2</v>
      </c>
      <c r="U93" s="216"/>
      <c r="V93" s="216"/>
      <c r="W93" s="216"/>
      <c r="X93" s="173"/>
      <c r="Y93" s="467"/>
      <c r="Z93" s="365">
        <v>28.44</v>
      </c>
      <c r="AA93" s="465">
        <f t="shared" si="70"/>
        <v>14.5</v>
      </c>
      <c r="AB93" s="367"/>
      <c r="AC93" s="367"/>
      <c r="AD93" s="368">
        <f>+IFERROR(AD91/(K91*$AQ$3),"")</f>
        <v>1.5164835164835164</v>
      </c>
      <c r="AE93" s="369"/>
      <c r="AF93" s="347"/>
      <c r="AG93" s="347">
        <f t="shared" si="64"/>
        <v>0</v>
      </c>
      <c r="AH93" s="341">
        <f t="shared" si="65"/>
        <v>0</v>
      </c>
      <c r="AI93" s="341"/>
      <c r="AJ93" s="356"/>
      <c r="AK93" s="370">
        <f>+$AJ$4</f>
        <v>7.25</v>
      </c>
      <c r="AL93" s="349">
        <f>+IF(AK93=7.75,SUM(M93:S93)+T93*0.75,IF(AK93=8,SUM(M93:T93),IF(AK93=7.25,SUM(M93:S93)+T93*0.25,IF(AK93=8.25,SUM(M93:T93)+U93*0.25,IF(AK93=8.75,SUM(M93:T93)+U93*0.75,0)))))</f>
        <v>14.5</v>
      </c>
      <c r="AM93" s="341">
        <f>+AL93-AA93</f>
        <v>0</v>
      </c>
      <c r="AN93" s="341"/>
      <c r="AO93" s="341"/>
      <c r="AP93" s="341"/>
      <c r="AQ93" s="369"/>
      <c r="AR93" s="434"/>
      <c r="AT93" s="390">
        <v>1.5538461538461539</v>
      </c>
      <c r="AV93" s="390"/>
    </row>
    <row r="94" spans="2:48" s="419" customFormat="1" ht="91.5" customHeight="1" thickTop="1" thickBot="1" x14ac:dyDescent="0.95">
      <c r="B94" s="414"/>
      <c r="C94" s="414"/>
      <c r="D94" s="415"/>
      <c r="E94" s="415"/>
      <c r="F94" s="415"/>
      <c r="G94" s="415"/>
      <c r="H94" s="415"/>
      <c r="I94" s="415"/>
      <c r="J94" s="415"/>
      <c r="K94" s="415"/>
      <c r="L94" s="416"/>
      <c r="M94" s="416"/>
      <c r="N94" s="416"/>
      <c r="O94" s="416"/>
      <c r="P94" s="416"/>
      <c r="Q94" s="416"/>
      <c r="R94" s="416"/>
      <c r="S94" s="416"/>
      <c r="T94" s="416"/>
      <c r="U94" s="416"/>
      <c r="V94" s="416"/>
      <c r="W94" s="416"/>
      <c r="X94" s="415"/>
      <c r="Y94" s="415"/>
      <c r="Z94" s="415"/>
      <c r="AA94" s="415"/>
      <c r="AB94" s="415"/>
      <c r="AC94" s="415"/>
      <c r="AD94" s="415"/>
      <c r="AE94" s="417"/>
      <c r="AF94" s="418"/>
      <c r="AG94" s="418"/>
      <c r="AK94" s="420"/>
      <c r="AL94" s="421"/>
      <c r="AR94" s="435"/>
    </row>
    <row r="95" spans="2:48" s="419" customFormat="1" ht="91.5" customHeight="1" thickTop="1" thickBot="1" x14ac:dyDescent="0.95">
      <c r="B95" s="414"/>
      <c r="C95" s="414"/>
      <c r="D95" s="415"/>
      <c r="E95" s="415"/>
      <c r="F95" s="415"/>
      <c r="G95" s="415"/>
      <c r="H95" s="415"/>
      <c r="I95" s="415"/>
      <c r="J95" s="415"/>
      <c r="K95" s="415"/>
      <c r="L95" s="378" t="s">
        <v>21</v>
      </c>
      <c r="M95" s="379">
        <f t="shared" ref="M95:W95" si="71">+SUMIF($L$6:$L$94,$L$95,M6:M94)</f>
        <v>780</v>
      </c>
      <c r="N95" s="379">
        <f t="shared" si="71"/>
        <v>520</v>
      </c>
      <c r="O95" s="379">
        <f t="shared" si="71"/>
        <v>160</v>
      </c>
      <c r="P95" s="379">
        <f t="shared" si="71"/>
        <v>691</v>
      </c>
      <c r="Q95" s="379">
        <f t="shared" si="71"/>
        <v>810</v>
      </c>
      <c r="R95" s="379">
        <f t="shared" si="71"/>
        <v>0</v>
      </c>
      <c r="S95" s="379">
        <f t="shared" si="71"/>
        <v>80</v>
      </c>
      <c r="T95" s="379">
        <f t="shared" si="71"/>
        <v>0</v>
      </c>
      <c r="U95" s="379">
        <f t="shared" si="71"/>
        <v>0</v>
      </c>
      <c r="V95" s="379">
        <f t="shared" si="71"/>
        <v>0</v>
      </c>
      <c r="W95" s="379">
        <f t="shared" si="71"/>
        <v>0</v>
      </c>
      <c r="X95" s="332"/>
      <c r="Y95" s="332"/>
      <c r="Z95" s="537">
        <f>+SUM(M95:W95)</f>
        <v>3041</v>
      </c>
      <c r="AA95" s="538"/>
      <c r="AB95" s="415"/>
      <c r="AC95" s="415"/>
      <c r="AD95" s="415"/>
      <c r="AE95" s="417"/>
      <c r="AF95" s="418"/>
      <c r="AG95" s="418"/>
      <c r="AK95" s="420"/>
      <c r="AR95" s="435"/>
    </row>
    <row r="96" spans="2:48" s="419" customFormat="1" ht="91.5" customHeight="1" thickTop="1" thickBot="1" x14ac:dyDescent="0.95">
      <c r="B96" s="414"/>
      <c r="C96" s="414"/>
      <c r="D96" s="415"/>
      <c r="E96" s="415"/>
      <c r="F96" s="415"/>
      <c r="G96" s="415"/>
      <c r="H96" s="415"/>
      <c r="I96" s="415"/>
      <c r="J96" s="415"/>
      <c r="K96" s="415"/>
      <c r="L96" s="380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32"/>
      <c r="Y96" s="332"/>
      <c r="Z96" s="332"/>
      <c r="AA96" s="332"/>
      <c r="AB96" s="415"/>
      <c r="AC96" s="415"/>
      <c r="AD96" s="415"/>
      <c r="AE96" s="417"/>
      <c r="AF96" s="418"/>
      <c r="AG96" s="418"/>
      <c r="AK96" s="420"/>
      <c r="AR96" s="435"/>
    </row>
    <row r="97" spans="2:44" s="419" customFormat="1" ht="91.5" customHeight="1" thickTop="1" thickBot="1" x14ac:dyDescent="0.95">
      <c r="B97" s="414"/>
      <c r="C97" s="414"/>
      <c r="D97" s="415"/>
      <c r="E97" s="415"/>
      <c r="F97" s="415"/>
      <c r="G97" s="415"/>
      <c r="H97" s="415"/>
      <c r="I97" s="415"/>
      <c r="J97" s="415"/>
      <c r="K97" s="415"/>
      <c r="L97" s="378" t="s">
        <v>17</v>
      </c>
      <c r="M97" s="379">
        <f t="shared" ref="M97:W97" si="72">+SUMIF($L$6:$L$94,$L$97,M6:M94)</f>
        <v>518</v>
      </c>
      <c r="N97" s="379">
        <f t="shared" si="72"/>
        <v>584</v>
      </c>
      <c r="O97" s="379">
        <f t="shared" si="72"/>
        <v>638</v>
      </c>
      <c r="P97" s="379">
        <f t="shared" si="72"/>
        <v>596</v>
      </c>
      <c r="Q97" s="379">
        <f t="shared" si="72"/>
        <v>607</v>
      </c>
      <c r="R97" s="379">
        <f t="shared" si="72"/>
        <v>616</v>
      </c>
      <c r="S97" s="379">
        <f t="shared" si="72"/>
        <v>550</v>
      </c>
      <c r="T97" s="379">
        <f t="shared" si="72"/>
        <v>131</v>
      </c>
      <c r="U97" s="379">
        <f t="shared" si="72"/>
        <v>0</v>
      </c>
      <c r="V97" s="379">
        <f t="shared" si="72"/>
        <v>0</v>
      </c>
      <c r="W97" s="379">
        <f t="shared" si="72"/>
        <v>0</v>
      </c>
      <c r="X97" s="332"/>
      <c r="Y97" s="332"/>
      <c r="Z97" s="537">
        <f>+SUM(M97:W97)</f>
        <v>4240</v>
      </c>
      <c r="AA97" s="538"/>
      <c r="AB97" s="415"/>
      <c r="AC97" s="415"/>
      <c r="AD97" s="415"/>
      <c r="AE97" s="417"/>
      <c r="AF97" s="418"/>
      <c r="AG97" s="418"/>
      <c r="AK97" s="420"/>
      <c r="AR97" s="435"/>
    </row>
    <row r="98" spans="2:44" s="419" customFormat="1" ht="91.5" customHeight="1" thickTop="1" thickBot="1" x14ac:dyDescent="0.95">
      <c r="B98" s="414"/>
      <c r="C98" s="414"/>
      <c r="D98" s="415"/>
      <c r="E98" s="415"/>
      <c r="F98" s="415"/>
      <c r="G98" s="415"/>
      <c r="H98" s="415"/>
      <c r="I98" s="415"/>
      <c r="J98" s="415"/>
      <c r="K98" s="415"/>
      <c r="L98" s="380"/>
      <c r="M98" s="376"/>
      <c r="N98" s="376"/>
      <c r="O98" s="376"/>
      <c r="P98" s="376"/>
      <c r="Q98" s="376"/>
      <c r="R98" s="376"/>
      <c r="S98" s="376"/>
      <c r="T98" s="376"/>
      <c r="U98" s="376"/>
      <c r="V98" s="376"/>
      <c r="W98" s="376"/>
      <c r="X98" s="332"/>
      <c r="Y98" s="332"/>
      <c r="Z98" s="332"/>
      <c r="AA98" s="332"/>
      <c r="AB98" s="415"/>
      <c r="AC98" s="415"/>
      <c r="AD98" s="415"/>
      <c r="AE98" s="417"/>
      <c r="AF98" s="418"/>
      <c r="AG98" s="418"/>
      <c r="AK98" s="420"/>
      <c r="AR98" s="435"/>
    </row>
    <row r="99" spans="2:44" s="419" customFormat="1" ht="91.5" customHeight="1" thickTop="1" thickBot="1" x14ac:dyDescent="0.95">
      <c r="B99" s="414"/>
      <c r="C99" s="414"/>
      <c r="D99" s="422"/>
      <c r="E99" s="422"/>
      <c r="F99" s="422"/>
      <c r="G99" s="422"/>
      <c r="H99" s="422"/>
      <c r="I99" s="422"/>
      <c r="J99" s="423"/>
      <c r="K99" s="422"/>
      <c r="L99" s="378" t="s">
        <v>19</v>
      </c>
      <c r="M99" s="379">
        <f t="shared" ref="M99:W99" si="73">+SUMIF($L$6:$L$94,$L$99,M6:M94)</f>
        <v>3</v>
      </c>
      <c r="N99" s="379">
        <f t="shared" si="73"/>
        <v>3</v>
      </c>
      <c r="O99" s="379">
        <f t="shared" si="73"/>
        <v>3</v>
      </c>
      <c r="P99" s="379">
        <f t="shared" si="73"/>
        <v>3</v>
      </c>
      <c r="Q99" s="379">
        <f t="shared" si="73"/>
        <v>3</v>
      </c>
      <c r="R99" s="379">
        <f t="shared" si="73"/>
        <v>3</v>
      </c>
      <c r="S99" s="379">
        <f t="shared" si="73"/>
        <v>3</v>
      </c>
      <c r="T99" s="379">
        <f t="shared" si="73"/>
        <v>3</v>
      </c>
      <c r="U99" s="379">
        <f t="shared" si="73"/>
        <v>0</v>
      </c>
      <c r="V99" s="379">
        <f t="shared" si="73"/>
        <v>0</v>
      </c>
      <c r="W99" s="379">
        <f t="shared" si="73"/>
        <v>0</v>
      </c>
      <c r="X99" s="381"/>
      <c r="Y99" s="381"/>
      <c r="Z99" s="332"/>
      <c r="AA99" s="332"/>
      <c r="AB99" s="415"/>
      <c r="AC99" s="415"/>
      <c r="AD99" s="415"/>
      <c r="AE99" s="417"/>
      <c r="AF99" s="418"/>
      <c r="AG99" s="418"/>
      <c r="AK99" s="420"/>
      <c r="AR99" s="435"/>
    </row>
    <row r="100" spans="2:44" s="419" customFormat="1" ht="62.25" customHeight="1" thickTop="1" x14ac:dyDescent="0.9">
      <c r="B100" s="414"/>
      <c r="C100" s="414"/>
      <c r="D100" s="422"/>
      <c r="E100" s="422"/>
      <c r="F100" s="422"/>
      <c r="G100" s="422"/>
      <c r="H100" s="422"/>
      <c r="I100" s="424"/>
      <c r="J100" s="423"/>
      <c r="K100" s="422"/>
      <c r="L100" s="380"/>
      <c r="M100" s="382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32"/>
      <c r="Y100" s="332"/>
      <c r="Z100" s="332"/>
      <c r="AA100" s="332"/>
      <c r="AB100" s="415"/>
      <c r="AC100" s="415"/>
      <c r="AD100" s="425"/>
      <c r="AE100" s="417"/>
      <c r="AF100" s="418"/>
      <c r="AG100" s="418"/>
      <c r="AK100" s="420"/>
      <c r="AR100" s="435"/>
    </row>
    <row r="101" spans="2:44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84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  <c r="AA101" s="340"/>
      <c r="AB101" s="91"/>
      <c r="AC101" s="91"/>
      <c r="AD101" s="91"/>
      <c r="AE101" s="95"/>
      <c r="AF101" s="158"/>
      <c r="AG101" s="158"/>
      <c r="AK101" s="183"/>
      <c r="AR101" s="434"/>
    </row>
    <row r="102" spans="2:44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85" t="s">
        <v>180</v>
      </c>
      <c r="M102" s="379">
        <f t="shared" ref="M102:W102" si="74">+IF(M105=0,0,SUMIFS($J$6:$J$94,$L$6:$L$94,$K$102))</f>
        <v>11</v>
      </c>
      <c r="N102" s="379">
        <f t="shared" si="74"/>
        <v>11</v>
      </c>
      <c r="O102" s="379">
        <f t="shared" si="74"/>
        <v>11</v>
      </c>
      <c r="P102" s="379">
        <f t="shared" si="74"/>
        <v>11</v>
      </c>
      <c r="Q102" s="379">
        <f t="shared" si="74"/>
        <v>11</v>
      </c>
      <c r="R102" s="379">
        <f t="shared" si="74"/>
        <v>11</v>
      </c>
      <c r="S102" s="379">
        <f t="shared" si="74"/>
        <v>11</v>
      </c>
      <c r="T102" s="379">
        <f t="shared" si="74"/>
        <v>11</v>
      </c>
      <c r="U102" s="379">
        <f t="shared" si="74"/>
        <v>0</v>
      </c>
      <c r="V102" s="379">
        <f t="shared" si="74"/>
        <v>0</v>
      </c>
      <c r="W102" s="379">
        <f t="shared" si="74"/>
        <v>0</v>
      </c>
      <c r="X102" s="383"/>
      <c r="Y102" s="383"/>
      <c r="Z102" s="340"/>
      <c r="AA102" s="340"/>
      <c r="AB102" s="91"/>
      <c r="AC102" s="91"/>
      <c r="AD102" s="91"/>
      <c r="AE102" s="95"/>
      <c r="AF102" s="158"/>
      <c r="AG102" s="158"/>
      <c r="AK102" s="183"/>
      <c r="AR102" s="434"/>
    </row>
    <row r="103" spans="2:44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84"/>
      <c r="M103" s="386"/>
      <c r="N103" s="386"/>
      <c r="O103" s="386"/>
      <c r="P103" s="386"/>
      <c r="Q103" s="386"/>
      <c r="R103" s="386"/>
      <c r="S103" s="386"/>
      <c r="T103" s="386"/>
      <c r="U103" s="386"/>
      <c r="V103" s="386"/>
      <c r="W103" s="386"/>
      <c r="X103" s="340"/>
      <c r="Y103" s="340"/>
      <c r="Z103" s="340"/>
      <c r="AA103" s="340"/>
      <c r="AB103" s="91"/>
      <c r="AC103" s="91"/>
      <c r="AD103" s="91"/>
      <c r="AE103" s="95"/>
      <c r="AF103" s="158"/>
      <c r="AG103" s="158"/>
      <c r="AK103" s="183"/>
      <c r="AR103" s="434"/>
    </row>
    <row r="104" spans="2:44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84"/>
      <c r="M104" s="340"/>
      <c r="N104" s="340"/>
      <c r="O104" s="340"/>
      <c r="P104" s="340"/>
      <c r="Q104" s="387"/>
      <c r="R104" s="387"/>
      <c r="S104" s="387"/>
      <c r="T104" s="387"/>
      <c r="U104" s="387"/>
      <c r="V104" s="387"/>
      <c r="W104" s="387"/>
      <c r="X104" s="340"/>
      <c r="Y104" s="340"/>
      <c r="Z104" s="340"/>
      <c r="AA104" s="340"/>
      <c r="AB104" s="91"/>
      <c r="AC104" s="91"/>
      <c r="AD104" s="91"/>
      <c r="AE104" s="95"/>
      <c r="AF104" s="158"/>
      <c r="AG104" s="158"/>
      <c r="AK104" s="183"/>
      <c r="AR104" s="434"/>
    </row>
    <row r="105" spans="2:44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85" t="s">
        <v>18</v>
      </c>
      <c r="M105" s="379">
        <f t="shared" ref="M105:W105" si="75">+SUMIF($L$6:$L$94,$L$105,M6:M94)</f>
        <v>567</v>
      </c>
      <c r="N105" s="379">
        <f t="shared" si="75"/>
        <v>574</v>
      </c>
      <c r="O105" s="379">
        <f t="shared" si="75"/>
        <v>575</v>
      </c>
      <c r="P105" s="379">
        <f t="shared" si="75"/>
        <v>575</v>
      </c>
      <c r="Q105" s="379">
        <f t="shared" si="75"/>
        <v>575</v>
      </c>
      <c r="R105" s="379">
        <f t="shared" si="75"/>
        <v>577</v>
      </c>
      <c r="S105" s="379">
        <f t="shared" si="75"/>
        <v>577</v>
      </c>
      <c r="T105" s="379">
        <f t="shared" si="75"/>
        <v>577</v>
      </c>
      <c r="U105" s="379">
        <f t="shared" si="75"/>
        <v>0</v>
      </c>
      <c r="V105" s="379">
        <f t="shared" si="75"/>
        <v>0</v>
      </c>
      <c r="W105" s="379">
        <f t="shared" si="75"/>
        <v>0</v>
      </c>
      <c r="X105" s="340"/>
      <c r="Y105" s="340"/>
      <c r="Z105" s="340"/>
      <c r="AA105" s="340"/>
      <c r="AB105" s="91"/>
      <c r="AC105" s="91"/>
      <c r="AD105" s="91"/>
      <c r="AE105" s="95"/>
      <c r="AF105" s="158"/>
      <c r="AG105" s="158"/>
      <c r="AK105" s="183"/>
      <c r="AR105" s="434"/>
    </row>
    <row r="106" spans="2:44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84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40"/>
      <c r="Y106" s="340"/>
      <c r="Z106" s="340"/>
      <c r="AA106" s="340"/>
      <c r="AB106" s="91"/>
      <c r="AC106" s="91"/>
      <c r="AD106" s="91"/>
      <c r="AE106" s="95"/>
      <c r="AF106" s="158"/>
      <c r="AG106" s="158"/>
      <c r="AK106" s="183"/>
      <c r="AR106" s="434"/>
    </row>
    <row r="107" spans="2:44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84"/>
      <c r="M107" s="340"/>
      <c r="N107" s="340"/>
      <c r="O107" s="340"/>
      <c r="P107" s="340"/>
      <c r="Q107" s="387"/>
      <c r="R107" s="387"/>
      <c r="S107" s="387"/>
      <c r="T107" s="387"/>
      <c r="U107" s="387"/>
      <c r="V107" s="387"/>
      <c r="W107" s="387"/>
      <c r="X107" s="340"/>
      <c r="Y107" s="340"/>
      <c r="Z107" s="340"/>
      <c r="AA107" s="340"/>
      <c r="AB107" s="91"/>
      <c r="AC107" s="91"/>
      <c r="AD107" s="91"/>
      <c r="AE107" s="95"/>
      <c r="AF107" s="158"/>
      <c r="AG107" s="158"/>
      <c r="AK107" s="183"/>
      <c r="AR107" s="434"/>
    </row>
    <row r="108" spans="2:44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85" t="s">
        <v>13</v>
      </c>
      <c r="M108" s="379">
        <f>+M105+M102+M99</f>
        <v>581</v>
      </c>
      <c r="N108" s="379">
        <f t="shared" ref="N108:W108" si="76">+N105+N102+N99</f>
        <v>588</v>
      </c>
      <c r="O108" s="379">
        <f t="shared" si="76"/>
        <v>589</v>
      </c>
      <c r="P108" s="379">
        <f t="shared" si="76"/>
        <v>589</v>
      </c>
      <c r="Q108" s="379">
        <f t="shared" si="76"/>
        <v>589</v>
      </c>
      <c r="R108" s="379">
        <f t="shared" si="76"/>
        <v>591</v>
      </c>
      <c r="S108" s="379">
        <f t="shared" si="76"/>
        <v>591</v>
      </c>
      <c r="T108" s="379">
        <f t="shared" si="76"/>
        <v>591</v>
      </c>
      <c r="U108" s="379">
        <f t="shared" si="76"/>
        <v>0</v>
      </c>
      <c r="V108" s="379">
        <f t="shared" si="76"/>
        <v>0</v>
      </c>
      <c r="W108" s="379">
        <f t="shared" si="76"/>
        <v>0</v>
      </c>
      <c r="X108" s="340"/>
      <c r="Y108" s="340"/>
      <c r="Z108" s="340"/>
      <c r="AA108" s="340"/>
      <c r="AB108" s="91"/>
      <c r="AC108" s="91"/>
      <c r="AD108" s="91"/>
      <c r="AE108" s="95"/>
      <c r="AF108" s="155"/>
      <c r="AG108" s="155"/>
      <c r="AK108" s="183"/>
      <c r="AR108" s="434"/>
    </row>
    <row r="109" spans="2:44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89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91"/>
      <c r="AC109" s="91"/>
      <c r="AD109" s="91"/>
      <c r="AE109" s="95"/>
      <c r="AF109" s="158"/>
      <c r="AG109" s="158"/>
      <c r="AK109" s="183"/>
      <c r="AR109" s="434"/>
    </row>
    <row r="110" spans="2:44" x14ac:dyDescent="0.9">
      <c r="J110" s="91"/>
      <c r="K110" s="91"/>
      <c r="T110" s="515"/>
      <c r="U110" s="515"/>
      <c r="V110" s="515"/>
      <c r="AF110" s="158"/>
      <c r="AG110" s="158"/>
    </row>
    <row r="111" spans="2:44" ht="105" customHeight="1" x14ac:dyDescent="0.9">
      <c r="B111" s="426"/>
      <c r="AF111" s="158"/>
      <c r="AG111" s="158"/>
    </row>
    <row r="112" spans="2:44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5"/>
      <c r="AF112" s="158"/>
      <c r="AG112" s="158"/>
      <c r="AK112" s="183"/>
      <c r="AR112" s="434"/>
    </row>
    <row r="113" spans="2:44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/>
      <c r="AF113" s="158"/>
      <c r="AG113" s="158"/>
      <c r="AK113" s="183"/>
      <c r="AR113" s="434"/>
    </row>
    <row r="114" spans="2:44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/>
      <c r="AF114" s="158"/>
      <c r="AG114" s="158"/>
      <c r="AK114" s="183"/>
      <c r="AR114" s="434"/>
    </row>
    <row r="115" spans="2:44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/>
      <c r="AF115" s="158"/>
      <c r="AG115" s="158"/>
      <c r="AK115" s="183"/>
      <c r="AR115" s="434"/>
    </row>
    <row r="117" spans="2:44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5"/>
      <c r="AG117" s="155"/>
      <c r="AH117" s="98"/>
      <c r="AI117" s="98"/>
      <c r="AJ117" s="98"/>
      <c r="AK117" s="183"/>
      <c r="AL117" s="91"/>
      <c r="AM117" s="91"/>
      <c r="AR117" s="243"/>
    </row>
    <row r="118" spans="2:44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5"/>
      <c r="AG118" s="155"/>
      <c r="AH118" s="98"/>
      <c r="AI118" s="98"/>
      <c r="AJ118" s="98"/>
      <c r="AK118" s="183"/>
      <c r="AL118" s="91"/>
      <c r="AM118" s="91"/>
      <c r="AR118" s="243"/>
    </row>
    <row r="119" spans="2:44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5"/>
      <c r="AG119" s="155"/>
      <c r="AH119" s="98"/>
      <c r="AI119" s="98"/>
      <c r="AJ119" s="98"/>
      <c r="AK119" s="183"/>
      <c r="AL119" s="91"/>
      <c r="AM119" s="91"/>
      <c r="AR119" s="243"/>
    </row>
    <row r="120" spans="2:44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5"/>
      <c r="AG120" s="155"/>
      <c r="AH120" s="98"/>
      <c r="AI120" s="98"/>
      <c r="AJ120" s="98"/>
      <c r="AK120" s="183"/>
      <c r="AL120" s="91"/>
      <c r="AM120" s="91"/>
      <c r="AR120" s="243"/>
    </row>
    <row r="121" spans="2:44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22" spans="2:44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5"/>
      <c r="AG122" s="155"/>
      <c r="AH122" s="98"/>
      <c r="AI122" s="98"/>
      <c r="AJ122" s="98"/>
      <c r="AK122" s="183"/>
      <c r="AL122" s="91"/>
      <c r="AM122" s="91"/>
      <c r="AR122" s="243"/>
    </row>
    <row r="123" spans="2:44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5"/>
      <c r="AG123" s="155"/>
      <c r="AH123" s="98"/>
      <c r="AI123" s="98"/>
      <c r="AJ123" s="98"/>
      <c r="AK123" s="183"/>
      <c r="AL123" s="91"/>
      <c r="AM123" s="91"/>
      <c r="AR123" s="243"/>
    </row>
    <row r="124" spans="2:44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/>
      <c r="AF124" s="155"/>
      <c r="AG124" s="155"/>
      <c r="AH124" s="98"/>
      <c r="AI124" s="98"/>
      <c r="AJ124" s="98"/>
      <c r="AK124" s="183"/>
      <c r="AL124" s="91"/>
      <c r="AM124" s="91"/>
      <c r="AR124" s="243"/>
    </row>
    <row r="125" spans="2:44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30" spans="2:44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/>
      <c r="AF130" s="155"/>
      <c r="AG130" s="155"/>
      <c r="AH130" s="98"/>
      <c r="AI130" s="98"/>
      <c r="AJ130" s="98"/>
      <c r="AK130" s="183"/>
      <c r="AL130" s="91"/>
      <c r="AM130" s="91"/>
      <c r="AR130" s="243"/>
    </row>
    <row r="131" spans="2:44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/>
      <c r="AF131" s="155"/>
      <c r="AG131" s="155"/>
      <c r="AH131" s="98"/>
      <c r="AI131" s="98"/>
      <c r="AJ131" s="98"/>
      <c r="AK131" s="183"/>
      <c r="AL131" s="91"/>
      <c r="AM131" s="91"/>
      <c r="AR131" s="243"/>
    </row>
    <row r="132" spans="2:44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5"/>
      <c r="AF132" s="155"/>
      <c r="AG132" s="155"/>
      <c r="AH132" s="98"/>
      <c r="AI132" s="98"/>
      <c r="AJ132" s="98"/>
      <c r="AK132" s="183"/>
      <c r="AL132" s="91"/>
      <c r="AM132" s="91"/>
      <c r="AR132" s="243"/>
    </row>
    <row r="133" spans="2:44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5"/>
      <c r="AG133" s="155"/>
      <c r="AH133" s="98"/>
      <c r="AI133" s="98"/>
      <c r="AJ133" s="98"/>
      <c r="AK133" s="183"/>
      <c r="AL133" s="91"/>
      <c r="AM133" s="91"/>
      <c r="AR133" s="243"/>
    </row>
    <row r="189" spans="2:44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5"/>
      <c r="AF189" s="155"/>
      <c r="AG189" s="155"/>
      <c r="AH189" s="98"/>
      <c r="AI189" s="98"/>
      <c r="AJ189" s="98"/>
      <c r="AK189" s="183"/>
      <c r="AL189" s="91"/>
      <c r="AM189" s="91"/>
      <c r="AR189" s="243"/>
    </row>
  </sheetData>
  <sheetProtection algorithmName="SHA-512" hashValue="XOtOZyza6dt0oIC1J1ikemdKbXDq04QjsENX7yqkY/rH6kx5OR5+sULKfDV5FSCwpKcIqvTmX8u2zyPHVfb31w==" saltValue="I3uaZuWiDya6t2LOhuXI+Q==" spinCount="100000" sheet="1" autoFilter="0"/>
  <autoFilter ref="A5:CR93">
    <filterColumn colId="9" showButton="0"/>
  </autoFilter>
  <mergeCells count="45">
    <mergeCell ref="AD1:AE1"/>
    <mergeCell ref="AD2:AE3"/>
    <mergeCell ref="H3:I3"/>
    <mergeCell ref="K3:L3"/>
    <mergeCell ref="B4:G4"/>
    <mergeCell ref="K4:L4"/>
    <mergeCell ref="AD4:AE4"/>
    <mergeCell ref="Z34:Z36"/>
    <mergeCell ref="J5:K5"/>
    <mergeCell ref="Z6:Z8"/>
    <mergeCell ref="AW7:BF7"/>
    <mergeCell ref="Z10:Z12"/>
    <mergeCell ref="AW11:BF11"/>
    <mergeCell ref="Z14:Z16"/>
    <mergeCell ref="AW15:BF15"/>
    <mergeCell ref="Z18:Z20"/>
    <mergeCell ref="AW19:BF19"/>
    <mergeCell ref="Z22:Z24"/>
    <mergeCell ref="Z26:Z28"/>
    <mergeCell ref="Z30:Z32"/>
    <mergeCell ref="AW35:BF35"/>
    <mergeCell ref="Z70:Z72"/>
    <mergeCell ref="AW71:BF71"/>
    <mergeCell ref="Z38:Z40"/>
    <mergeCell ref="AW39:BF39"/>
    <mergeCell ref="Z42:Z44"/>
    <mergeCell ref="AW43:BF43"/>
    <mergeCell ref="Z46:Z48"/>
    <mergeCell ref="Z50:Z52"/>
    <mergeCell ref="AW51:BF51"/>
    <mergeCell ref="Z54:Z56"/>
    <mergeCell ref="AW55:BF55"/>
    <mergeCell ref="Z58:Z60"/>
    <mergeCell ref="Z62:Z64"/>
    <mergeCell ref="Z66:Z68"/>
    <mergeCell ref="Z97:AA97"/>
    <mergeCell ref="T110:V110"/>
    <mergeCell ref="Z74:Z76"/>
    <mergeCell ref="AW75:BG75"/>
    <mergeCell ref="Z82:Z84"/>
    <mergeCell ref="Z86:Z88"/>
    <mergeCell ref="Z90:Z92"/>
    <mergeCell ref="Z95:AA95"/>
    <mergeCell ref="Z78:Z80"/>
    <mergeCell ref="AW79:BG79"/>
  </mergeCells>
  <conditionalFormatting sqref="AD2:AE3">
    <cfRule type="cellIs" dxfId="13280" priority="399" operator="lessThan">
      <formula>0.85</formula>
    </cfRule>
  </conditionalFormatting>
  <conditionalFormatting sqref="AM1:AM5 AM94:AM1048576">
    <cfRule type="cellIs" dxfId="13279" priority="398" operator="notEqual">
      <formula>0</formula>
    </cfRule>
  </conditionalFormatting>
  <conditionalFormatting sqref="AQ94:AQ96 AQ6">
    <cfRule type="cellIs" dxfId="13278" priority="397" operator="lessThan">
      <formula>0</formula>
    </cfRule>
  </conditionalFormatting>
  <conditionalFormatting sqref="X94:Y94">
    <cfRule type="cellIs" dxfId="13277" priority="396" operator="lessThan">
      <formula>0</formula>
    </cfRule>
  </conditionalFormatting>
  <conditionalFormatting sqref="AM22:AM25">
    <cfRule type="cellIs" dxfId="13276" priority="394" operator="notEqual">
      <formula>0</formula>
    </cfRule>
  </conditionalFormatting>
  <conditionalFormatting sqref="G24">
    <cfRule type="cellIs" dxfId="13275" priority="393" operator="greaterThan">
      <formula>0</formula>
    </cfRule>
  </conditionalFormatting>
  <conditionalFormatting sqref="AQ6 AQ8:AQ9">
    <cfRule type="cellIs" dxfId="13274" priority="392" operator="lessThan">
      <formula>0</formula>
    </cfRule>
  </conditionalFormatting>
  <conditionalFormatting sqref="J24">
    <cfRule type="cellIs" dxfId="13273" priority="391" operator="greaterThan">
      <formula>0</formula>
    </cfRule>
  </conditionalFormatting>
  <conditionalFormatting sqref="AM66:AM69">
    <cfRule type="cellIs" dxfId="13272" priority="389" operator="notEqual">
      <formula>0</formula>
    </cfRule>
  </conditionalFormatting>
  <conditionalFormatting sqref="G68">
    <cfRule type="cellIs" dxfId="13271" priority="388" operator="greaterThan">
      <formula>0</formula>
    </cfRule>
  </conditionalFormatting>
  <conditionalFormatting sqref="AM50:AM53">
    <cfRule type="cellIs" dxfId="13270" priority="386" operator="notEqual">
      <formula>0</formula>
    </cfRule>
  </conditionalFormatting>
  <conditionalFormatting sqref="G52">
    <cfRule type="cellIs" dxfId="13269" priority="385" operator="greaterThan">
      <formula>0</formula>
    </cfRule>
  </conditionalFormatting>
  <conditionalFormatting sqref="AM18:AM21">
    <cfRule type="cellIs" dxfId="13268" priority="383" operator="notEqual">
      <formula>0</formula>
    </cfRule>
  </conditionalFormatting>
  <conditionalFormatting sqref="G20">
    <cfRule type="cellIs" dxfId="13267" priority="382" operator="greaterThan">
      <formula>0</formula>
    </cfRule>
  </conditionalFormatting>
  <conditionalFormatting sqref="J20">
    <cfRule type="cellIs" dxfId="13266" priority="381" operator="greaterThan">
      <formula>0</formula>
    </cfRule>
  </conditionalFormatting>
  <conditionalFormatting sqref="AM6:AM9">
    <cfRule type="cellIs" dxfId="13265" priority="380" operator="notEqual">
      <formula>0</formula>
    </cfRule>
  </conditionalFormatting>
  <conditionalFormatting sqref="G8">
    <cfRule type="cellIs" dxfId="13264" priority="379" operator="greaterThan">
      <formula>0</formula>
    </cfRule>
  </conditionalFormatting>
  <conditionalFormatting sqref="AQ6 AQ8:AQ9">
    <cfRule type="cellIs" dxfId="13263" priority="378" operator="lessThan">
      <formula>0</formula>
    </cfRule>
  </conditionalFormatting>
  <conditionalFormatting sqref="AM14:AM17">
    <cfRule type="cellIs" dxfId="13262" priority="376" operator="notEqual">
      <formula>0</formula>
    </cfRule>
  </conditionalFormatting>
  <conditionalFormatting sqref="G16">
    <cfRule type="cellIs" dxfId="13261" priority="375" operator="greaterThan">
      <formula>0</formula>
    </cfRule>
  </conditionalFormatting>
  <conditionalFormatting sqref="AM38:AM41">
    <cfRule type="cellIs" dxfId="13260" priority="373" operator="notEqual">
      <formula>0</formula>
    </cfRule>
  </conditionalFormatting>
  <conditionalFormatting sqref="G40">
    <cfRule type="cellIs" dxfId="13259" priority="372" operator="greaterThan">
      <formula>0</formula>
    </cfRule>
  </conditionalFormatting>
  <conditionalFormatting sqref="AM82:AM85">
    <cfRule type="cellIs" dxfId="13258" priority="370" operator="notEqual">
      <formula>0</formula>
    </cfRule>
  </conditionalFormatting>
  <conditionalFormatting sqref="G84">
    <cfRule type="cellIs" dxfId="13257" priority="369" operator="greaterThan">
      <formula>0</formula>
    </cfRule>
  </conditionalFormatting>
  <conditionalFormatting sqref="AM58:AM61">
    <cfRule type="cellIs" dxfId="13256" priority="367" operator="notEqual">
      <formula>0</formula>
    </cfRule>
  </conditionalFormatting>
  <conditionalFormatting sqref="G60">
    <cfRule type="cellIs" dxfId="13255" priority="366" operator="greaterThan">
      <formula>0</formula>
    </cfRule>
  </conditionalFormatting>
  <conditionalFormatting sqref="J60">
    <cfRule type="cellIs" dxfId="13254" priority="365" operator="greaterThan">
      <formula>0</formula>
    </cfRule>
  </conditionalFormatting>
  <conditionalFormatting sqref="AQ6 AQ8:AQ9">
    <cfRule type="cellIs" dxfId="13253" priority="364" operator="lessThan">
      <formula>0</formula>
    </cfRule>
  </conditionalFormatting>
  <conditionalFormatting sqref="AQ6 AQ8:AQ9">
    <cfRule type="cellIs" dxfId="13252" priority="363" operator="lessThan">
      <formula>0</formula>
    </cfRule>
  </conditionalFormatting>
  <conditionalFormatting sqref="J84">
    <cfRule type="cellIs" dxfId="13251" priority="362" operator="greaterThan">
      <formula>0</formula>
    </cfRule>
  </conditionalFormatting>
  <conditionalFormatting sqref="J40">
    <cfRule type="cellIs" dxfId="13250" priority="361" operator="greaterThan">
      <formula>0</formula>
    </cfRule>
  </conditionalFormatting>
  <conditionalFormatting sqref="J52">
    <cfRule type="cellIs" dxfId="13249" priority="360" operator="greaterThan">
      <formula>0</formula>
    </cfRule>
  </conditionalFormatting>
  <conditionalFormatting sqref="AM62:AM65">
    <cfRule type="cellIs" dxfId="13248" priority="358" operator="notEqual">
      <formula>0</formula>
    </cfRule>
  </conditionalFormatting>
  <conditionalFormatting sqref="G64">
    <cfRule type="cellIs" dxfId="13247" priority="357" operator="greaterThan">
      <formula>0</formula>
    </cfRule>
  </conditionalFormatting>
  <conditionalFormatting sqref="J64">
    <cfRule type="cellIs" dxfId="13246" priority="356" operator="greaterThan">
      <formula>0</formula>
    </cfRule>
  </conditionalFormatting>
  <conditionalFormatting sqref="AM70:AM73">
    <cfRule type="cellIs" dxfId="13245" priority="354" operator="notEqual">
      <formula>0</formula>
    </cfRule>
  </conditionalFormatting>
  <conditionalFormatting sqref="G72">
    <cfRule type="cellIs" dxfId="13244" priority="353" operator="greaterThan">
      <formula>0</formula>
    </cfRule>
  </conditionalFormatting>
  <conditionalFormatting sqref="AM74:AM77">
    <cfRule type="cellIs" dxfId="13243" priority="351" operator="notEqual">
      <formula>0</formula>
    </cfRule>
  </conditionalFormatting>
  <conditionalFormatting sqref="G76">
    <cfRule type="cellIs" dxfId="13242" priority="350" operator="greaterThan">
      <formula>0</formula>
    </cfRule>
  </conditionalFormatting>
  <conditionalFormatting sqref="AM90:AM93">
    <cfRule type="cellIs" dxfId="13241" priority="348" operator="notEqual">
      <formula>0</formula>
    </cfRule>
  </conditionalFormatting>
  <conditionalFormatting sqref="G92">
    <cfRule type="cellIs" dxfId="13240" priority="347" operator="greaterThan">
      <formula>0</formula>
    </cfRule>
  </conditionalFormatting>
  <conditionalFormatting sqref="J72">
    <cfRule type="cellIs" dxfId="13239" priority="346" operator="greaterThan">
      <formula>0</formula>
    </cfRule>
  </conditionalFormatting>
  <conditionalFormatting sqref="J76">
    <cfRule type="cellIs" dxfId="13238" priority="345" operator="greaterThan">
      <formula>0</formula>
    </cfRule>
  </conditionalFormatting>
  <conditionalFormatting sqref="J92">
    <cfRule type="cellIs" dxfId="13237" priority="344" operator="greaterThan">
      <formula>0</formula>
    </cfRule>
  </conditionalFormatting>
  <conditionalFormatting sqref="AM30:AM33">
    <cfRule type="cellIs" dxfId="13236" priority="342" operator="notEqual">
      <formula>0</formula>
    </cfRule>
  </conditionalFormatting>
  <conditionalFormatting sqref="G32">
    <cfRule type="cellIs" dxfId="13235" priority="341" operator="greaterThan">
      <formula>0</formula>
    </cfRule>
  </conditionalFormatting>
  <conditionalFormatting sqref="J32">
    <cfRule type="cellIs" dxfId="13234" priority="340" operator="greaterThan">
      <formula>0</formula>
    </cfRule>
  </conditionalFormatting>
  <conditionalFormatting sqref="J16">
    <cfRule type="cellIs" dxfId="13233" priority="339" operator="greaterThan">
      <formula>0</formula>
    </cfRule>
  </conditionalFormatting>
  <conditionalFormatting sqref="AM54:AM57">
    <cfRule type="cellIs" dxfId="13232" priority="337" operator="notEqual">
      <formula>0</formula>
    </cfRule>
  </conditionalFormatting>
  <conditionalFormatting sqref="G56">
    <cfRule type="cellIs" dxfId="13231" priority="336" operator="greaterThan">
      <formula>0</formula>
    </cfRule>
  </conditionalFormatting>
  <conditionalFormatting sqref="J56">
    <cfRule type="cellIs" dxfId="13230" priority="335" operator="greaterThan">
      <formula>0</formula>
    </cfRule>
  </conditionalFormatting>
  <conditionalFormatting sqref="AM42:AM45">
    <cfRule type="cellIs" dxfId="13229" priority="333" operator="notEqual">
      <formula>0</formula>
    </cfRule>
  </conditionalFormatting>
  <conditionalFormatting sqref="G44">
    <cfRule type="cellIs" dxfId="13228" priority="332" operator="greaterThan">
      <formula>0</formula>
    </cfRule>
  </conditionalFormatting>
  <conditionalFormatting sqref="AM34:AM37">
    <cfRule type="cellIs" dxfId="13227" priority="330" operator="notEqual">
      <formula>0</formula>
    </cfRule>
  </conditionalFormatting>
  <conditionalFormatting sqref="G36">
    <cfRule type="cellIs" dxfId="13226" priority="329" operator="greaterThan">
      <formula>0</formula>
    </cfRule>
  </conditionalFormatting>
  <conditionalFormatting sqref="J36">
    <cfRule type="cellIs" dxfId="13225" priority="328" operator="greaterThan">
      <formula>0</formula>
    </cfRule>
  </conditionalFormatting>
  <conditionalFormatting sqref="J44">
    <cfRule type="cellIs" dxfId="13224" priority="327" operator="greaterThan">
      <formula>0</formula>
    </cfRule>
  </conditionalFormatting>
  <conditionalFormatting sqref="J8">
    <cfRule type="cellIs" dxfId="13223" priority="326" operator="greaterThan">
      <formula>0</formula>
    </cfRule>
  </conditionalFormatting>
  <conditionalFormatting sqref="J68">
    <cfRule type="cellIs" dxfId="13222" priority="325" operator="greaterThan">
      <formula>0</formula>
    </cfRule>
  </conditionalFormatting>
  <conditionalFormatting sqref="AQ8:AQ9">
    <cfRule type="cellIs" dxfId="13221" priority="324" operator="lessThan">
      <formula>0</formula>
    </cfRule>
  </conditionalFormatting>
  <conditionalFormatting sqref="AQ8:AQ9">
    <cfRule type="cellIs" dxfId="13220" priority="323" operator="lessThan">
      <formula>0</formula>
    </cfRule>
  </conditionalFormatting>
  <conditionalFormatting sqref="AQ8:AQ9">
    <cfRule type="cellIs" dxfId="13219" priority="322" operator="lessThan">
      <formula>0</formula>
    </cfRule>
  </conditionalFormatting>
  <conditionalFormatting sqref="AQ8:AQ9">
    <cfRule type="cellIs" dxfId="13218" priority="321" operator="lessThan">
      <formula>0</formula>
    </cfRule>
  </conditionalFormatting>
  <conditionalFormatting sqref="AQ7">
    <cfRule type="cellIs" dxfId="13217" priority="320" operator="lessThan">
      <formula>0</formula>
    </cfRule>
  </conditionalFormatting>
  <conditionalFormatting sqref="AQ7">
    <cfRule type="cellIs" dxfId="13216" priority="319" operator="lessThan">
      <formula>0</formula>
    </cfRule>
  </conditionalFormatting>
  <conditionalFormatting sqref="AQ7">
    <cfRule type="cellIs" dxfId="13215" priority="318" operator="lessThan">
      <formula>0</formula>
    </cfRule>
  </conditionalFormatting>
  <conditionalFormatting sqref="AQ7">
    <cfRule type="cellIs" dxfId="13214" priority="317" operator="lessThan">
      <formula>0</formula>
    </cfRule>
  </conditionalFormatting>
  <conditionalFormatting sqref="AQ7">
    <cfRule type="cellIs" dxfId="13213" priority="316" operator="lessThan">
      <formula>0</formula>
    </cfRule>
  </conditionalFormatting>
  <conditionalFormatting sqref="AQ7">
    <cfRule type="cellIs" dxfId="13212" priority="315" operator="lessThan">
      <formula>0</formula>
    </cfRule>
  </conditionalFormatting>
  <conditionalFormatting sqref="AQ7">
    <cfRule type="cellIs" dxfId="13211" priority="314" operator="lessThan">
      <formula>0</formula>
    </cfRule>
  </conditionalFormatting>
  <conditionalFormatting sqref="AQ7">
    <cfRule type="cellIs" dxfId="13210" priority="313" operator="lessThan">
      <formula>0</formula>
    </cfRule>
  </conditionalFormatting>
  <conditionalFormatting sqref="AQ7">
    <cfRule type="cellIs" dxfId="13209" priority="312" operator="lessThan">
      <formula>0</formula>
    </cfRule>
  </conditionalFormatting>
  <conditionalFormatting sqref="AQ7">
    <cfRule type="cellIs" dxfId="13208" priority="311" operator="lessThan">
      <formula>0</formula>
    </cfRule>
  </conditionalFormatting>
  <conditionalFormatting sqref="AQ7">
    <cfRule type="cellIs" dxfId="13207" priority="310" operator="lessThan">
      <formula>0</formula>
    </cfRule>
  </conditionalFormatting>
  <conditionalFormatting sqref="AQ7">
    <cfRule type="cellIs" dxfId="13206" priority="309" operator="lessThan">
      <formula>0</formula>
    </cfRule>
  </conditionalFormatting>
  <conditionalFormatting sqref="AQ7">
    <cfRule type="cellIs" dxfId="13205" priority="308" operator="lessThan">
      <formula>0</formula>
    </cfRule>
  </conditionalFormatting>
  <conditionalFormatting sqref="AQ7">
    <cfRule type="cellIs" dxfId="13204" priority="307" operator="lessThan">
      <formula>0</formula>
    </cfRule>
  </conditionalFormatting>
  <conditionalFormatting sqref="AQ7">
    <cfRule type="cellIs" dxfId="13203" priority="306" operator="lessThan">
      <formula>0</formula>
    </cfRule>
  </conditionalFormatting>
  <conditionalFormatting sqref="AQ7">
    <cfRule type="cellIs" dxfId="13202" priority="305" operator="lessThan">
      <formula>0</formula>
    </cfRule>
  </conditionalFormatting>
  <conditionalFormatting sqref="AM46:AM49">
    <cfRule type="cellIs" dxfId="13201" priority="303" operator="notEqual">
      <formula>0</formula>
    </cfRule>
  </conditionalFormatting>
  <conditionalFormatting sqref="G48">
    <cfRule type="cellIs" dxfId="13200" priority="302" operator="greaterThan">
      <formula>0</formula>
    </cfRule>
  </conditionalFormatting>
  <conditionalFormatting sqref="J48">
    <cfRule type="cellIs" dxfId="13199" priority="301" operator="greaterThan">
      <formula>0</formula>
    </cfRule>
  </conditionalFormatting>
  <conditionalFormatting sqref="AQ7">
    <cfRule type="cellIs" dxfId="13198" priority="285" operator="lessThan">
      <formula>0</formula>
    </cfRule>
  </conditionalFormatting>
  <conditionalFormatting sqref="AQ14 AQ18 AQ22 AQ30 AQ34 AQ38 AQ42 AQ46 AQ50 AQ54 AQ58 AQ62 AQ66 AQ70 AQ74 AQ82 AQ90">
    <cfRule type="cellIs" dxfId="13197" priority="277" operator="lessThan">
      <formula>0</formula>
    </cfRule>
  </conditionalFormatting>
  <conditionalFormatting sqref="AQ14 AQ16:AQ18 AQ20:AQ22 AQ24:AQ25 AQ32:AQ34 AQ36:AQ38 AQ40:AQ42 AQ44:AQ46 AQ48:AQ50 AQ52:AQ54 AQ56:AQ58 AQ60:AQ62 AQ64:AQ66 AQ68:AQ70 AQ72:AQ74 AQ76:AQ77 AQ84:AQ85 AQ92:AQ93 AQ30 AQ90 AQ82">
    <cfRule type="cellIs" dxfId="13196" priority="276" operator="lessThan">
      <formula>0</formula>
    </cfRule>
  </conditionalFormatting>
  <conditionalFormatting sqref="AQ14 AQ16:AQ18 AQ20:AQ22 AQ24:AQ25 AQ32:AQ34 AQ36:AQ38 AQ40:AQ42 AQ44:AQ46 AQ48:AQ50 AQ52:AQ54 AQ56:AQ58 AQ60:AQ62 AQ64:AQ66 AQ68:AQ70 AQ72:AQ74 AQ76:AQ77 AQ84:AQ85 AQ92:AQ93 AQ30 AQ90 AQ82">
    <cfRule type="cellIs" dxfId="13195" priority="275" operator="lessThan">
      <formula>0</formula>
    </cfRule>
  </conditionalFormatting>
  <conditionalFormatting sqref="AQ14 AQ16:AQ18 AQ20:AQ22 AQ24:AQ25 AQ32:AQ34 AQ36:AQ38 AQ40:AQ42 AQ44:AQ46 AQ48:AQ50 AQ52:AQ54 AQ56:AQ58 AQ60:AQ62 AQ64:AQ66 AQ68:AQ70 AQ72:AQ74 AQ76:AQ77 AQ84:AQ85 AQ92:AQ93 AQ30 AQ90 AQ82">
    <cfRule type="cellIs" dxfId="13194" priority="274" operator="lessThan">
      <formula>0</formula>
    </cfRule>
  </conditionalFormatting>
  <conditionalFormatting sqref="AQ14 AQ16:AQ18 AQ20:AQ22 AQ24:AQ25 AQ32:AQ34 AQ36:AQ38 AQ40:AQ42 AQ44:AQ46 AQ48:AQ50 AQ52:AQ54 AQ56:AQ58 AQ60:AQ62 AQ64:AQ66 AQ68:AQ70 AQ72:AQ74 AQ76:AQ77 AQ84:AQ85 AQ92:AQ93 AQ30 AQ90 AQ82">
    <cfRule type="cellIs" dxfId="13193" priority="273" operator="lessThan">
      <formula>0</formula>
    </cfRule>
  </conditionalFormatting>
  <conditionalFormatting sqref="AQ16:AQ17 AQ20:AQ21 AQ24:AQ25 AQ32:AQ33 AQ36:AQ37 AQ40:AQ41 AQ44:AQ45 AQ48:AQ49 AQ52:AQ53 AQ56:AQ57 AQ60:AQ61 AQ64:AQ65 AQ68:AQ69 AQ72:AQ73 AQ76:AQ77 AQ84:AQ85 AQ92:AQ93">
    <cfRule type="cellIs" dxfId="13192" priority="272" operator="lessThan">
      <formula>0</formula>
    </cfRule>
  </conditionalFormatting>
  <conditionalFormatting sqref="AQ16:AQ17 AQ20:AQ21 AQ24:AQ25 AQ32:AQ33 AQ36:AQ37 AQ40:AQ41 AQ44:AQ45 AQ48:AQ49 AQ52:AQ53 AQ56:AQ57 AQ60:AQ61 AQ64:AQ65 AQ68:AQ69 AQ72:AQ73 AQ76:AQ77 AQ84:AQ85 AQ92:AQ93">
    <cfRule type="cellIs" dxfId="13191" priority="271" operator="lessThan">
      <formula>0</formula>
    </cfRule>
  </conditionalFormatting>
  <conditionalFormatting sqref="AQ16:AQ17 AQ20:AQ21 AQ24:AQ25 AQ32:AQ33 AQ36:AQ37 AQ40:AQ41 AQ44:AQ45 AQ48:AQ49 AQ52:AQ53 AQ56:AQ57 AQ60:AQ61 AQ64:AQ65 AQ68:AQ69 AQ72:AQ73 AQ76:AQ77 AQ84:AQ85 AQ92:AQ93">
    <cfRule type="cellIs" dxfId="13190" priority="270" operator="lessThan">
      <formula>0</formula>
    </cfRule>
  </conditionalFormatting>
  <conditionalFormatting sqref="AQ16:AQ17 AQ20:AQ21 AQ24:AQ25 AQ32:AQ33 AQ36:AQ37 AQ40:AQ41 AQ44:AQ45 AQ48:AQ49 AQ52:AQ53 AQ56:AQ57 AQ60:AQ61 AQ64:AQ65 AQ68:AQ69 AQ72:AQ73 AQ76:AQ77 AQ84:AQ85 AQ92:AQ93">
    <cfRule type="cellIs" dxfId="13189" priority="269" operator="lessThan">
      <formula>0</formula>
    </cfRule>
  </conditionalFormatting>
  <conditionalFormatting sqref="AQ15 AQ19 AQ23 AQ31 AQ35 AQ39 AQ43 AQ51 AQ55 AQ59 AQ63 AQ67 AQ71 AQ75 AQ83 AQ91 AQ47">
    <cfRule type="cellIs" dxfId="13188" priority="268" operator="lessThan">
      <formula>0</formula>
    </cfRule>
  </conditionalFormatting>
  <conditionalFormatting sqref="AQ15 AQ19 AQ23 AQ31 AQ35 AQ39 AQ43 AQ51 AQ55 AQ59 AQ63 AQ67 AQ71 AQ75 AQ83 AQ91 AQ47">
    <cfRule type="cellIs" dxfId="13187" priority="267" operator="lessThan">
      <formula>0</formula>
    </cfRule>
  </conditionalFormatting>
  <conditionalFormatting sqref="AQ15 AQ19 AQ23 AQ31 AQ35 AQ39 AQ43 AQ51 AQ55 AQ59 AQ63 AQ67 AQ71 AQ75 AQ83 AQ91 AQ47">
    <cfRule type="cellIs" dxfId="13186" priority="266" operator="lessThan">
      <formula>0</formula>
    </cfRule>
  </conditionalFormatting>
  <conditionalFormatting sqref="AQ7">
    <cfRule type="cellIs" dxfId="13185" priority="300" operator="lessThan">
      <formula>0</formula>
    </cfRule>
  </conditionalFormatting>
  <conditionalFormatting sqref="AQ7">
    <cfRule type="cellIs" dxfId="13184" priority="299" operator="lessThan">
      <formula>0</formula>
    </cfRule>
  </conditionalFormatting>
  <conditionalFormatting sqref="AQ7">
    <cfRule type="cellIs" dxfId="13183" priority="298" operator="lessThan">
      <formula>0</formula>
    </cfRule>
  </conditionalFormatting>
  <conditionalFormatting sqref="AQ7">
    <cfRule type="cellIs" dxfId="13182" priority="297" operator="lessThan">
      <formula>0</formula>
    </cfRule>
  </conditionalFormatting>
  <conditionalFormatting sqref="AQ7">
    <cfRule type="cellIs" dxfId="13181" priority="296" operator="lessThan">
      <formula>0</formula>
    </cfRule>
  </conditionalFormatting>
  <conditionalFormatting sqref="AQ7">
    <cfRule type="cellIs" dxfId="13180" priority="295" operator="lessThan">
      <formula>0</formula>
    </cfRule>
  </conditionalFormatting>
  <conditionalFormatting sqref="AQ7">
    <cfRule type="cellIs" dxfId="13179" priority="294" operator="lessThan">
      <formula>0</formula>
    </cfRule>
  </conditionalFormatting>
  <conditionalFormatting sqref="AQ7">
    <cfRule type="cellIs" dxfId="13178" priority="293" operator="lessThan">
      <formula>0</formula>
    </cfRule>
  </conditionalFormatting>
  <conditionalFormatting sqref="AQ7">
    <cfRule type="cellIs" dxfId="13177" priority="292" operator="lessThan">
      <formula>0</formula>
    </cfRule>
  </conditionalFormatting>
  <conditionalFormatting sqref="AQ7">
    <cfRule type="cellIs" dxfId="13176" priority="291" operator="lessThan">
      <formula>0</formula>
    </cfRule>
  </conditionalFormatting>
  <conditionalFormatting sqref="AQ7">
    <cfRule type="cellIs" dxfId="13175" priority="290" operator="lessThan">
      <formula>0</formula>
    </cfRule>
  </conditionalFormatting>
  <conditionalFormatting sqref="AQ7">
    <cfRule type="cellIs" dxfId="13174" priority="289" operator="lessThan">
      <formula>0</formula>
    </cfRule>
  </conditionalFormatting>
  <conditionalFormatting sqref="AQ7">
    <cfRule type="cellIs" dxfId="13173" priority="288" operator="lessThan">
      <formula>0</formula>
    </cfRule>
  </conditionalFormatting>
  <conditionalFormatting sqref="AQ7">
    <cfRule type="cellIs" dxfId="13172" priority="287" operator="lessThan">
      <formula>0</formula>
    </cfRule>
  </conditionalFormatting>
  <conditionalFormatting sqref="AQ7">
    <cfRule type="cellIs" dxfId="13171" priority="286" operator="lessThan">
      <formula>0</formula>
    </cfRule>
  </conditionalFormatting>
  <conditionalFormatting sqref="AQ15 AQ19 AQ23 AQ31 AQ35 AQ39 AQ43 AQ51 AQ55 AQ59 AQ63 AQ67 AQ71 AQ75 AQ83 AQ91 AQ47">
    <cfRule type="cellIs" dxfId="13170" priority="265" operator="lessThan">
      <formula>0</formula>
    </cfRule>
  </conditionalFormatting>
  <conditionalFormatting sqref="AQ15 AQ19 AQ23 AQ31 AQ35 AQ39 AQ43 AQ51 AQ55 AQ59 AQ63 AQ67 AQ71 AQ75 AQ83 AQ91 AQ47">
    <cfRule type="cellIs" dxfId="13169" priority="264" operator="lessThan">
      <formula>0</formula>
    </cfRule>
  </conditionalFormatting>
  <conditionalFormatting sqref="AQ15 AQ19 AQ23 AQ31 AQ35 AQ39 AQ43 AQ51 AQ55 AQ59 AQ63 AQ67 AQ71 AQ75 AQ83 AQ91 AQ47">
    <cfRule type="cellIs" dxfId="13168" priority="263" operator="lessThan">
      <formula>0</formula>
    </cfRule>
  </conditionalFormatting>
  <conditionalFormatting sqref="AQ15 AQ19 AQ23 AQ31 AQ35 AQ39 AQ43 AQ51 AQ55 AQ59 AQ63 AQ67 AQ71 AQ75 AQ83 AQ91 AQ47">
    <cfRule type="cellIs" dxfId="13167" priority="262" operator="lessThan">
      <formula>0</formula>
    </cfRule>
  </conditionalFormatting>
  <conditionalFormatting sqref="AQ15 AQ19 AQ23 AQ31 AQ35 AQ39 AQ43 AQ51 AQ55 AQ59 AQ63 AQ67 AQ71 AQ75 AQ83 AQ91 AQ47">
    <cfRule type="cellIs" dxfId="13166" priority="261" operator="lessThan">
      <formula>0</formula>
    </cfRule>
  </conditionalFormatting>
  <conditionalFormatting sqref="AQ15 AQ19 AQ23 AQ31 AQ35 AQ39 AQ43 AQ51 AQ55 AQ59 AQ63 AQ67 AQ71 AQ75 AQ83 AQ91 AQ47">
    <cfRule type="cellIs" dxfId="13165" priority="260" operator="lessThan">
      <formula>0</formula>
    </cfRule>
  </conditionalFormatting>
  <conditionalFormatting sqref="AQ15 AQ19 AQ23 AQ31 AQ35 AQ39 AQ43 AQ51 AQ55 AQ59 AQ63 AQ67 AQ71 AQ75 AQ83 AQ91 AQ47">
    <cfRule type="cellIs" dxfId="13164" priority="259" operator="lessThan">
      <formula>0</formula>
    </cfRule>
  </conditionalFormatting>
  <conditionalFormatting sqref="AQ15 AQ19 AQ23 AQ31 AQ35 AQ39 AQ43 AQ51 AQ55 AQ59 AQ63 AQ67 AQ71 AQ75 AQ83 AQ91 AQ47">
    <cfRule type="cellIs" dxfId="13163" priority="258" operator="lessThan">
      <formula>0</formula>
    </cfRule>
  </conditionalFormatting>
  <conditionalFormatting sqref="AQ15 AQ19 AQ23 AQ31 AQ35 AQ39 AQ43 AQ51 AQ55 AQ59 AQ63 AQ67 AQ71 AQ75 AQ83 AQ91 AQ47">
    <cfRule type="cellIs" dxfId="13162" priority="257" operator="lessThan">
      <formula>0</formula>
    </cfRule>
  </conditionalFormatting>
  <conditionalFormatting sqref="AQ15 AQ19 AQ23 AQ31 AQ35 AQ39 AQ43 AQ51 AQ55 AQ59 AQ63 AQ67 AQ71 AQ75 AQ83 AQ91 AQ47">
    <cfRule type="cellIs" dxfId="13161" priority="256" operator="lessThan">
      <formula>0</formula>
    </cfRule>
  </conditionalFormatting>
  <conditionalFormatting sqref="AQ15 AQ19 AQ23 AQ31 AQ35 AQ39 AQ43 AQ51 AQ55 AQ59 AQ63 AQ67 AQ71 AQ75 AQ83 AQ91 AQ47">
    <cfRule type="cellIs" dxfId="13160" priority="255" operator="lessThan">
      <formula>0</formula>
    </cfRule>
  </conditionalFormatting>
  <conditionalFormatting sqref="AQ15 AQ19 AQ23 AQ31 AQ35 AQ39 AQ43 AQ51 AQ55 AQ59 AQ63 AQ67 AQ71 AQ75 AQ83 AQ91 AQ47">
    <cfRule type="cellIs" dxfId="13159" priority="254" operator="lessThan">
      <formula>0</formula>
    </cfRule>
  </conditionalFormatting>
  <conditionalFormatting sqref="AQ15 AQ19 AQ23 AQ31 AQ35 AQ39 AQ43 AQ51 AQ55 AQ59 AQ63 AQ67 AQ71 AQ75 AQ83 AQ91 AQ47">
    <cfRule type="cellIs" dxfId="13158" priority="253" operator="lessThan">
      <formula>0</formula>
    </cfRule>
  </conditionalFormatting>
  <conditionalFormatting sqref="AQ15 AQ19 AQ23 AQ31 AQ35 AQ39 AQ43 AQ51 AQ55 AQ59 AQ63 AQ67 AQ71 AQ75 AQ83 AQ91 AQ47">
    <cfRule type="cellIs" dxfId="13157" priority="252" operator="lessThan">
      <formula>0</formula>
    </cfRule>
  </conditionalFormatting>
  <conditionalFormatting sqref="AQ15 AQ19 AQ23 AQ31 AQ35 AQ39 AQ43 AQ51 AQ55 AQ59 AQ63 AQ67 AQ71 AQ75 AQ83 AQ91 AQ47">
    <cfRule type="cellIs" dxfId="13156" priority="251" operator="lessThan">
      <formula>0</formula>
    </cfRule>
  </conditionalFormatting>
  <conditionalFormatting sqref="AQ15 AQ19 AQ23 AQ31 AQ35 AQ39 AQ43 AQ51 AQ55 AQ59 AQ63 AQ67 AQ71 AQ75 AQ83 AQ91 AQ47">
    <cfRule type="cellIs" dxfId="13155" priority="250" operator="lessThan">
      <formula>0</formula>
    </cfRule>
  </conditionalFormatting>
  <conditionalFormatting sqref="AQ15 AQ19 AQ23 AQ31 AQ35 AQ39 AQ43 AQ51 AQ55 AQ59 AQ63 AQ67 AQ71 AQ75 AQ83 AQ91 AQ47">
    <cfRule type="cellIs" dxfId="13154" priority="249" operator="lessThan">
      <formula>0</formula>
    </cfRule>
  </conditionalFormatting>
  <conditionalFormatting sqref="AQ15 AQ19 AQ23 AQ31 AQ35 AQ39 AQ43 AQ51 AQ55 AQ59 AQ63 AQ67 AQ71 AQ75 AQ83 AQ91 AQ47">
    <cfRule type="cellIs" dxfId="13153" priority="248" operator="lessThan">
      <formula>0</formula>
    </cfRule>
  </conditionalFormatting>
  <conditionalFormatting sqref="AQ15 AQ19 AQ23 AQ31 AQ35 AQ39 AQ43 AQ51 AQ55 AQ59 AQ63 AQ67 AQ71 AQ75 AQ83 AQ91 AQ47">
    <cfRule type="cellIs" dxfId="13152" priority="247" operator="lessThan">
      <formula>0</formula>
    </cfRule>
  </conditionalFormatting>
  <conditionalFormatting sqref="AQ15 AQ19 AQ23 AQ31 AQ35 AQ39 AQ43 AQ51 AQ55 AQ59 AQ63 AQ67 AQ71 AQ75 AQ83 AQ91 AQ47">
    <cfRule type="cellIs" dxfId="13151" priority="246" operator="lessThan">
      <formula>0</formula>
    </cfRule>
  </conditionalFormatting>
  <conditionalFormatting sqref="AQ15 AQ19 AQ23 AQ31 AQ35 AQ39 AQ43 AQ51 AQ55 AQ59 AQ63 AQ67 AQ71 AQ75 AQ83 AQ91 AQ47">
    <cfRule type="cellIs" dxfId="13150" priority="245" operator="lessThan">
      <formula>0</formula>
    </cfRule>
  </conditionalFormatting>
  <conditionalFormatting sqref="AQ15 AQ19 AQ23 AQ31 AQ35 AQ39 AQ43 AQ51 AQ55 AQ59 AQ63 AQ67 AQ71 AQ75 AQ83 AQ91 AQ47">
    <cfRule type="cellIs" dxfId="13149" priority="244" operator="lessThan">
      <formula>0</formula>
    </cfRule>
  </conditionalFormatting>
  <conditionalFormatting sqref="AQ15 AQ19 AQ23 AQ31 AQ35 AQ39 AQ43 AQ51 AQ55 AQ59 AQ63 AQ67 AQ71 AQ75 AQ83 AQ91 AQ47">
    <cfRule type="cellIs" dxfId="13148" priority="243" operator="lessThan">
      <formula>0</formula>
    </cfRule>
  </conditionalFormatting>
  <conditionalFormatting sqref="AQ15 AQ19 AQ23 AQ31 AQ35 AQ39 AQ43 AQ51 AQ55 AQ59 AQ63 AQ67 AQ71 AQ75 AQ83 AQ91 AQ47">
    <cfRule type="cellIs" dxfId="13147" priority="242" operator="lessThan">
      <formula>0</formula>
    </cfRule>
  </conditionalFormatting>
  <conditionalFormatting sqref="AQ15 AQ19 AQ23 AQ31 AQ35 AQ39 AQ43 AQ51 AQ55 AQ59 AQ63 AQ67 AQ71 AQ75 AQ83 AQ91 AQ47">
    <cfRule type="cellIs" dxfId="13146" priority="241" operator="lessThan">
      <formula>0</formula>
    </cfRule>
  </conditionalFormatting>
  <conditionalFormatting sqref="AQ15 AQ19 AQ23 AQ31 AQ35 AQ39 AQ43 AQ51 AQ55 AQ59 AQ63 AQ67 AQ71 AQ75 AQ83 AQ91 AQ47">
    <cfRule type="cellIs" dxfId="13145" priority="240" operator="lessThan">
      <formula>0</formula>
    </cfRule>
  </conditionalFormatting>
  <conditionalFormatting sqref="AQ15 AQ19 AQ23 AQ31 AQ35 AQ39 AQ43 AQ51 AQ55 AQ59 AQ63 AQ67 AQ71 AQ75 AQ83 AQ91 AQ47">
    <cfRule type="cellIs" dxfId="13144" priority="239" operator="lessThan">
      <formula>0</formula>
    </cfRule>
  </conditionalFormatting>
  <conditionalFormatting sqref="AQ15 AQ19 AQ23 AQ31 AQ35 AQ39 AQ43 AQ51 AQ55 AQ59 AQ63 AQ67 AQ71 AQ75 AQ83 AQ91 AQ47">
    <cfRule type="cellIs" dxfId="13143" priority="238" operator="lessThan">
      <formula>0</formula>
    </cfRule>
  </conditionalFormatting>
  <conditionalFormatting sqref="AQ15 AQ19 AQ23 AQ31 AQ35 AQ39 AQ43 AQ51 AQ55 AQ59 AQ63 AQ67 AQ71 AQ75 AQ83 AQ91 AQ47">
    <cfRule type="cellIs" dxfId="13142" priority="237" operator="lessThan">
      <formula>0</formula>
    </cfRule>
  </conditionalFormatting>
  <conditionalFormatting sqref="AQ10">
    <cfRule type="cellIs" dxfId="13141" priority="236" operator="lessThan">
      <formula>0</formula>
    </cfRule>
  </conditionalFormatting>
  <conditionalFormatting sqref="AQ10 AQ12:AQ13">
    <cfRule type="cellIs" dxfId="13140" priority="235" operator="lessThan">
      <formula>0</formula>
    </cfRule>
  </conditionalFormatting>
  <conditionalFormatting sqref="AM10:AM13">
    <cfRule type="cellIs" dxfId="13139" priority="234" operator="notEqual">
      <formula>0</formula>
    </cfRule>
  </conditionalFormatting>
  <conditionalFormatting sqref="G12">
    <cfRule type="cellIs" dxfId="13138" priority="233" operator="greaterThan">
      <formula>0</formula>
    </cfRule>
  </conditionalFormatting>
  <conditionalFormatting sqref="AQ10 AQ12:AQ13">
    <cfRule type="cellIs" dxfId="13137" priority="232" operator="lessThan">
      <formula>0</formula>
    </cfRule>
  </conditionalFormatting>
  <conditionalFormatting sqref="AQ10 AQ12:AQ13">
    <cfRule type="cellIs" dxfId="13136" priority="231" operator="lessThan">
      <formula>0</formula>
    </cfRule>
  </conditionalFormatting>
  <conditionalFormatting sqref="AQ10 AQ12:AQ13">
    <cfRule type="cellIs" dxfId="13135" priority="230" operator="lessThan">
      <formula>0</formula>
    </cfRule>
  </conditionalFormatting>
  <conditionalFormatting sqref="J12">
    <cfRule type="cellIs" dxfId="13134" priority="229" operator="greaterThan">
      <formula>0</formula>
    </cfRule>
  </conditionalFormatting>
  <conditionalFormatting sqref="AQ12:AQ13">
    <cfRule type="cellIs" dxfId="13133" priority="228" operator="lessThan">
      <formula>0</formula>
    </cfRule>
  </conditionalFormatting>
  <conditionalFormatting sqref="AQ12:AQ13">
    <cfRule type="cellIs" dxfId="13132" priority="227" operator="lessThan">
      <formula>0</formula>
    </cfRule>
  </conditionalFormatting>
  <conditionalFormatting sqref="AQ12:AQ13">
    <cfRule type="cellIs" dxfId="13131" priority="226" operator="lessThan">
      <formula>0</formula>
    </cfRule>
  </conditionalFormatting>
  <conditionalFormatting sqref="AQ12:AQ13">
    <cfRule type="cellIs" dxfId="13130" priority="225" operator="lessThan">
      <formula>0</formula>
    </cfRule>
  </conditionalFormatting>
  <conditionalFormatting sqref="AQ11">
    <cfRule type="cellIs" dxfId="13129" priority="224" operator="lessThan">
      <formula>0</formula>
    </cfRule>
  </conditionalFormatting>
  <conditionalFormatting sqref="AQ11">
    <cfRule type="cellIs" dxfId="13128" priority="223" operator="lessThan">
      <formula>0</formula>
    </cfRule>
  </conditionalFormatting>
  <conditionalFormatting sqref="AQ11">
    <cfRule type="cellIs" dxfId="13127" priority="222" operator="lessThan">
      <formula>0</formula>
    </cfRule>
  </conditionalFormatting>
  <conditionalFormatting sqref="AQ11">
    <cfRule type="cellIs" dxfId="13126" priority="221" operator="lessThan">
      <formula>0</formula>
    </cfRule>
  </conditionalFormatting>
  <conditionalFormatting sqref="AQ11">
    <cfRule type="cellIs" dxfId="13125" priority="220" operator="lessThan">
      <formula>0</formula>
    </cfRule>
  </conditionalFormatting>
  <conditionalFormatting sqref="AQ11">
    <cfRule type="cellIs" dxfId="13124" priority="219" operator="lessThan">
      <formula>0</formula>
    </cfRule>
  </conditionalFormatting>
  <conditionalFormatting sqref="AQ11">
    <cfRule type="cellIs" dxfId="13123" priority="218" operator="lessThan">
      <formula>0</formula>
    </cfRule>
  </conditionalFormatting>
  <conditionalFormatting sqref="AQ11">
    <cfRule type="cellIs" dxfId="13122" priority="217" operator="lessThan">
      <formula>0</formula>
    </cfRule>
  </conditionalFormatting>
  <conditionalFormatting sqref="AQ11">
    <cfRule type="cellIs" dxfId="13121" priority="216" operator="lessThan">
      <formula>0</formula>
    </cfRule>
  </conditionalFormatting>
  <conditionalFormatting sqref="AQ11">
    <cfRule type="cellIs" dxfId="13120" priority="215" operator="lessThan">
      <formula>0</formula>
    </cfRule>
  </conditionalFormatting>
  <conditionalFormatting sqref="AQ11">
    <cfRule type="cellIs" dxfId="13119" priority="214" operator="lessThan">
      <formula>0</formula>
    </cfRule>
  </conditionalFormatting>
  <conditionalFormatting sqref="AQ11">
    <cfRule type="cellIs" dxfId="13118" priority="213" operator="lessThan">
      <formula>0</formula>
    </cfRule>
  </conditionalFormatting>
  <conditionalFormatting sqref="AQ11">
    <cfRule type="cellIs" dxfId="13117" priority="212" operator="lessThan">
      <formula>0</formula>
    </cfRule>
  </conditionalFormatting>
  <conditionalFormatting sqref="AQ11">
    <cfRule type="cellIs" dxfId="13116" priority="211" operator="lessThan">
      <formula>0</formula>
    </cfRule>
  </conditionalFormatting>
  <conditionalFormatting sqref="AQ11">
    <cfRule type="cellIs" dxfId="13115" priority="210" operator="lessThan">
      <formula>0</formula>
    </cfRule>
  </conditionalFormatting>
  <conditionalFormatting sqref="AQ11">
    <cfRule type="cellIs" dxfId="13114" priority="209" operator="lessThan">
      <formula>0</formula>
    </cfRule>
  </conditionalFormatting>
  <conditionalFormatting sqref="AQ11">
    <cfRule type="cellIs" dxfId="13113" priority="193" operator="lessThan">
      <formula>0</formula>
    </cfRule>
  </conditionalFormatting>
  <conditionalFormatting sqref="AQ11">
    <cfRule type="cellIs" dxfId="13112" priority="208" operator="lessThan">
      <formula>0</formula>
    </cfRule>
  </conditionalFormatting>
  <conditionalFormatting sqref="AQ11">
    <cfRule type="cellIs" dxfId="13111" priority="207" operator="lessThan">
      <formula>0</formula>
    </cfRule>
  </conditionalFormatting>
  <conditionalFormatting sqref="AQ11">
    <cfRule type="cellIs" dxfId="13110" priority="206" operator="lessThan">
      <formula>0</formula>
    </cfRule>
  </conditionalFormatting>
  <conditionalFormatting sqref="AQ11">
    <cfRule type="cellIs" dxfId="13109" priority="205" operator="lessThan">
      <formula>0</formula>
    </cfRule>
  </conditionalFormatting>
  <conditionalFormatting sqref="AQ11">
    <cfRule type="cellIs" dxfId="13108" priority="204" operator="lessThan">
      <formula>0</formula>
    </cfRule>
  </conditionalFormatting>
  <conditionalFormatting sqref="AQ11">
    <cfRule type="cellIs" dxfId="13107" priority="203" operator="lessThan">
      <formula>0</formula>
    </cfRule>
  </conditionalFormatting>
  <conditionalFormatting sqref="AQ11">
    <cfRule type="cellIs" dxfId="13106" priority="202" operator="lessThan">
      <formula>0</formula>
    </cfRule>
  </conditionalFormatting>
  <conditionalFormatting sqref="AQ11">
    <cfRule type="cellIs" dxfId="13105" priority="201" operator="lessThan">
      <formula>0</formula>
    </cfRule>
  </conditionalFormatting>
  <conditionalFormatting sqref="AQ11">
    <cfRule type="cellIs" dxfId="13104" priority="200" operator="lessThan">
      <formula>0</formula>
    </cfRule>
  </conditionalFormatting>
  <conditionalFormatting sqref="AQ11">
    <cfRule type="cellIs" dxfId="13103" priority="199" operator="lessThan">
      <formula>0</formula>
    </cfRule>
  </conditionalFormatting>
  <conditionalFormatting sqref="AQ11">
    <cfRule type="cellIs" dxfId="13102" priority="198" operator="lessThan">
      <formula>0</formula>
    </cfRule>
  </conditionalFormatting>
  <conditionalFormatting sqref="AQ11">
    <cfRule type="cellIs" dxfId="13101" priority="197" operator="lessThan">
      <formula>0</formula>
    </cfRule>
  </conditionalFormatting>
  <conditionalFormatting sqref="AQ11">
    <cfRule type="cellIs" dxfId="13100" priority="196" operator="lessThan">
      <formula>0</formula>
    </cfRule>
  </conditionalFormatting>
  <conditionalFormatting sqref="AQ11">
    <cfRule type="cellIs" dxfId="13099" priority="195" operator="lessThan">
      <formula>0</formula>
    </cfRule>
  </conditionalFormatting>
  <conditionalFormatting sqref="AQ11">
    <cfRule type="cellIs" dxfId="13098" priority="194" operator="lessThan">
      <formula>0</formula>
    </cfRule>
  </conditionalFormatting>
  <conditionalFormatting sqref="AM26:AM29">
    <cfRule type="cellIs" dxfId="13097" priority="187" operator="notEqual">
      <formula>0</formula>
    </cfRule>
  </conditionalFormatting>
  <conditionalFormatting sqref="G28">
    <cfRule type="cellIs" dxfId="13096" priority="186" operator="greaterThan">
      <formula>0</formula>
    </cfRule>
  </conditionalFormatting>
  <conditionalFormatting sqref="J28">
    <cfRule type="cellIs" dxfId="13095" priority="185" operator="greaterThan">
      <formula>0</formula>
    </cfRule>
  </conditionalFormatting>
  <conditionalFormatting sqref="AQ26">
    <cfRule type="cellIs" dxfId="13094" priority="181" operator="lessThan">
      <formula>0</formula>
    </cfRule>
  </conditionalFormatting>
  <conditionalFormatting sqref="AQ26 AQ28:AQ29">
    <cfRule type="cellIs" dxfId="13093" priority="180" operator="lessThan">
      <formula>0</formula>
    </cfRule>
  </conditionalFormatting>
  <conditionalFormatting sqref="AQ26 AQ28:AQ29">
    <cfRule type="cellIs" dxfId="13092" priority="179" operator="lessThan">
      <formula>0</formula>
    </cfRule>
  </conditionalFormatting>
  <conditionalFormatting sqref="AQ26 AQ28:AQ29">
    <cfRule type="cellIs" dxfId="13091" priority="178" operator="lessThan">
      <formula>0</formula>
    </cfRule>
  </conditionalFormatting>
  <conditionalFormatting sqref="AQ26 AQ28:AQ29">
    <cfRule type="cellIs" dxfId="13090" priority="177" operator="lessThan">
      <formula>0</formula>
    </cfRule>
  </conditionalFormatting>
  <conditionalFormatting sqref="AQ28:AQ29">
    <cfRule type="cellIs" dxfId="13089" priority="176" operator="lessThan">
      <formula>0</formula>
    </cfRule>
  </conditionalFormatting>
  <conditionalFormatting sqref="AQ28:AQ29">
    <cfRule type="cellIs" dxfId="13088" priority="175" operator="lessThan">
      <formula>0</formula>
    </cfRule>
  </conditionalFormatting>
  <conditionalFormatting sqref="AQ28:AQ29">
    <cfRule type="cellIs" dxfId="13087" priority="174" operator="lessThan">
      <formula>0</formula>
    </cfRule>
  </conditionalFormatting>
  <conditionalFormatting sqref="AQ28:AQ29">
    <cfRule type="cellIs" dxfId="13086" priority="173" operator="lessThan">
      <formula>0</formula>
    </cfRule>
  </conditionalFormatting>
  <conditionalFormatting sqref="AQ27">
    <cfRule type="cellIs" dxfId="13085" priority="172" operator="lessThan">
      <formula>0</formula>
    </cfRule>
  </conditionalFormatting>
  <conditionalFormatting sqref="AQ27">
    <cfRule type="cellIs" dxfId="13084" priority="171" operator="lessThan">
      <formula>0</formula>
    </cfRule>
  </conditionalFormatting>
  <conditionalFormatting sqref="AQ27">
    <cfRule type="cellIs" dxfId="13083" priority="170" operator="lessThan">
      <formula>0</formula>
    </cfRule>
  </conditionalFormatting>
  <conditionalFormatting sqref="AQ27">
    <cfRule type="cellIs" dxfId="13082" priority="169" operator="lessThan">
      <formula>0</formula>
    </cfRule>
  </conditionalFormatting>
  <conditionalFormatting sqref="AQ27">
    <cfRule type="cellIs" dxfId="13081" priority="168" operator="lessThan">
      <formula>0</formula>
    </cfRule>
  </conditionalFormatting>
  <conditionalFormatting sqref="AQ27">
    <cfRule type="cellIs" dxfId="13080" priority="167" operator="lessThan">
      <formula>0</formula>
    </cfRule>
  </conditionalFormatting>
  <conditionalFormatting sqref="AQ27">
    <cfRule type="cellIs" dxfId="13079" priority="166" operator="lessThan">
      <formula>0</formula>
    </cfRule>
  </conditionalFormatting>
  <conditionalFormatting sqref="AQ27">
    <cfRule type="cellIs" dxfId="13078" priority="165" operator="lessThan">
      <formula>0</formula>
    </cfRule>
  </conditionalFormatting>
  <conditionalFormatting sqref="AQ27">
    <cfRule type="cellIs" dxfId="13077" priority="164" operator="lessThan">
      <formula>0</formula>
    </cfRule>
  </conditionalFormatting>
  <conditionalFormatting sqref="AQ27">
    <cfRule type="cellIs" dxfId="13076" priority="163" operator="lessThan">
      <formula>0</formula>
    </cfRule>
  </conditionalFormatting>
  <conditionalFormatting sqref="AQ27">
    <cfRule type="cellIs" dxfId="13075" priority="162" operator="lessThan">
      <formula>0</formula>
    </cfRule>
  </conditionalFormatting>
  <conditionalFormatting sqref="AQ27">
    <cfRule type="cellIs" dxfId="13074" priority="161" operator="lessThan">
      <formula>0</formula>
    </cfRule>
  </conditionalFormatting>
  <conditionalFormatting sqref="AQ27">
    <cfRule type="cellIs" dxfId="13073" priority="160" operator="lessThan">
      <formula>0</formula>
    </cfRule>
  </conditionalFormatting>
  <conditionalFormatting sqref="AQ27">
    <cfRule type="cellIs" dxfId="13072" priority="159" operator="lessThan">
      <formula>0</formula>
    </cfRule>
  </conditionalFormatting>
  <conditionalFormatting sqref="AQ27">
    <cfRule type="cellIs" dxfId="13071" priority="158" operator="lessThan">
      <formula>0</formula>
    </cfRule>
  </conditionalFormatting>
  <conditionalFormatting sqref="AQ27">
    <cfRule type="cellIs" dxfId="13070" priority="157" operator="lessThan">
      <formula>0</formula>
    </cfRule>
  </conditionalFormatting>
  <conditionalFormatting sqref="AQ27">
    <cfRule type="cellIs" dxfId="13069" priority="156" operator="lessThan">
      <formula>0</formula>
    </cfRule>
  </conditionalFormatting>
  <conditionalFormatting sqref="AQ27">
    <cfRule type="cellIs" dxfId="13068" priority="155" operator="lessThan">
      <formula>0</formula>
    </cfRule>
  </conditionalFormatting>
  <conditionalFormatting sqref="AQ27">
    <cfRule type="cellIs" dxfId="13067" priority="154" operator="lessThan">
      <formula>0</formula>
    </cfRule>
  </conditionalFormatting>
  <conditionalFormatting sqref="AQ27">
    <cfRule type="cellIs" dxfId="13066" priority="153" operator="lessThan">
      <formula>0</formula>
    </cfRule>
  </conditionalFormatting>
  <conditionalFormatting sqref="AQ27">
    <cfRule type="cellIs" dxfId="13065" priority="152" operator="lessThan">
      <formula>0</formula>
    </cfRule>
  </conditionalFormatting>
  <conditionalFormatting sqref="AQ27">
    <cfRule type="cellIs" dxfId="13064" priority="151" operator="lessThan">
      <formula>0</formula>
    </cfRule>
  </conditionalFormatting>
  <conditionalFormatting sqref="AQ27">
    <cfRule type="cellIs" dxfId="13063" priority="150" operator="lessThan">
      <formula>0</formula>
    </cfRule>
  </conditionalFormatting>
  <conditionalFormatting sqref="AQ27">
    <cfRule type="cellIs" dxfId="13062" priority="149" operator="lessThan">
      <formula>0</formula>
    </cfRule>
  </conditionalFormatting>
  <conditionalFormatting sqref="AQ27">
    <cfRule type="cellIs" dxfId="13061" priority="148" operator="lessThan">
      <formula>0</formula>
    </cfRule>
  </conditionalFormatting>
  <conditionalFormatting sqref="AQ27">
    <cfRule type="cellIs" dxfId="13060" priority="147" operator="lessThan">
      <formula>0</formula>
    </cfRule>
  </conditionalFormatting>
  <conditionalFormatting sqref="AQ27">
    <cfRule type="cellIs" dxfId="13059" priority="146" operator="lessThan">
      <formula>0</formula>
    </cfRule>
  </conditionalFormatting>
  <conditionalFormatting sqref="AQ27">
    <cfRule type="cellIs" dxfId="13058" priority="145" operator="lessThan">
      <formula>0</formula>
    </cfRule>
  </conditionalFormatting>
  <conditionalFormatting sqref="AQ27">
    <cfRule type="cellIs" dxfId="13057" priority="144" operator="lessThan">
      <formula>0</formula>
    </cfRule>
  </conditionalFormatting>
  <conditionalFormatting sqref="AQ27">
    <cfRule type="cellIs" dxfId="13056" priority="143" operator="lessThan">
      <formula>0</formula>
    </cfRule>
  </conditionalFormatting>
  <conditionalFormatting sqref="AQ27">
    <cfRule type="cellIs" dxfId="13055" priority="142" operator="lessThan">
      <formula>0</formula>
    </cfRule>
  </conditionalFormatting>
  <conditionalFormatting sqref="AQ27">
    <cfRule type="cellIs" dxfId="13054" priority="141" operator="lessThan">
      <formula>0</formula>
    </cfRule>
  </conditionalFormatting>
  <conditionalFormatting sqref="AM86:AM89">
    <cfRule type="cellIs" dxfId="13053" priority="139" operator="notEqual">
      <formula>0</formula>
    </cfRule>
  </conditionalFormatting>
  <conditionalFormatting sqref="G88">
    <cfRule type="cellIs" dxfId="13052" priority="138" operator="greaterThan">
      <formula>0</formula>
    </cfRule>
  </conditionalFormatting>
  <conditionalFormatting sqref="J88">
    <cfRule type="cellIs" dxfId="13051" priority="137" operator="greaterThan">
      <formula>0</formula>
    </cfRule>
  </conditionalFormatting>
  <conditionalFormatting sqref="AQ86">
    <cfRule type="cellIs" dxfId="13050" priority="133" operator="lessThan">
      <formula>0</formula>
    </cfRule>
  </conditionalFormatting>
  <conditionalFormatting sqref="AQ86 AQ88:AQ89">
    <cfRule type="cellIs" dxfId="13049" priority="132" operator="lessThan">
      <formula>0</formula>
    </cfRule>
  </conditionalFormatting>
  <conditionalFormatting sqref="AQ86 AQ88:AQ89">
    <cfRule type="cellIs" dxfId="13048" priority="131" operator="lessThan">
      <formula>0</formula>
    </cfRule>
  </conditionalFormatting>
  <conditionalFormatting sqref="AQ86 AQ88:AQ89">
    <cfRule type="cellIs" dxfId="13047" priority="130" operator="lessThan">
      <formula>0</formula>
    </cfRule>
  </conditionalFormatting>
  <conditionalFormatting sqref="AQ86 AQ88:AQ89">
    <cfRule type="cellIs" dxfId="13046" priority="129" operator="lessThan">
      <formula>0</formula>
    </cfRule>
  </conditionalFormatting>
  <conditionalFormatting sqref="AQ88:AQ89">
    <cfRule type="cellIs" dxfId="13045" priority="128" operator="lessThan">
      <formula>0</formula>
    </cfRule>
  </conditionalFormatting>
  <conditionalFormatting sqref="AQ88:AQ89">
    <cfRule type="cellIs" dxfId="13044" priority="127" operator="lessThan">
      <formula>0</formula>
    </cfRule>
  </conditionalFormatting>
  <conditionalFormatting sqref="AQ88:AQ89">
    <cfRule type="cellIs" dxfId="13043" priority="126" operator="lessThan">
      <formula>0</formula>
    </cfRule>
  </conditionalFormatting>
  <conditionalFormatting sqref="AQ88:AQ89">
    <cfRule type="cellIs" dxfId="13042" priority="125" operator="lessThan">
      <formula>0</formula>
    </cfRule>
  </conditionalFormatting>
  <conditionalFormatting sqref="AQ87">
    <cfRule type="cellIs" dxfId="13041" priority="124" operator="lessThan">
      <formula>0</formula>
    </cfRule>
  </conditionalFormatting>
  <conditionalFormatting sqref="AQ87">
    <cfRule type="cellIs" dxfId="13040" priority="123" operator="lessThan">
      <formula>0</formula>
    </cfRule>
  </conditionalFormatting>
  <conditionalFormatting sqref="AQ87">
    <cfRule type="cellIs" dxfId="13039" priority="122" operator="lessThan">
      <formula>0</formula>
    </cfRule>
  </conditionalFormatting>
  <conditionalFormatting sqref="AQ87">
    <cfRule type="cellIs" dxfId="13038" priority="121" operator="lessThan">
      <formula>0</formula>
    </cfRule>
  </conditionalFormatting>
  <conditionalFormatting sqref="AQ87">
    <cfRule type="cellIs" dxfId="13037" priority="120" operator="lessThan">
      <formula>0</formula>
    </cfRule>
  </conditionalFormatting>
  <conditionalFormatting sqref="AQ87">
    <cfRule type="cellIs" dxfId="13036" priority="119" operator="lessThan">
      <formula>0</formula>
    </cfRule>
  </conditionalFormatting>
  <conditionalFormatting sqref="AQ87">
    <cfRule type="cellIs" dxfId="13035" priority="118" operator="lessThan">
      <formula>0</formula>
    </cfRule>
  </conditionalFormatting>
  <conditionalFormatting sqref="AQ87">
    <cfRule type="cellIs" dxfId="13034" priority="117" operator="lessThan">
      <formula>0</formula>
    </cfRule>
  </conditionalFormatting>
  <conditionalFormatting sqref="AQ87">
    <cfRule type="cellIs" dxfId="13033" priority="116" operator="lessThan">
      <formula>0</formula>
    </cfRule>
  </conditionalFormatting>
  <conditionalFormatting sqref="AQ87">
    <cfRule type="cellIs" dxfId="13032" priority="115" operator="lessThan">
      <formula>0</formula>
    </cfRule>
  </conditionalFormatting>
  <conditionalFormatting sqref="AQ87">
    <cfRule type="cellIs" dxfId="13031" priority="114" operator="lessThan">
      <formula>0</formula>
    </cfRule>
  </conditionalFormatting>
  <conditionalFormatting sqref="AQ87">
    <cfRule type="cellIs" dxfId="13030" priority="113" operator="lessThan">
      <formula>0</formula>
    </cfRule>
  </conditionalFormatting>
  <conditionalFormatting sqref="AQ87">
    <cfRule type="cellIs" dxfId="13029" priority="112" operator="lessThan">
      <formula>0</formula>
    </cfRule>
  </conditionalFormatting>
  <conditionalFormatting sqref="AQ87">
    <cfRule type="cellIs" dxfId="13028" priority="111" operator="lessThan">
      <formula>0</formula>
    </cfRule>
  </conditionalFormatting>
  <conditionalFormatting sqref="AQ87">
    <cfRule type="cellIs" dxfId="13027" priority="110" operator="lessThan">
      <formula>0</formula>
    </cfRule>
  </conditionalFormatting>
  <conditionalFormatting sqref="AQ87">
    <cfRule type="cellIs" dxfId="13026" priority="109" operator="lessThan">
      <formula>0</formula>
    </cfRule>
  </conditionalFormatting>
  <conditionalFormatting sqref="AQ87">
    <cfRule type="cellIs" dxfId="13025" priority="108" operator="lessThan">
      <formula>0</formula>
    </cfRule>
  </conditionalFormatting>
  <conditionalFormatting sqref="AQ87">
    <cfRule type="cellIs" dxfId="13024" priority="107" operator="lessThan">
      <formula>0</formula>
    </cfRule>
  </conditionalFormatting>
  <conditionalFormatting sqref="AQ87">
    <cfRule type="cellIs" dxfId="13023" priority="106" operator="lessThan">
      <formula>0</formula>
    </cfRule>
  </conditionalFormatting>
  <conditionalFormatting sqref="AQ87">
    <cfRule type="cellIs" dxfId="13022" priority="105" operator="lessThan">
      <formula>0</formula>
    </cfRule>
  </conditionalFormatting>
  <conditionalFormatting sqref="AQ87">
    <cfRule type="cellIs" dxfId="13021" priority="104" operator="lessThan">
      <formula>0</formula>
    </cfRule>
  </conditionalFormatting>
  <conditionalFormatting sqref="AQ87">
    <cfRule type="cellIs" dxfId="13020" priority="103" operator="lessThan">
      <formula>0</formula>
    </cfRule>
  </conditionalFormatting>
  <conditionalFormatting sqref="AQ87">
    <cfRule type="cellIs" dxfId="13019" priority="102" operator="lessThan">
      <formula>0</formula>
    </cfRule>
  </conditionalFormatting>
  <conditionalFormatting sqref="AQ87">
    <cfRule type="cellIs" dxfId="13018" priority="101" operator="lessThan">
      <formula>0</formula>
    </cfRule>
  </conditionalFormatting>
  <conditionalFormatting sqref="AQ87">
    <cfRule type="cellIs" dxfId="13017" priority="100" operator="lessThan">
      <formula>0</formula>
    </cfRule>
  </conditionalFormatting>
  <conditionalFormatting sqref="AQ87">
    <cfRule type="cellIs" dxfId="13016" priority="99" operator="lessThan">
      <formula>0</formula>
    </cfRule>
  </conditionalFormatting>
  <conditionalFormatting sqref="AQ87">
    <cfRule type="cellIs" dxfId="13015" priority="98" operator="lessThan">
      <formula>0</formula>
    </cfRule>
  </conditionalFormatting>
  <conditionalFormatting sqref="AQ87">
    <cfRule type="cellIs" dxfId="13014" priority="97" operator="lessThan">
      <formula>0</formula>
    </cfRule>
  </conditionalFormatting>
  <conditionalFormatting sqref="AQ87">
    <cfRule type="cellIs" dxfId="13013" priority="96" operator="lessThan">
      <formula>0</formula>
    </cfRule>
  </conditionalFormatting>
  <conditionalFormatting sqref="AQ87">
    <cfRule type="cellIs" dxfId="13012" priority="95" operator="lessThan">
      <formula>0</formula>
    </cfRule>
  </conditionalFormatting>
  <conditionalFormatting sqref="AQ87">
    <cfRule type="cellIs" dxfId="13011" priority="94" operator="lessThan">
      <formula>0</formula>
    </cfRule>
  </conditionalFormatting>
  <conditionalFormatting sqref="AQ87">
    <cfRule type="cellIs" dxfId="13010" priority="93" operator="lessThan">
      <formula>0</formula>
    </cfRule>
  </conditionalFormatting>
  <conditionalFormatting sqref="X7:Y7">
    <cfRule type="iconSet" priority="91">
      <iconSet>
        <cfvo type="percent" val="0"/>
        <cfvo type="percent" val="&quot;$I$6&quot;"/>
        <cfvo type="percent" val="#REF!"/>
      </iconSet>
    </cfRule>
  </conditionalFormatting>
  <conditionalFormatting sqref="X8:Y8">
    <cfRule type="cellIs" dxfId="13009" priority="90" operator="lessThan">
      <formula>0</formula>
    </cfRule>
  </conditionalFormatting>
  <conditionalFormatting sqref="X6:Y8 X9">
    <cfRule type="cellIs" dxfId="13008" priority="89" operator="lessThan">
      <formula>0</formula>
    </cfRule>
  </conditionalFormatting>
  <conditionalFormatting sqref="X11 X15 X19 X23 X27 X31 X35 X39 X43 X47 X51 X55 X59 X63 X67 X71 X75 X83 X87 X91">
    <cfRule type="iconSet" priority="88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4 X88 X92">
    <cfRule type="cellIs" dxfId="13007" priority="87" operator="lessThan">
      <formula>0</formula>
    </cfRule>
  </conditionalFormatting>
  <conditionalFormatting sqref="X10:X77 X82:X93">
    <cfRule type="cellIs" dxfId="13006" priority="86" operator="lessThan">
      <formula>0</formula>
    </cfRule>
  </conditionalFormatting>
  <conditionalFormatting sqref="AM78:AM81">
    <cfRule type="cellIs" dxfId="13005" priority="84" operator="notEqual">
      <formula>0</formula>
    </cfRule>
  </conditionalFormatting>
  <conditionalFormatting sqref="G80">
    <cfRule type="cellIs" dxfId="13004" priority="83" operator="greaterThan">
      <formula>0</formula>
    </cfRule>
  </conditionalFormatting>
  <conditionalFormatting sqref="J80">
    <cfRule type="cellIs" dxfId="13003" priority="82" operator="greaterThan">
      <formula>0</formula>
    </cfRule>
  </conditionalFormatting>
  <conditionalFormatting sqref="AQ78">
    <cfRule type="cellIs" dxfId="13002" priority="81" operator="lessThan">
      <formula>0</formula>
    </cfRule>
  </conditionalFormatting>
  <conditionalFormatting sqref="AQ78 AQ80:AQ81">
    <cfRule type="cellIs" dxfId="13001" priority="80" operator="lessThan">
      <formula>0</formula>
    </cfRule>
  </conditionalFormatting>
  <conditionalFormatting sqref="AQ78 AQ80:AQ81">
    <cfRule type="cellIs" dxfId="13000" priority="79" operator="lessThan">
      <formula>0</formula>
    </cfRule>
  </conditionalFormatting>
  <conditionalFormatting sqref="AQ78 AQ80:AQ81">
    <cfRule type="cellIs" dxfId="12999" priority="78" operator="lessThan">
      <formula>0</formula>
    </cfRule>
  </conditionalFormatting>
  <conditionalFormatting sqref="AQ78 AQ80:AQ81">
    <cfRule type="cellIs" dxfId="12998" priority="77" operator="lessThan">
      <formula>0</formula>
    </cfRule>
  </conditionalFormatting>
  <conditionalFormatting sqref="AQ80:AQ81">
    <cfRule type="cellIs" dxfId="12997" priority="76" operator="lessThan">
      <formula>0</formula>
    </cfRule>
  </conditionalFormatting>
  <conditionalFormatting sqref="AQ80:AQ81">
    <cfRule type="cellIs" dxfId="12996" priority="75" operator="lessThan">
      <formula>0</formula>
    </cfRule>
  </conditionalFormatting>
  <conditionalFormatting sqref="AQ80:AQ81">
    <cfRule type="cellIs" dxfId="12995" priority="74" operator="lessThan">
      <formula>0</formula>
    </cfRule>
  </conditionalFormatting>
  <conditionalFormatting sqref="AQ80:AQ81">
    <cfRule type="cellIs" dxfId="12994" priority="73" operator="lessThan">
      <formula>0</formula>
    </cfRule>
  </conditionalFormatting>
  <conditionalFormatting sqref="X79">
    <cfRule type="iconSet" priority="40">
      <iconSet>
        <cfvo type="percent" val="0"/>
        <cfvo type="percent" val="&quot;$I$6&quot;"/>
        <cfvo type="percent" val="#REF!"/>
      </iconSet>
    </cfRule>
  </conditionalFormatting>
  <conditionalFormatting sqref="X80">
    <cfRule type="cellIs" dxfId="12993" priority="39" operator="lessThan">
      <formula>0</formula>
    </cfRule>
  </conditionalFormatting>
  <conditionalFormatting sqref="X78:X81">
    <cfRule type="cellIs" dxfId="12992" priority="38" operator="lessThan">
      <formula>0</formula>
    </cfRule>
  </conditionalFormatting>
  <conditionalFormatting sqref="AQ79">
    <cfRule type="cellIs" dxfId="12991" priority="37" operator="lessThan">
      <formula>0</formula>
    </cfRule>
  </conditionalFormatting>
  <conditionalFormatting sqref="AQ79">
    <cfRule type="cellIs" dxfId="12990" priority="36" operator="lessThan">
      <formula>0</formula>
    </cfRule>
  </conditionalFormatting>
  <conditionalFormatting sqref="AQ79">
    <cfRule type="cellIs" dxfId="12989" priority="35" operator="lessThan">
      <formula>0</formula>
    </cfRule>
  </conditionalFormatting>
  <conditionalFormatting sqref="AQ79">
    <cfRule type="cellIs" dxfId="12988" priority="34" operator="lessThan">
      <formula>0</formula>
    </cfRule>
  </conditionalFormatting>
  <conditionalFormatting sqref="AQ79">
    <cfRule type="cellIs" dxfId="12987" priority="33" operator="lessThan">
      <formula>0</formula>
    </cfRule>
  </conditionalFormatting>
  <conditionalFormatting sqref="AQ79">
    <cfRule type="cellIs" dxfId="12986" priority="32" operator="lessThan">
      <formula>0</formula>
    </cfRule>
  </conditionalFormatting>
  <conditionalFormatting sqref="AQ79">
    <cfRule type="cellIs" dxfId="12985" priority="31" operator="lessThan">
      <formula>0</formula>
    </cfRule>
  </conditionalFormatting>
  <conditionalFormatting sqref="AQ79">
    <cfRule type="cellIs" dxfId="12984" priority="30" operator="lessThan">
      <formula>0</formula>
    </cfRule>
  </conditionalFormatting>
  <conditionalFormatting sqref="AQ79">
    <cfRule type="cellIs" dxfId="12983" priority="29" operator="lessThan">
      <formula>0</formula>
    </cfRule>
  </conditionalFormatting>
  <conditionalFormatting sqref="AQ79">
    <cfRule type="cellIs" dxfId="12982" priority="28" operator="lessThan">
      <formula>0</formula>
    </cfRule>
  </conditionalFormatting>
  <conditionalFormatting sqref="AQ79">
    <cfRule type="cellIs" dxfId="12981" priority="27" operator="lessThan">
      <formula>0</formula>
    </cfRule>
  </conditionalFormatting>
  <conditionalFormatting sqref="AQ79">
    <cfRule type="cellIs" dxfId="12980" priority="26" operator="lessThan">
      <formula>0</formula>
    </cfRule>
  </conditionalFormatting>
  <conditionalFormatting sqref="AQ79">
    <cfRule type="cellIs" dxfId="12979" priority="25" operator="lessThan">
      <formula>0</formula>
    </cfRule>
  </conditionalFormatting>
  <conditionalFormatting sqref="AQ79">
    <cfRule type="cellIs" dxfId="12978" priority="24" operator="lessThan">
      <formula>0</formula>
    </cfRule>
  </conditionalFormatting>
  <conditionalFormatting sqref="AQ79">
    <cfRule type="cellIs" dxfId="12977" priority="23" operator="lessThan">
      <formula>0</formula>
    </cfRule>
  </conditionalFormatting>
  <conditionalFormatting sqref="AQ79">
    <cfRule type="cellIs" dxfId="12976" priority="22" operator="lessThan">
      <formula>0</formula>
    </cfRule>
  </conditionalFormatting>
  <conditionalFormatting sqref="AQ79">
    <cfRule type="cellIs" dxfId="12975" priority="21" operator="lessThan">
      <formula>0</formula>
    </cfRule>
  </conditionalFormatting>
  <conditionalFormatting sqref="AQ79">
    <cfRule type="cellIs" dxfId="12974" priority="20" operator="lessThan">
      <formula>0</formula>
    </cfRule>
  </conditionalFormatting>
  <conditionalFormatting sqref="AQ79">
    <cfRule type="cellIs" dxfId="12973" priority="19" operator="lessThan">
      <formula>0</formula>
    </cfRule>
  </conditionalFormatting>
  <conditionalFormatting sqref="AQ79">
    <cfRule type="cellIs" dxfId="12972" priority="18" operator="lessThan">
      <formula>0</formula>
    </cfRule>
  </conditionalFormatting>
  <conditionalFormatting sqref="AQ79">
    <cfRule type="cellIs" dxfId="12971" priority="17" operator="lessThan">
      <formula>0</formula>
    </cfRule>
  </conditionalFormatting>
  <conditionalFormatting sqref="AQ79">
    <cfRule type="cellIs" dxfId="12970" priority="16" operator="lessThan">
      <formula>0</formula>
    </cfRule>
  </conditionalFormatting>
  <conditionalFormatting sqref="AQ79">
    <cfRule type="cellIs" dxfId="12969" priority="15" operator="lessThan">
      <formula>0</formula>
    </cfRule>
  </conditionalFormatting>
  <conditionalFormatting sqref="AQ79">
    <cfRule type="cellIs" dxfId="12968" priority="14" operator="lessThan">
      <formula>0</formula>
    </cfRule>
  </conditionalFormatting>
  <conditionalFormatting sqref="AQ79">
    <cfRule type="cellIs" dxfId="12967" priority="13" operator="lessThan">
      <formula>0</formula>
    </cfRule>
  </conditionalFormatting>
  <conditionalFormatting sqref="AQ79">
    <cfRule type="cellIs" dxfId="12966" priority="12" operator="lessThan">
      <formula>0</formula>
    </cfRule>
  </conditionalFormatting>
  <conditionalFormatting sqref="AQ79">
    <cfRule type="cellIs" dxfId="12965" priority="11" operator="lessThan">
      <formula>0</formula>
    </cfRule>
  </conditionalFormatting>
  <conditionalFormatting sqref="AQ79">
    <cfRule type="cellIs" dxfId="12964" priority="10" operator="lessThan">
      <formula>0</formula>
    </cfRule>
  </conditionalFormatting>
  <conditionalFormatting sqref="AQ79">
    <cfRule type="cellIs" dxfId="12963" priority="9" operator="lessThan">
      <formula>0</formula>
    </cfRule>
  </conditionalFormatting>
  <conditionalFormatting sqref="AQ79">
    <cfRule type="cellIs" dxfId="12962" priority="8" operator="lessThan">
      <formula>0</formula>
    </cfRule>
  </conditionalFormatting>
  <conditionalFormatting sqref="AQ79">
    <cfRule type="cellIs" dxfId="12961" priority="7" operator="lessThan">
      <formula>0</formula>
    </cfRule>
  </conditionalFormatting>
  <conditionalFormatting sqref="AQ79">
    <cfRule type="cellIs" dxfId="12960" priority="6" operator="lessThan">
      <formula>0</formula>
    </cfRule>
  </conditionalFormatting>
  <conditionalFormatting sqref="Y9">
    <cfRule type="cellIs" dxfId="12959" priority="5" operator="lessThan">
      <formula>0</formula>
    </cfRule>
  </conditionalFormatting>
  <conditionalFormatting sqref="Y11 Y15 Y19 Y23 Y27 Y31 Y35 Y39 Y43 Y47 Y51 Y55 Y59 Y63 Y67 Y71 Y75 Y79 Y83 Y87 Y91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Y12 Y16 Y20 Y24 Y28 Y32 Y36 Y40 Y44 Y48 Y52 Y56 Y60 Y64 Y68 Y72 Y76 Y80 Y84 Y88 Y92">
    <cfRule type="cellIs" dxfId="12958" priority="3" operator="lessThan">
      <formula>0</formula>
    </cfRule>
  </conditionalFormatting>
  <conditionalFormatting sqref="Y10:Y12 Y14:Y16 Y18:Y20 Y22:Y24 Y26:Y28 Y30:Y32 Y34:Y36 Y38:Y40 Y42:Y44 Y46:Y48 Y50:Y52 Y54:Y56 Y58:Y60 Y62:Y64 Y66:Y68 Y70:Y72 Y74:Y76 Y78:Y80 Y82:Y84 Y86:Y88 Y90:Y92">
    <cfRule type="cellIs" dxfId="12957" priority="2" operator="lessThan">
      <formula>0</formula>
    </cfRule>
  </conditionalFormatting>
  <conditionalFormatting sqref="Y13 Y17 Y21 Y25 Y29 Y33 Y37 Y41 Y45 Y49 Y53 Y57 Y61 Y65 Y69 Y73 Y77 Y81 Y85 Y89 Y93">
    <cfRule type="cellIs" dxfId="12956" priority="1" operator="less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95" id="{B1547D10-E122-4D05-B021-0504C91C31B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390" id="{26D98BBE-5211-46CB-84A4-C800432993A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387" id="{5B2CC396-50CB-49D8-9FF3-81D2F86F6EC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384" id="{87C0A3C4-FE19-47F8-9358-3291E35D040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377" id="{9C3E66C7-45B6-4025-8E7D-2A8A4F57E61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374" id="{41AC4AD6-8306-43F5-A971-5379BE31AE4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371" id="{40AF2464-1A85-4FEC-9534-875B2F4A1CC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368" id="{56F5988F-4081-4219-94AD-2DF3996D88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359" id="{65D30FB6-BC8A-43F6-8350-D078FF5257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355" id="{9AB9C044-6760-4583-BFED-39F088E2334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352" id="{237A44D5-69A6-4D33-87E1-8BD2D5F6479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349" id="{C7AD4603-7E79-4DDB-A13C-1B8690DF710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343" id="{AF841475-FC9D-4CAE-B426-551C56E7444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338" id="{7EA69F31-8729-449C-82B8-7EB73EE3CC0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334" id="{16101D76-D068-47B0-AA62-1CFEAB00B12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331" id="{01F8FA57-90FF-4443-B338-D90D27A7C3E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304" id="{34B029F6-B20E-491E-933F-5B6EDF89B9A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192" id="{4800A065-6305-4696-9B71-4E247C44302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188" id="{613B1977-0F9E-456E-832B-76414EC26FB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140" id="{F3552551-34A2-40DE-8D1B-1766FF21284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92" id="{386035A1-29F3-4A98-B9C1-E38E40EABF1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85" id="{762F4B8D-7E82-454A-A9F0-134D243B72F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93"/>
  <sheetViews>
    <sheetView zoomScale="18" zoomScaleNormal="18" zoomScaleSheetLayoutView="10" workbookViewId="0">
      <pane xSplit="11" ySplit="5" topLeftCell="L54" activePane="bottomRight" state="frozen"/>
      <selection pane="topRight" activeCell="L1" sqref="L1"/>
      <selection pane="bottomLeft" activeCell="A6" sqref="A6"/>
      <selection pane="bottomRight" activeCell="Z85" sqref="Z85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0.65225446595211434</v>
      </c>
      <c r="AE2" s="520"/>
      <c r="AH2" s="183">
        <f>+SUBTOTAL(9,AH6:AH115)</f>
        <v>328177.5</v>
      </c>
      <c r="AI2" s="183">
        <f>+SUBTOTAL(9,AI6:AI115)</f>
        <v>214055.24</v>
      </c>
      <c r="AT2" s="91">
        <v>0.59793648334624327</v>
      </c>
    </row>
    <row r="3" spans="2:58" ht="94.5" customHeight="1" x14ac:dyDescent="0.9">
      <c r="B3" s="468"/>
      <c r="C3" s="468"/>
      <c r="D3" s="468"/>
      <c r="E3" s="468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68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+SUMIF($L$6:$L$98,AA3,$AA$6:$AA$98)</f>
        <v>4699</v>
      </c>
      <c r="AB4" s="144" t="s">
        <v>28</v>
      </c>
      <c r="AC4" s="145"/>
      <c r="AD4" s="524" t="str">
        <f ca="1">RIGHT(CELL("filename",A1),LEN(CELL("filename",A1))-FIND("]",CELL("filename",A1)))</f>
        <v>05-01-2026</v>
      </c>
      <c r="AE4" s="524"/>
      <c r="AF4" s="397">
        <f>+SUM(AF6:AF103)</f>
        <v>5469.625</v>
      </c>
      <c r="AG4" s="397"/>
      <c r="AH4" s="98"/>
      <c r="AI4" s="98"/>
      <c r="AJ4" s="398">
        <v>8.75</v>
      </c>
      <c r="AQ4" s="437">
        <f>+SUBTOTAL(9,AQ6:AQ99)</f>
        <v>-96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439" t="str">
        <f>+G7</f>
        <v>NEGRONI-202942</v>
      </c>
      <c r="H6" s="106"/>
      <c r="I6" s="106"/>
      <c r="J6" s="107" t="s">
        <v>20</v>
      </c>
      <c r="K6" s="108" t="s">
        <v>23</v>
      </c>
      <c r="L6" s="100" t="s">
        <v>21</v>
      </c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7" t="str">
        <f>IF(AQ7="","",SUM(M6:W6)-(-(AQ7-SUM(M6:W6))/$AQ$3)*SUM($M$2:$W$2))</f>
        <v/>
      </c>
      <c r="Y6" s="466"/>
      <c r="Z6" s="533">
        <f>+X8</f>
        <v>0</v>
      </c>
      <c r="AA6" s="447">
        <f t="shared" ref="AA6:AA71" si="0">+SUM(L6:W6)</f>
        <v>0</v>
      </c>
      <c r="AB6" s="343">
        <f>+AC6+AA6</f>
        <v>6024</v>
      </c>
      <c r="AC6" s="343">
        <v>6024</v>
      </c>
      <c r="AD6" s="344"/>
      <c r="AE6" s="345"/>
      <c r="AF6" s="346"/>
      <c r="AG6" s="347">
        <f t="shared" ref="AG6:AG89" si="1">TRUNC(AF6)+(AF6-TRUNC(AF6))*60/100</f>
        <v>0</v>
      </c>
      <c r="AH6" s="341">
        <f t="shared" ref="AH6:AH89" si="2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427</v>
      </c>
      <c r="E7" s="111"/>
      <c r="F7" s="111" t="s">
        <v>428</v>
      </c>
      <c r="G7" s="106" t="s">
        <v>429</v>
      </c>
      <c r="H7" s="111"/>
      <c r="I7" s="111" t="s">
        <v>430</v>
      </c>
      <c r="J7" s="113">
        <v>48.06</v>
      </c>
      <c r="K7" s="130">
        <v>60</v>
      </c>
      <c r="L7" s="101" t="s">
        <v>17</v>
      </c>
      <c r="M7" s="214">
        <v>30</v>
      </c>
      <c r="N7" s="214">
        <v>30</v>
      </c>
      <c r="O7" s="214">
        <v>26</v>
      </c>
      <c r="P7" s="214">
        <v>15</v>
      </c>
      <c r="Q7" s="214"/>
      <c r="R7" s="214"/>
      <c r="S7" s="214"/>
      <c r="T7" s="214"/>
      <c r="U7" s="214"/>
      <c r="V7" s="214"/>
      <c r="W7" s="214"/>
      <c r="X7" s="123">
        <f>+IF(H8="s",0,IF(AA7=0,0,IF(COUNTA(M7:W7)=AK9+0.25,SUMIF($C:$C,B7,$AA:$AA)/AK9,SUMIF($C:$C,B7,$AA:$AA)/(COUNTA(M7:W7)))))</f>
        <v>0</v>
      </c>
      <c r="Y7" s="466"/>
      <c r="Z7" s="534"/>
      <c r="AA7" s="134">
        <f>+SUM(L7:W7)</f>
        <v>101</v>
      </c>
      <c r="AB7" s="354">
        <f>+AA7+AC7</f>
        <v>6017</v>
      </c>
      <c r="AC7" s="354">
        <v>5916</v>
      </c>
      <c r="AD7" s="355">
        <f>+AB6-AB7</f>
        <v>7</v>
      </c>
      <c r="AE7" s="131">
        <f>+IF(((AA8+(AA9/2))*60)=0,"",(J7*AA7)/((AA8+(AA9/2))*60))</f>
        <v>2.2472500000000002</v>
      </c>
      <c r="AF7" s="347">
        <f>+AA8+AA9/2</f>
        <v>36</v>
      </c>
      <c r="AG7" s="347">
        <f t="shared" si="1"/>
        <v>36</v>
      </c>
      <c r="AH7" s="341">
        <f>+AF7*60</f>
        <v>2160</v>
      </c>
      <c r="AI7" s="341">
        <f>+AA7*J7</f>
        <v>4854.0600000000004</v>
      </c>
      <c r="AJ7" s="356">
        <f>+AA7-(AF7*K7/K9)</f>
        <v>61.727272727272727</v>
      </c>
      <c r="AK7" s="348"/>
      <c r="AL7" s="349"/>
      <c r="AM7" s="341"/>
      <c r="AN7" s="341"/>
      <c r="AO7" s="341"/>
      <c r="AP7" s="341"/>
      <c r="AQ7" s="339"/>
      <c r="AR7" s="434"/>
      <c r="AT7" s="390">
        <v>108</v>
      </c>
      <c r="AV7" s="390">
        <f>+AT7-AD7</f>
        <v>101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113">
        <f>+IFERROR(IF(K9=0,0,IF((LOOKUP(2,1/(M8:W8&lt;&gt;""),M8:W8)-K9)&lt;0,0,IF(K9=0,"",LOOKUP(2,1/(M8:W8&lt;&gt;""),M8:W8)-K9))),0)</f>
        <v>0</v>
      </c>
      <c r="H8" s="411" t="s">
        <v>479</v>
      </c>
      <c r="I8" s="113"/>
      <c r="J8" s="113"/>
      <c r="K8" s="114" t="s">
        <v>22</v>
      </c>
      <c r="L8" s="102" t="s">
        <v>18</v>
      </c>
      <c r="M8" s="448">
        <v>10</v>
      </c>
      <c r="N8" s="448">
        <v>10</v>
      </c>
      <c r="O8" s="448">
        <v>8</v>
      </c>
      <c r="P8" s="448">
        <v>8</v>
      </c>
      <c r="Q8" s="448"/>
      <c r="R8" s="448"/>
      <c r="S8" s="448"/>
      <c r="T8" s="448"/>
      <c r="U8" s="448"/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0</v>
      </c>
      <c r="Y8" s="466"/>
      <c r="Z8" s="534"/>
      <c r="AA8" s="462">
        <f>+SUM(M8:W8)-U8*0.25</f>
        <v>36</v>
      </c>
      <c r="AB8" s="360"/>
      <c r="AC8" s="360"/>
      <c r="AD8" s="362"/>
      <c r="AE8" s="363"/>
      <c r="AF8" s="346"/>
      <c r="AG8" s="347">
        <f t="shared" si="1"/>
        <v>0</v>
      </c>
      <c r="AH8" s="341">
        <f t="shared" si="2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36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444">
        <f>+SUMPRODUCT((M8:W8&lt;&gt;"")*(M8:W8&lt;&gt;0)*(M8:W8-K9))</f>
        <v>-184</v>
      </c>
      <c r="H9" s="117"/>
      <c r="I9" s="442"/>
      <c r="J9" s="165">
        <f>+IF(K9="","",IF(K7=0,"",(K7*J7)/(K9*60)))</f>
        <v>0.87381818181818194</v>
      </c>
      <c r="K9" s="118">
        <v>55</v>
      </c>
      <c r="L9" s="104" t="s">
        <v>19</v>
      </c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173"/>
      <c r="Y9" s="467">
        <v>36.08</v>
      </c>
      <c r="Z9" s="365">
        <v>36.08</v>
      </c>
      <c r="AA9" s="465">
        <f>+SUM(M9:W9)-U9*0.25</f>
        <v>0</v>
      </c>
      <c r="AB9" s="367"/>
      <c r="AC9" s="367"/>
      <c r="AD9" s="368">
        <f>+IFERROR(AD7/(K7*$AQ$3),"")</f>
        <v>1.3333333333333334E-2</v>
      </c>
      <c r="AE9" s="369"/>
      <c r="AF9" s="347"/>
      <c r="AG9" s="347">
        <f t="shared" si="1"/>
        <v>0</v>
      </c>
      <c r="AH9" s="341">
        <f t="shared" si="2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0</v>
      </c>
      <c r="AM9" s="341">
        <f>+AL9-AA9</f>
        <v>0</v>
      </c>
      <c r="AN9" s="341"/>
      <c r="AO9" s="341"/>
      <c r="AP9" s="341"/>
      <c r="AQ9" s="369"/>
      <c r="AR9" s="434"/>
      <c r="AT9" s="390">
        <v>0.20571428571428571</v>
      </c>
      <c r="AV9" s="390"/>
    </row>
    <row r="10" spans="2:58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439" t="str">
        <f>+G11</f>
        <v>7394-595-401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153</v>
      </c>
      <c r="N10" s="448"/>
      <c r="O10" s="448"/>
      <c r="P10" s="448"/>
      <c r="Q10" s="448">
        <v>51</v>
      </c>
      <c r="R10" s="448">
        <v>50</v>
      </c>
      <c r="S10" s="448">
        <v>100</v>
      </c>
      <c r="T10" s="448"/>
      <c r="U10" s="448"/>
      <c r="V10" s="448"/>
      <c r="W10" s="448"/>
      <c r="X10" s="447">
        <f t="shared" ref="X10" si="3">IF(AQ11="","",SUM(M10:W10)-(-(AQ11-SUM(M10:W10))/$AQ$3)*SUM($M$2:$W$2))</f>
        <v>354</v>
      </c>
      <c r="Y10" s="466"/>
      <c r="Z10" s="533">
        <f>+X12</f>
        <v>-413</v>
      </c>
      <c r="AA10" s="447">
        <f t="shared" si="0"/>
        <v>354</v>
      </c>
      <c r="AB10" s="343">
        <f>+AC10+AA10</f>
        <v>604</v>
      </c>
      <c r="AC10" s="343">
        <v>250</v>
      </c>
      <c r="AD10" s="344"/>
      <c r="AE10" s="345"/>
      <c r="AF10" s="346"/>
      <c r="AG10" s="347">
        <f t="shared" si="1"/>
        <v>0</v>
      </c>
      <c r="AH10" s="341">
        <f t="shared" si="2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1</v>
      </c>
      <c r="C11" s="406">
        <f>+B11</f>
        <v>1</v>
      </c>
      <c r="D11" s="407" t="s">
        <v>439</v>
      </c>
      <c r="E11" s="111"/>
      <c r="F11" s="111" t="s">
        <v>35</v>
      </c>
      <c r="G11" s="106" t="s">
        <v>440</v>
      </c>
      <c r="H11" s="111"/>
      <c r="I11" s="111" t="s">
        <v>33</v>
      </c>
      <c r="J11" s="113">
        <v>43.2</v>
      </c>
      <c r="K11" s="130">
        <v>59</v>
      </c>
      <c r="L11" s="101" t="s">
        <v>17</v>
      </c>
      <c r="M11" s="214"/>
      <c r="N11" s="214"/>
      <c r="O11" s="214">
        <v>0</v>
      </c>
      <c r="P11" s="214">
        <v>0</v>
      </c>
      <c r="Q11" s="214">
        <v>0</v>
      </c>
      <c r="R11" s="214">
        <v>0</v>
      </c>
      <c r="S11" s="214">
        <v>0</v>
      </c>
      <c r="T11" s="214">
        <v>0</v>
      </c>
      <c r="U11" s="214">
        <v>0</v>
      </c>
      <c r="V11" s="214"/>
      <c r="W11" s="214"/>
      <c r="X11" s="123">
        <f>+IF(H12="s",0,IF(AA11=0,0,IF(COUNTA(M11:W11)=AK13+0.25,SUMIF($C:$C,B11,$AA:$AA)/AK13,SUMIF($C:$C,B11,$AA:$AA)/(COUNTA(M11:W11)))))</f>
        <v>0</v>
      </c>
      <c r="Y11" s="466"/>
      <c r="Z11" s="534"/>
      <c r="AA11" s="134">
        <f t="shared" si="0"/>
        <v>0</v>
      </c>
      <c r="AB11" s="354">
        <f>+AA11+AC11</f>
        <v>0</v>
      </c>
      <c r="AC11" s="354">
        <v>0</v>
      </c>
      <c r="AD11" s="355">
        <f>+AB10-AB11</f>
        <v>604</v>
      </c>
      <c r="AE11" s="131">
        <f>+IF(((AA12+(AA13/2))*60)=0,"",(J11*AA11)/((AA12+(AA13/2))*60))</f>
        <v>0</v>
      </c>
      <c r="AF11" s="347">
        <f>+AA12+AA13/2</f>
        <v>385.375</v>
      </c>
      <c r="AG11" s="347">
        <f t="shared" si="1"/>
        <v>385.22500000000002</v>
      </c>
      <c r="AH11" s="341">
        <f t="shared" si="2"/>
        <v>23122.5</v>
      </c>
      <c r="AI11" s="341">
        <f>+AA11*J11</f>
        <v>0</v>
      </c>
      <c r="AJ11" s="356">
        <f>+AA11-(AF11*K11/K13)</f>
        <v>-473.69010416666669</v>
      </c>
      <c r="AK11" s="348"/>
      <c r="AL11" s="349"/>
      <c r="AM11" s="341"/>
      <c r="AN11" s="341"/>
      <c r="AO11" s="341"/>
      <c r="AP11" s="341"/>
      <c r="AQ11" s="339">
        <f>-400+AA10</f>
        <v>-46</v>
      </c>
      <c r="AR11" s="434"/>
      <c r="AT11" s="390">
        <v>250</v>
      </c>
      <c r="AV11" s="390">
        <f>+AT11-AD11</f>
        <v>-354</v>
      </c>
      <c r="AW11" s="535" t="s">
        <v>478</v>
      </c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113">
        <f>+IFERROR(IF(K13=0,0,IF((LOOKUP(2,1/(M12:W12&lt;&gt;""),M12:W12)-K13)&lt;0,0,IF(K13=0,"",LOOKUP(2,1/(M12:W12&lt;&gt;""),M12:W12)-K13))),0)</f>
        <v>4</v>
      </c>
      <c r="H12" s="411" t="s">
        <v>412</v>
      </c>
      <c r="I12" s="113"/>
      <c r="J12" s="113"/>
      <c r="K12" s="114" t="s">
        <v>22</v>
      </c>
      <c r="L12" s="102" t="s">
        <v>18</v>
      </c>
      <c r="M12" s="448">
        <v>35</v>
      </c>
      <c r="N12" s="448">
        <v>35</v>
      </c>
      <c r="O12" s="448">
        <v>37</v>
      </c>
      <c r="P12" s="448">
        <v>37</v>
      </c>
      <c r="Q12" s="448">
        <v>45</v>
      </c>
      <c r="R12" s="448">
        <v>50</v>
      </c>
      <c r="S12" s="448">
        <v>51</v>
      </c>
      <c r="T12" s="448">
        <v>52</v>
      </c>
      <c r="U12" s="448">
        <v>52</v>
      </c>
      <c r="V12" s="448"/>
      <c r="W12" s="448"/>
      <c r="X12" s="160">
        <f>+IF(H12="l",IF(COUNTA(M11:W11)=AK13+0.25,AA11-K11*AK13,AA11-(K11*COUNTA(M11:W11))),IF(H12="s",0,IF(COUNTA(M11:W11)=AK13+0.25,SUMIF($C:$C,B11,$AA:$AA)-K11*AK13,SUMIF($C:$C,B11,$AA:$AA)-K11*COUNTA(M11:W11))))</f>
        <v>-413</v>
      </c>
      <c r="Y12" s="466"/>
      <c r="Z12" s="534"/>
      <c r="AA12" s="462">
        <f t="shared" ref="AA12:AA13" si="4">+SUM(M12:W12)-U12*0.25</f>
        <v>381</v>
      </c>
      <c r="AB12" s="360"/>
      <c r="AC12" s="360"/>
      <c r="AD12" s="362"/>
      <c r="AE12" s="363"/>
      <c r="AF12" s="346"/>
      <c r="AG12" s="347">
        <f t="shared" si="1"/>
        <v>0</v>
      </c>
      <c r="AH12" s="341">
        <f t="shared" si="2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381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444">
        <f>+SUMPRODUCT((M12:W12&lt;&gt;"")*(M12:W12&lt;&gt;0)*(M12:W12-K13))</f>
        <v>-38</v>
      </c>
      <c r="H13" s="117"/>
      <c r="I13" s="442"/>
      <c r="J13" s="165">
        <f>+IF(K13="","",IF(K11=0,"",(K11*J11)/(K13*60)))</f>
        <v>0.88500000000000001</v>
      </c>
      <c r="K13" s="118">
        <v>48</v>
      </c>
      <c r="L13" s="104" t="s">
        <v>19</v>
      </c>
      <c r="M13" s="216">
        <v>1</v>
      </c>
      <c r="N13" s="216">
        <v>1</v>
      </c>
      <c r="O13" s="216">
        <v>1</v>
      </c>
      <c r="P13" s="216">
        <v>1</v>
      </c>
      <c r="Q13" s="216">
        <v>1</v>
      </c>
      <c r="R13" s="216">
        <v>1</v>
      </c>
      <c r="S13" s="216">
        <v>1</v>
      </c>
      <c r="T13" s="216">
        <v>1</v>
      </c>
      <c r="U13" s="216">
        <v>1</v>
      </c>
      <c r="V13" s="216"/>
      <c r="W13" s="216"/>
      <c r="X13" s="173"/>
      <c r="Y13" s="467">
        <v>0.73329999999999995</v>
      </c>
      <c r="Z13" s="371">
        <f>+IF(COUNTA(M11:W11)=$AJ$4+0.25,$AJ$4-(AA11/K11),COUNTA(M11:W11)-(AA11/K11))+Y13</f>
        <v>7.7332999999999998</v>
      </c>
      <c r="AA13" s="465">
        <f t="shared" si="4"/>
        <v>8.75</v>
      </c>
      <c r="AB13" s="367"/>
      <c r="AC13" s="367"/>
      <c r="AD13" s="368">
        <f>+IFERROR(AD11/(K11*$AQ$3),"")</f>
        <v>1.1699757869249394</v>
      </c>
      <c r="AE13" s="369"/>
      <c r="AF13" s="347"/>
      <c r="AG13" s="347">
        <f t="shared" si="1"/>
        <v>0</v>
      </c>
      <c r="AH13" s="341">
        <f t="shared" si="2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8.75</v>
      </c>
      <c r="AM13" s="341">
        <f>+AL13-AA13</f>
        <v>0</v>
      </c>
      <c r="AN13" s="341"/>
      <c r="AO13" s="341"/>
      <c r="AP13" s="341"/>
      <c r="AQ13" s="369"/>
      <c r="AR13" s="434"/>
      <c r="AT13" s="390">
        <v>0.5714285714285714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439" t="str">
        <f>+G15</f>
        <v>NEGRONI-202942</v>
      </c>
      <c r="H14" s="106"/>
      <c r="I14" s="106"/>
      <c r="J14" s="107" t="s">
        <v>20</v>
      </c>
      <c r="K14" s="108" t="s">
        <v>23</v>
      </c>
      <c r="L14" s="100" t="s">
        <v>21</v>
      </c>
      <c r="M14" s="448"/>
      <c r="N14" s="448">
        <v>150</v>
      </c>
      <c r="O14" s="448">
        <v>150</v>
      </c>
      <c r="P14" s="448"/>
      <c r="Q14" s="448"/>
      <c r="R14" s="448"/>
      <c r="S14" s="448">
        <v>134</v>
      </c>
      <c r="T14" s="448"/>
      <c r="U14" s="448"/>
      <c r="V14" s="448"/>
      <c r="W14" s="448"/>
      <c r="X14" s="447">
        <f t="shared" ref="X14" si="5">IF(AQ15="","",SUM(M14:W14)-(-(AQ15-SUM(M14:W14))/$AQ$3)*SUM($M$2:$W$2))</f>
        <v>434</v>
      </c>
      <c r="Y14" s="466"/>
      <c r="Z14" s="533">
        <f>+X16</f>
        <v>-170</v>
      </c>
      <c r="AA14" s="447">
        <f t="shared" si="0"/>
        <v>434</v>
      </c>
      <c r="AB14" s="343">
        <f>+AC14+AA14</f>
        <v>6261</v>
      </c>
      <c r="AC14" s="343">
        <v>5827</v>
      </c>
      <c r="AD14" s="344"/>
      <c r="AE14" s="345"/>
      <c r="AF14" s="346"/>
      <c r="AG14" s="347">
        <f t="shared" si="1"/>
        <v>0</v>
      </c>
      <c r="AH14" s="341">
        <f t="shared" si="2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427</v>
      </c>
      <c r="E15" s="111"/>
      <c r="F15" s="111" t="s">
        <v>428</v>
      </c>
      <c r="G15" s="106" t="s">
        <v>429</v>
      </c>
      <c r="H15" s="111"/>
      <c r="I15" s="111" t="s">
        <v>430</v>
      </c>
      <c r="J15" s="113">
        <v>48.06</v>
      </c>
      <c r="K15" s="130">
        <v>60</v>
      </c>
      <c r="L15" s="101" t="s">
        <v>17</v>
      </c>
      <c r="M15" s="214">
        <v>53</v>
      </c>
      <c r="N15" s="214">
        <v>25</v>
      </c>
      <c r="O15" s="214">
        <v>27</v>
      </c>
      <c r="P15" s="214">
        <v>20</v>
      </c>
      <c r="Q15" s="214">
        <v>45</v>
      </c>
      <c r="R15" s="214">
        <v>53</v>
      </c>
      <c r="S15" s="214">
        <v>45</v>
      </c>
      <c r="T15" s="214">
        <v>60</v>
      </c>
      <c r="U15" s="214">
        <v>27</v>
      </c>
      <c r="V15" s="214"/>
      <c r="W15" s="214"/>
      <c r="X15" s="123">
        <f>+IF(H16="s",0,IF(AA15=0,0,IF(COUNTA(M15:W15)=AK17+0.25,SUMIF($C:$C,B15,$AA:$AA)/AK17,SUMIF($C:$C,B15,$AA:$AA)/(COUNTA(M15:W15)))))</f>
        <v>40.571428571428569</v>
      </c>
      <c r="Y15" s="466"/>
      <c r="Z15" s="534"/>
      <c r="AA15" s="134">
        <f t="shared" si="0"/>
        <v>355</v>
      </c>
      <c r="AB15" s="354">
        <f>+AA15+AC15</f>
        <v>5313</v>
      </c>
      <c r="AC15" s="354">
        <v>4958</v>
      </c>
      <c r="AD15" s="355">
        <f>+AB14-AB15</f>
        <v>948</v>
      </c>
      <c r="AE15" s="131">
        <f>+IF(((AA16+(AA17/2))*60)=0,"",(J15*AA15)/((AA16+(AA17/2))*60))</f>
        <v>0.59911509086120618</v>
      </c>
      <c r="AF15" s="347">
        <f>+AA16+AA17/2</f>
        <v>474.625</v>
      </c>
      <c r="AG15" s="347">
        <f t="shared" si="1"/>
        <v>474.375</v>
      </c>
      <c r="AH15" s="341">
        <f t="shared" si="2"/>
        <v>28477.5</v>
      </c>
      <c r="AI15" s="341">
        <f>+AA15*J15</f>
        <v>17061.3</v>
      </c>
      <c r="AJ15" s="356">
        <f>+AA15-(AF15*K15/K17)</f>
        <v>-162.77272727272725</v>
      </c>
      <c r="AK15" s="348"/>
      <c r="AL15" s="349"/>
      <c r="AM15" s="341"/>
      <c r="AN15" s="341"/>
      <c r="AO15" s="341"/>
      <c r="AP15" s="341"/>
      <c r="AQ15" s="339">
        <f t="shared" ref="AQ15:AQ75" si="6">IF(AR15=0,"",AT15-(($AQ$3*K15)+($AQ$3*K15)*AR15)+AA14)</f>
        <v>1</v>
      </c>
      <c r="AR15" s="434">
        <v>1.48</v>
      </c>
      <c r="AT15" s="390">
        <v>869</v>
      </c>
      <c r="AV15" s="390">
        <f>+AT15-AD15</f>
        <v>-79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>
        <f>+B15</f>
        <v>2</v>
      </c>
      <c r="F16" s="409"/>
      <c r="G16" s="113">
        <f>+IFERROR(IF(K17=0,0,IF((LOOKUP(2,1/(M16:W16&lt;&gt;""),M16:W16)-K17)&lt;0,0,IF(K17=0,"",LOOKUP(2,1/(M16:W16&lt;&gt;""),M16:W16)-K17))),0)</f>
        <v>0</v>
      </c>
      <c r="H16" s="411"/>
      <c r="I16" s="113"/>
      <c r="J16" s="113">
        <v>0</v>
      </c>
      <c r="K16" s="114" t="s">
        <v>22</v>
      </c>
      <c r="L16" s="102" t="s">
        <v>18</v>
      </c>
      <c r="M16" s="448">
        <v>51</v>
      </c>
      <c r="N16" s="448">
        <v>53</v>
      </c>
      <c r="O16" s="448">
        <v>53</v>
      </c>
      <c r="P16" s="448">
        <v>53</v>
      </c>
      <c r="Q16" s="448">
        <v>54</v>
      </c>
      <c r="R16" s="448">
        <v>55</v>
      </c>
      <c r="S16" s="448">
        <v>55</v>
      </c>
      <c r="T16" s="448">
        <v>55</v>
      </c>
      <c r="U16" s="448">
        <v>55</v>
      </c>
      <c r="V16" s="448"/>
      <c r="W16" s="448"/>
      <c r="X16" s="160">
        <f>+IF(H16="l",IF(COUNTA(M15:W15)=AK17+0.25,AA15-K15*AK17,AA15-(K15*COUNTA(M15:W15))),IF(H16="s",0,IF(COUNTA(M15:W15)=AK17+0.25,SUMIF($C:$C,B15,$AA:$AA)-K15*AK17,SUMIF($C:$C,B15,$AA:$AA)-K15*COUNTA(M15:W15))))</f>
        <v>-170</v>
      </c>
      <c r="Y16" s="466"/>
      <c r="Z16" s="534"/>
      <c r="AA16" s="462">
        <f t="shared" ref="AA16:AA17" si="7">+SUM(M16:W16)-U16*0.25</f>
        <v>470.25</v>
      </c>
      <c r="AB16" s="360"/>
      <c r="AC16" s="360"/>
      <c r="AD16" s="362"/>
      <c r="AE16" s="363"/>
      <c r="AF16" s="346"/>
      <c r="AG16" s="347">
        <f t="shared" si="1"/>
        <v>0</v>
      </c>
      <c r="AH16" s="341">
        <f t="shared" si="2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470.25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>
        <f>+E16+100</f>
        <v>102</v>
      </c>
      <c r="F17" s="175"/>
      <c r="G17" s="444">
        <f>+SUMPRODUCT((M16:W16&lt;&gt;"")*(M16:W16&lt;&gt;0)*(M16:W16-K17))</f>
        <v>-11</v>
      </c>
      <c r="H17" s="117"/>
      <c r="I17" s="442"/>
      <c r="J17" s="165">
        <f>+IF(K17="","",IF(K15=0,"",(K15*J15)/(K17*60)))</f>
        <v>0.87381818181818194</v>
      </c>
      <c r="K17" s="118">
        <v>55</v>
      </c>
      <c r="L17" s="104" t="s">
        <v>19</v>
      </c>
      <c r="M17" s="216">
        <v>1</v>
      </c>
      <c r="N17" s="216">
        <v>1</v>
      </c>
      <c r="O17" s="216">
        <v>1</v>
      </c>
      <c r="P17" s="216">
        <v>1</v>
      </c>
      <c r="Q17" s="216">
        <v>1</v>
      </c>
      <c r="R17" s="216">
        <v>1</v>
      </c>
      <c r="S17" s="216">
        <v>1</v>
      </c>
      <c r="T17" s="216">
        <v>1</v>
      </c>
      <c r="U17" s="216">
        <v>1</v>
      </c>
      <c r="V17" s="216"/>
      <c r="W17" s="216"/>
      <c r="X17" s="173"/>
      <c r="Y17" s="467">
        <v>36.14</v>
      </c>
      <c r="Z17" s="365">
        <v>36.14</v>
      </c>
      <c r="AA17" s="465">
        <f t="shared" si="7"/>
        <v>8.75</v>
      </c>
      <c r="AB17" s="367"/>
      <c r="AC17" s="367"/>
      <c r="AD17" s="368">
        <f>+IFERROR(AD15/(K15*$AQ$3),"")</f>
        <v>1.8057142857142856</v>
      </c>
      <c r="AE17" s="369"/>
      <c r="AF17" s="347"/>
      <c r="AG17" s="347">
        <f t="shared" si="1"/>
        <v>0</v>
      </c>
      <c r="AH17" s="341">
        <f t="shared" si="2"/>
        <v>0</v>
      </c>
      <c r="AI17" s="341"/>
      <c r="AJ17" s="356"/>
      <c r="AK17" s="370">
        <f>+$AJ$4</f>
        <v>8.75</v>
      </c>
      <c r="AL17" s="349">
        <f>+IF(AK17=7.75,SUM(M17:S17)+T17*0.75,IF(AK17=8,SUM(M17:T17),IF(AK17=7.25,SUM(M17:S17)+T17*0.25,IF(AK17=8.25,SUM(M17:T17)+U17*0.25,IF(AK17=8.75,SUM(M17:T17)+U17*0.75,0)))))</f>
        <v>8.75</v>
      </c>
      <c r="AM17" s="341">
        <f>+AL17-AA17</f>
        <v>0</v>
      </c>
      <c r="AN17" s="341"/>
      <c r="AO17" s="341"/>
      <c r="AP17" s="341"/>
      <c r="AQ17" s="369"/>
      <c r="AR17" s="434"/>
      <c r="AT17" s="390">
        <v>1.6552380952380952</v>
      </c>
      <c r="AV17" s="390"/>
    </row>
    <row r="18" spans="2:58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439">
        <f>+G19</f>
        <v>0</v>
      </c>
      <c r="H18" s="106"/>
      <c r="I18" s="106"/>
      <c r="J18" s="107" t="s">
        <v>20</v>
      </c>
      <c r="K18" s="108" t="s">
        <v>23</v>
      </c>
      <c r="L18" s="100" t="s">
        <v>21</v>
      </c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47" t="str">
        <f t="shared" ref="X18" si="8">IF(AQ19="","",SUM(M18:W18)-(-(AQ19-SUM(M18:W18))/$AQ$3)*SUM($M$2:$W$2))</f>
        <v/>
      </c>
      <c r="Y18" s="466"/>
      <c r="Z18" s="533">
        <f>+X20</f>
        <v>0</v>
      </c>
      <c r="AA18" s="447">
        <f t="shared" si="0"/>
        <v>0</v>
      </c>
      <c r="AB18" s="343">
        <f>+AC18+AA18</f>
        <v>0</v>
      </c>
      <c r="AC18" s="343">
        <v>0</v>
      </c>
      <c r="AD18" s="344"/>
      <c r="AE18" s="345"/>
      <c r="AF18" s="346"/>
      <c r="AG18" s="347"/>
      <c r="AH18" s="341"/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3</v>
      </c>
      <c r="C19" s="406">
        <v>3</v>
      </c>
      <c r="D19" s="407"/>
      <c r="E19" s="111"/>
      <c r="F19" s="111"/>
      <c r="G19" s="106"/>
      <c r="H19" s="111"/>
      <c r="I19" s="111"/>
      <c r="J19" s="113"/>
      <c r="K19" s="130"/>
      <c r="L19" s="101" t="s">
        <v>17</v>
      </c>
      <c r="M19" s="454"/>
      <c r="N19" s="454"/>
      <c r="O19" s="454"/>
      <c r="P19" s="454"/>
      <c r="Q19" s="454"/>
      <c r="R19" s="454"/>
      <c r="S19" s="454"/>
      <c r="T19" s="454"/>
      <c r="U19" s="454"/>
      <c r="V19" s="454"/>
      <c r="W19" s="454"/>
      <c r="X19" s="123">
        <f>+IF(H20="s",0,IF(AA19=0,0,IF(COUNTA(M19:W19)=AK21+0.25,SUMIF($C:$C,B19,$AA:$AA)/AK21,SUMIF($C:$C,B19,$AA:$AA)/(COUNTA(M19:W19)))))</f>
        <v>0</v>
      </c>
      <c r="Y19" s="466"/>
      <c r="Z19" s="534"/>
      <c r="AA19" s="134">
        <f t="shared" si="0"/>
        <v>0</v>
      </c>
      <c r="AB19" s="354">
        <f>+AA19+AC19</f>
        <v>0</v>
      </c>
      <c r="AC19" s="354">
        <v>0</v>
      </c>
      <c r="AD19" s="355">
        <f>+AB18-AB19</f>
        <v>0</v>
      </c>
      <c r="AE19" s="131" t="str">
        <f>+IF(((AA20+(AA21/2))*60)=0,"",(J19*AA19)/((AA20+(AA21/2))*60))</f>
        <v/>
      </c>
      <c r="AF19" s="347"/>
      <c r="AG19" s="347"/>
      <c r="AH19" s="341"/>
      <c r="AI19" s="341"/>
      <c r="AJ19" s="356"/>
      <c r="AK19" s="348"/>
      <c r="AL19" s="349"/>
      <c r="AM19" s="341"/>
      <c r="AN19" s="341"/>
      <c r="AO19" s="341"/>
      <c r="AP19" s="341"/>
      <c r="AQ19" s="339" t="str">
        <f t="shared" si="6"/>
        <v/>
      </c>
      <c r="AR19" s="434"/>
      <c r="AT19" s="390">
        <v>0</v>
      </c>
      <c r="AV19" s="390">
        <f t="shared" ref="AV19" si="9">+AT19-AD19</f>
        <v>0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113">
        <f>+IFERROR(IF(K21=0,0,IF((LOOKUP(2,1/(M20:W20&lt;&gt;""),M20:W20)-K21)&lt;0,0,IF(K21=0,"",LOOKUP(2,1/(M20:W20&lt;&gt;""),M20:W20)-K21))),0)</f>
        <v>0</v>
      </c>
      <c r="H20" s="411" t="s">
        <v>414</v>
      </c>
      <c r="I20" s="113"/>
      <c r="J20" s="113"/>
      <c r="K20" s="114" t="s">
        <v>22</v>
      </c>
      <c r="L20" s="102" t="s">
        <v>18</v>
      </c>
      <c r="M20" s="453"/>
      <c r="N20" s="453"/>
      <c r="O20" s="453"/>
      <c r="P20" s="453"/>
      <c r="Q20" s="453"/>
      <c r="R20" s="453"/>
      <c r="S20" s="453"/>
      <c r="T20" s="453"/>
      <c r="U20" s="453"/>
      <c r="V20" s="453"/>
      <c r="W20" s="453"/>
      <c r="X20" s="160">
        <f>+IF(H20="l",IF(COUNTA(M19:W19)=AK21+0.25,AA19-K19*AK21,AA19-(K19*COUNTA(M19:W19))),IF(H20="s",0,IF(COUNTA(M19:W19)=AK21+0.25,SUMIF($C:$C,B19,$AA:$AA)-K19*AK21,SUMIF($C:$C,B19,$AA:$AA)-K19*COUNTA(M19:W19))))</f>
        <v>0</v>
      </c>
      <c r="Y20" s="466"/>
      <c r="Z20" s="534"/>
      <c r="AA20" s="462">
        <f t="shared" ref="AA20:AA21" si="10">+SUM(M20:W20)-U20*0.25</f>
        <v>0</v>
      </c>
      <c r="AB20" s="360"/>
      <c r="AC20" s="360"/>
      <c r="AD20" s="362"/>
      <c r="AE20" s="363"/>
      <c r="AF20" s="346"/>
      <c r="AG20" s="347"/>
      <c r="AH20" s="341"/>
      <c r="AI20" s="341"/>
      <c r="AJ20" s="341"/>
      <c r="AK20" s="348"/>
      <c r="AL20" s="349"/>
      <c r="AM20" s="341"/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444">
        <f>+SUMPRODUCT((M20:W20&lt;&gt;"")*(M20:W20&lt;&gt;0)*(M20:W20-K21))</f>
        <v>0</v>
      </c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173"/>
      <c r="Y21" s="467"/>
      <c r="Z21" s="371"/>
      <c r="AA21" s="465">
        <f t="shared" si="10"/>
        <v>0</v>
      </c>
      <c r="AB21" s="367"/>
      <c r="AC21" s="367"/>
      <c r="AD21" s="368" t="str">
        <f>+IFERROR(AD19/(K19*$AQ$3),"")</f>
        <v/>
      </c>
      <c r="AE21" s="369"/>
      <c r="AF21" s="347"/>
      <c r="AG21" s="347"/>
      <c r="AH21" s="341"/>
      <c r="AI21" s="341"/>
      <c r="AJ21" s="356"/>
      <c r="AK21" s="370">
        <f>+$AJ$4</f>
        <v>8.75</v>
      </c>
      <c r="AL21" s="349"/>
      <c r="AM21" s="341"/>
      <c r="AN21" s="341"/>
      <c r="AO21" s="341"/>
      <c r="AP21" s="341"/>
      <c r="AQ21" s="369"/>
      <c r="AR21" s="434"/>
      <c r="AT21" s="390" t="s">
        <v>416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439" t="str">
        <f>+G23</f>
        <v>2215-518-800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7" t="str">
        <f t="shared" ref="X22" si="11">IF(AQ23="","",SUM(M22:W22)-(-(AQ23-SUM(M22:W22))/$AQ$3)*SUM($M$2:$W$2))</f>
        <v/>
      </c>
      <c r="Y22" s="466"/>
      <c r="Z22" s="533">
        <f>+X24</f>
        <v>0</v>
      </c>
      <c r="AA22" s="447">
        <f t="shared" si="0"/>
        <v>0</v>
      </c>
      <c r="AB22" s="343">
        <f>+AC22+AA22</f>
        <v>8799</v>
      </c>
      <c r="AC22" s="343">
        <v>8799</v>
      </c>
      <c r="AD22" s="344"/>
      <c r="AE22" s="345"/>
      <c r="AF22" s="346"/>
      <c r="AG22" s="347">
        <f t="shared" si="1"/>
        <v>0</v>
      </c>
      <c r="AH22" s="341">
        <f t="shared" si="2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4</v>
      </c>
      <c r="C23" s="406">
        <f>+B23</f>
        <v>4</v>
      </c>
      <c r="D23" s="407" t="s">
        <v>423</v>
      </c>
      <c r="E23" s="111"/>
      <c r="F23" s="111" t="s">
        <v>35</v>
      </c>
      <c r="G23" s="106" t="s">
        <v>424</v>
      </c>
      <c r="H23" s="111"/>
      <c r="I23" s="111" t="s">
        <v>33</v>
      </c>
      <c r="J23" s="113">
        <v>33.42</v>
      </c>
      <c r="K23" s="130">
        <v>61</v>
      </c>
      <c r="L23" s="101" t="s">
        <v>17</v>
      </c>
      <c r="M23" s="214">
        <v>9</v>
      </c>
      <c r="N23" s="214">
        <v>26</v>
      </c>
      <c r="O23" s="214">
        <v>20</v>
      </c>
      <c r="P23" s="214">
        <v>50</v>
      </c>
      <c r="Q23" s="214">
        <v>33</v>
      </c>
      <c r="R23" s="214">
        <v>31</v>
      </c>
      <c r="S23" s="214"/>
      <c r="T23" s="214"/>
      <c r="U23" s="214"/>
      <c r="V23" s="214"/>
      <c r="W23" s="214"/>
      <c r="X23" s="123">
        <f>+IF(H24="s",0,IF(AA23=0,0,IF(COUNTA(M23:W23)=AK25+0.25,SUMIF($C:$C,B23,$AA:$AA)/AK25,SUMIF($C:$C,B23,$AA:$AA)/(COUNTA(M23:W23)))))</f>
        <v>0</v>
      </c>
      <c r="Y23" s="466"/>
      <c r="Z23" s="534"/>
      <c r="AA23" s="134">
        <f t="shared" si="0"/>
        <v>169</v>
      </c>
      <c r="AB23" s="354">
        <f>+AA23+AC23</f>
        <v>8771</v>
      </c>
      <c r="AC23" s="354">
        <v>8602</v>
      </c>
      <c r="AD23" s="355">
        <f>+AB22-AB23</f>
        <v>28</v>
      </c>
      <c r="AE23" s="131">
        <f>+IF(((AA24+(AA25/2))*60)=0,"",(J23*AA23)/((AA24+(AA25/2))*60))</f>
        <v>5.2296111111111117</v>
      </c>
      <c r="AF23" s="347">
        <f>+AA24+AA25/2</f>
        <v>18</v>
      </c>
      <c r="AG23" s="347">
        <f t="shared" si="1"/>
        <v>18</v>
      </c>
      <c r="AH23" s="341">
        <f t="shared" si="2"/>
        <v>1080</v>
      </c>
      <c r="AI23" s="341">
        <f>+AA23*J23</f>
        <v>5647.9800000000005</v>
      </c>
      <c r="AJ23" s="356">
        <f>+AA23-(AF23*K23/K25)</f>
        <v>140.10526315789474</v>
      </c>
      <c r="AK23" s="348"/>
      <c r="AL23" s="349"/>
      <c r="AM23" s="341"/>
      <c r="AN23" s="341"/>
      <c r="AO23" s="341"/>
      <c r="AP23" s="341"/>
      <c r="AQ23" s="339"/>
      <c r="AR23" s="434"/>
      <c r="AT23" s="390">
        <v>197</v>
      </c>
      <c r="AV23" s="390">
        <f t="shared" ref="AV23" si="12">+AT23-AD23</f>
        <v>169</v>
      </c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113">
        <f>+IFERROR(IF(K25=0,0,IF((LOOKUP(2,1/(M24:W24&lt;&gt;""),M24:W24)-K25)&lt;0,0,IF(K25=0,"",LOOKUP(2,1/(M24:W24&lt;&gt;""),M24:W24)-K25))),0)</f>
        <v>0</v>
      </c>
      <c r="H24" s="411" t="s">
        <v>414</v>
      </c>
      <c r="I24" s="113"/>
      <c r="J24" s="113">
        <v>1</v>
      </c>
      <c r="K24" s="114" t="s">
        <v>22</v>
      </c>
      <c r="L24" s="102" t="s">
        <v>18</v>
      </c>
      <c r="M24" s="448">
        <v>3</v>
      </c>
      <c r="N24" s="448">
        <v>3</v>
      </c>
      <c r="O24" s="448">
        <v>3</v>
      </c>
      <c r="P24" s="448">
        <v>3</v>
      </c>
      <c r="Q24" s="448">
        <v>3</v>
      </c>
      <c r="R24" s="448">
        <v>3</v>
      </c>
      <c r="S24" s="448"/>
      <c r="T24" s="448"/>
      <c r="U24" s="448"/>
      <c r="V24" s="448"/>
      <c r="W24" s="448"/>
      <c r="X24" s="160">
        <f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ref="AA24:AA25" si="13">+SUM(M24:W24)-U24*0.25</f>
        <v>18</v>
      </c>
      <c r="AB24" s="360"/>
      <c r="AC24" s="360"/>
      <c r="AD24" s="362"/>
      <c r="AE24" s="363"/>
      <c r="AF24" s="346"/>
      <c r="AG24" s="347">
        <f t="shared" si="1"/>
        <v>0</v>
      </c>
      <c r="AH24" s="341">
        <f t="shared" si="2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18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444">
        <f>+SUMPRODUCT((M24:W24&lt;&gt;"")*(M24:W24&lt;&gt;0)*(M24:W24-K25))</f>
        <v>-210</v>
      </c>
      <c r="H25" s="117"/>
      <c r="I25" s="442"/>
      <c r="J25" s="165">
        <f>+IF(K25="","",IF(K23=0,"",(K23*J23)/(K25*60)))</f>
        <v>0.8941315789473685</v>
      </c>
      <c r="K25" s="118">
        <v>38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24.63</v>
      </c>
      <c r="Z25" s="365">
        <v>24.63</v>
      </c>
      <c r="AA25" s="465">
        <f t="shared" si="13"/>
        <v>0</v>
      </c>
      <c r="AB25" s="367"/>
      <c r="AC25" s="367"/>
      <c r="AD25" s="368">
        <f>+IFERROR(AD23/(K23*$AQ$3),"")</f>
        <v>5.2459016393442623E-2</v>
      </c>
      <c r="AE25" s="369"/>
      <c r="AF25" s="347"/>
      <c r="AG25" s="347">
        <f t="shared" si="1"/>
        <v>0</v>
      </c>
      <c r="AH25" s="341">
        <f t="shared" si="2"/>
        <v>0</v>
      </c>
      <c r="AI25" s="341"/>
      <c r="AJ25" s="356"/>
      <c r="AK25" s="370">
        <f>+$AJ$4</f>
        <v>8.75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0.36908665105386418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439" t="str">
        <f>+G27</f>
        <v>2259-600-730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>
        <v>60</v>
      </c>
      <c r="O26" s="448">
        <v>120</v>
      </c>
      <c r="P26" s="448"/>
      <c r="Q26" s="448">
        <v>60</v>
      </c>
      <c r="R26" s="448">
        <v>60</v>
      </c>
      <c r="S26" s="448">
        <v>60</v>
      </c>
      <c r="T26" s="448"/>
      <c r="U26" s="448"/>
      <c r="V26" s="448"/>
      <c r="W26" s="448"/>
      <c r="X26" s="447">
        <f t="shared" ref="X26" si="14">IF(AQ27="","",SUM(M26:W26)-(-(AQ27-SUM(M26:W26))/$AQ$3)*SUM($M$2:$W$2))</f>
        <v>360</v>
      </c>
      <c r="Y26" s="466"/>
      <c r="Z26" s="533">
        <f>+X28</f>
        <v>-568.75</v>
      </c>
      <c r="AA26" s="447">
        <f t="shared" si="0"/>
        <v>360</v>
      </c>
      <c r="AB26" s="343">
        <f>+AC26+AA26</f>
        <v>781</v>
      </c>
      <c r="AC26" s="343">
        <v>421</v>
      </c>
      <c r="AD26" s="344"/>
      <c r="AE26" s="345"/>
      <c r="AF26" s="346"/>
      <c r="AG26" s="347">
        <f t="shared" si="1"/>
        <v>0</v>
      </c>
      <c r="AH26" s="341">
        <f t="shared" si="2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441</v>
      </c>
      <c r="E27" s="111"/>
      <c r="F27" s="111" t="s">
        <v>35</v>
      </c>
      <c r="G27" s="106" t="s">
        <v>442</v>
      </c>
      <c r="H27" s="111"/>
      <c r="I27" s="111" t="s">
        <v>33</v>
      </c>
      <c r="J27" s="113">
        <v>35.68</v>
      </c>
      <c r="K27" s="130">
        <v>65</v>
      </c>
      <c r="L27" s="101" t="s">
        <v>17</v>
      </c>
      <c r="M27" s="214">
        <v>0</v>
      </c>
      <c r="N27" s="214">
        <v>0</v>
      </c>
      <c r="O27" s="214">
        <v>0</v>
      </c>
      <c r="P27" s="214">
        <v>0</v>
      </c>
      <c r="Q27" s="214">
        <v>0</v>
      </c>
      <c r="R27" s="214">
        <v>0</v>
      </c>
      <c r="S27" s="214">
        <v>0</v>
      </c>
      <c r="T27" s="214">
        <v>0</v>
      </c>
      <c r="U27" s="214">
        <v>0</v>
      </c>
      <c r="V27" s="214"/>
      <c r="W27" s="214"/>
      <c r="X27" s="123">
        <f>+IF(H28="s",0,IF(AA27=0,0,IF(COUNTA(M27:W27)=AK29+0.25,SUMIF($C:$C,B27,$AA:$AA)/AK29,SUMIF($C:$C,B27,$AA:$AA)/(COUNTA(M27:W27)))))</f>
        <v>0</v>
      </c>
      <c r="Y27" s="466"/>
      <c r="Z27" s="534"/>
      <c r="AA27" s="134">
        <f t="shared" si="0"/>
        <v>0</v>
      </c>
      <c r="AB27" s="354">
        <f>+AA27+AC27</f>
        <v>0</v>
      </c>
      <c r="AC27" s="354">
        <v>0</v>
      </c>
      <c r="AD27" s="355">
        <f>+AB26-AB27</f>
        <v>781</v>
      </c>
      <c r="AE27" s="131">
        <f>+IF(((AA28+(AA29/2))*60)=0,"",(J27*AA27)/((AA28+(AA29/2))*60))</f>
        <v>0</v>
      </c>
      <c r="AF27" s="347">
        <f>+AA28+AA29/2</f>
        <v>314.5</v>
      </c>
      <c r="AG27" s="347">
        <f t="shared" si="1"/>
        <v>314.3</v>
      </c>
      <c r="AH27" s="341">
        <f t="shared" si="2"/>
        <v>18870</v>
      </c>
      <c r="AI27" s="341">
        <f>+AA27*J27</f>
        <v>0</v>
      </c>
      <c r="AJ27" s="356">
        <f>+AA27-(AF27*K27/K29)</f>
        <v>-464.60227272727275</v>
      </c>
      <c r="AK27" s="348"/>
      <c r="AL27" s="349"/>
      <c r="AM27" s="341"/>
      <c r="AN27" s="341"/>
      <c r="AO27" s="341"/>
      <c r="AP27" s="341"/>
      <c r="AQ27" s="339">
        <f>-360+AA26</f>
        <v>0</v>
      </c>
      <c r="AR27" s="434"/>
      <c r="AT27" s="390">
        <v>421</v>
      </c>
      <c r="AV27" s="390">
        <f t="shared" ref="AV27" si="15">+AT27-AD27</f>
        <v>-360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113">
        <f>+IFERROR(IF(K29=0,0,IF((LOOKUP(2,1/(M28:W28&lt;&gt;""),M28:W28)-K29)&lt;0,0,IF(K29=0,"",LOOKUP(2,1/(M28:W28&lt;&gt;""),M28:W28)-K29))),0)</f>
        <v>0</v>
      </c>
      <c r="H28" s="411" t="s">
        <v>412</v>
      </c>
      <c r="I28" s="113"/>
      <c r="J28" s="113">
        <v>0</v>
      </c>
      <c r="K28" s="114" t="s">
        <v>22</v>
      </c>
      <c r="L28" s="102" t="s">
        <v>18</v>
      </c>
      <c r="M28" s="448">
        <v>35</v>
      </c>
      <c r="N28" s="448">
        <v>35</v>
      </c>
      <c r="O28" s="448">
        <v>35</v>
      </c>
      <c r="P28" s="448">
        <v>35</v>
      </c>
      <c r="Q28" s="448">
        <v>35</v>
      </c>
      <c r="R28" s="448">
        <v>35</v>
      </c>
      <c r="S28" s="448">
        <v>38</v>
      </c>
      <c r="T28" s="448">
        <v>38</v>
      </c>
      <c r="U28" s="448">
        <v>38</v>
      </c>
      <c r="V28" s="448"/>
      <c r="W28" s="448"/>
      <c r="X28" s="160">
        <f>+IF(H28="l",IF(COUNTA(M27:W27)=AK29+0.25,AA27-K27*AK29,AA27-(K27*COUNTA(M27:W27))),IF(H28="s",0,IF(COUNTA(M27:W27)=AK29+0.25,SUMIF($C:$C,B27,$AA:$AA)-K27*AK29,SUMIF($C:$C,B27,$AA:$AA)-K27*COUNTA(M27:W27))))</f>
        <v>-568.75</v>
      </c>
      <c r="Y28" s="466"/>
      <c r="Z28" s="534"/>
      <c r="AA28" s="462">
        <f t="shared" ref="AA28:AA29" si="16">+SUM(M28:W28)-U28*0.25</f>
        <v>314.5</v>
      </c>
      <c r="AB28" s="360"/>
      <c r="AC28" s="360"/>
      <c r="AD28" s="362"/>
      <c r="AE28" s="363"/>
      <c r="AF28" s="346"/>
      <c r="AG28" s="347">
        <f t="shared" si="1"/>
        <v>0</v>
      </c>
      <c r="AH28" s="341">
        <f t="shared" si="2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314.5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444">
        <f>+SUMPRODUCT((M28:W28&lt;&gt;"")*(M28:W28&lt;&gt;0)*(M28:W28-K29))</f>
        <v>-72</v>
      </c>
      <c r="H29" s="117"/>
      <c r="I29" s="442"/>
      <c r="J29" s="165">
        <v>0.44</v>
      </c>
      <c r="K29" s="118">
        <v>44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0</v>
      </c>
      <c r="Z29" s="371">
        <f>+IF(COUNTA(M27:W27)=$AJ$4+0.25,$AJ$4-(AA27/K27),COUNTA(M27:W27)-(AA27/K27))+Y29</f>
        <v>8.75</v>
      </c>
      <c r="AA29" s="465">
        <f t="shared" si="16"/>
        <v>0</v>
      </c>
      <c r="AB29" s="367"/>
      <c r="AC29" s="367"/>
      <c r="AD29" s="368">
        <f>+IFERROR(AD27/(K27*$AQ$3),"")</f>
        <v>1.3731868131868132</v>
      </c>
      <c r="AE29" s="369"/>
      <c r="AF29" s="347"/>
      <c r="AG29" s="347">
        <f t="shared" si="1"/>
        <v>0</v>
      </c>
      <c r="AH29" s="341">
        <f t="shared" si="2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0.74021978021978019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439" t="str">
        <f>+G31</f>
        <v>ATENAS-203645</v>
      </c>
      <c r="H30" s="106"/>
      <c r="I30" s="111"/>
      <c r="J30" s="107" t="s">
        <v>20</v>
      </c>
      <c r="K30" s="108" t="s">
        <v>23</v>
      </c>
      <c r="L30" s="100" t="s">
        <v>21</v>
      </c>
      <c r="M30" s="448">
        <v>150</v>
      </c>
      <c r="N30" s="448"/>
      <c r="O30" s="448"/>
      <c r="P30" s="448">
        <v>150</v>
      </c>
      <c r="Q30" s="448"/>
      <c r="R30" s="448">
        <v>45</v>
      </c>
      <c r="S30" s="448"/>
      <c r="T30" s="448"/>
      <c r="U30" s="448"/>
      <c r="V30" s="448"/>
      <c r="W30" s="448"/>
      <c r="X30" s="447">
        <f t="shared" ref="X30" si="17">IF(AQ31="","",SUM(M30:W30)-(-(AQ31-SUM(M30:W30))/$AQ$3)*SUM($M$2:$W$2))</f>
        <v>345</v>
      </c>
      <c r="Y30" s="466"/>
      <c r="Z30" s="533">
        <f>+X32</f>
        <v>-61.25</v>
      </c>
      <c r="AA30" s="447">
        <f t="shared" si="0"/>
        <v>345</v>
      </c>
      <c r="AB30" s="343">
        <f>+AC30+AA30</f>
        <v>2971</v>
      </c>
      <c r="AC30" s="343">
        <v>2626</v>
      </c>
      <c r="AD30" s="344"/>
      <c r="AE30" s="345"/>
      <c r="AF30" s="346"/>
      <c r="AG30" s="347">
        <f t="shared" si="1"/>
        <v>0</v>
      </c>
      <c r="AH30" s="341">
        <f t="shared" si="2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106" t="s">
        <v>434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>
        <v>40</v>
      </c>
      <c r="N31" s="214">
        <v>40</v>
      </c>
      <c r="O31" s="214">
        <v>40</v>
      </c>
      <c r="P31" s="214">
        <v>40</v>
      </c>
      <c r="Q31" s="214">
        <v>40</v>
      </c>
      <c r="R31" s="214">
        <v>40</v>
      </c>
      <c r="S31" s="214">
        <v>40</v>
      </c>
      <c r="T31" s="214">
        <v>40</v>
      </c>
      <c r="U31" s="214">
        <v>30</v>
      </c>
      <c r="V31" s="214"/>
      <c r="W31" s="214"/>
      <c r="X31" s="123">
        <f>+IF(H32="s",0,IF(AA31=0,0,IF(COUNTA(M31:W31)=AK33+0.25,SUMIF($C:$C,B31,$AA:$AA)/AK33,SUMIF($C:$C,B31,$AA:$AA)/(COUNTA(M31:W31)))))</f>
        <v>40</v>
      </c>
      <c r="Y31" s="466"/>
      <c r="Z31" s="534"/>
      <c r="AA31" s="134">
        <f t="shared" si="0"/>
        <v>350</v>
      </c>
      <c r="AB31" s="354">
        <f>+AA31+AC31</f>
        <v>2226</v>
      </c>
      <c r="AC31" s="354">
        <v>1876</v>
      </c>
      <c r="AD31" s="355">
        <f>+AB30-AB31</f>
        <v>745</v>
      </c>
      <c r="AE31" s="131">
        <f>+IF(((AA32+(AA33/2))*60)=0,"",(J31*AA31)/((AA32+(AA33/2))*60))</f>
        <v>0.74715660542432194</v>
      </c>
      <c r="AF31" s="347">
        <f>+AA32+AA33/2</f>
        <v>476.25</v>
      </c>
      <c r="AG31" s="347">
        <f t="shared" si="1"/>
        <v>476.15</v>
      </c>
      <c r="AH31" s="341">
        <f t="shared" si="2"/>
        <v>28575</v>
      </c>
      <c r="AI31" s="341">
        <f>+AA31*J31</f>
        <v>21350</v>
      </c>
      <c r="AJ31" s="356">
        <f>+AA31-(AF31*K31/K33)</f>
        <v>-49.709821428571445</v>
      </c>
      <c r="AK31" s="348"/>
      <c r="AL31" s="349"/>
      <c r="AM31" s="341"/>
      <c r="AN31" s="341"/>
      <c r="AO31" s="341"/>
      <c r="AP31" s="341"/>
      <c r="AQ31" s="339">
        <f t="shared" si="6"/>
        <v>66.875</v>
      </c>
      <c r="AR31" s="434">
        <v>1.5</v>
      </c>
      <c r="AT31" s="390">
        <v>750</v>
      </c>
      <c r="AV31" s="390">
        <f t="shared" ref="AV31" si="18">+AT31-AD31</f>
        <v>5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113">
        <f>+IFERROR(IF(K33=0,0,IF((LOOKUP(2,1/(M32:W32&lt;&gt;""),M32:W32)-K33)&lt;0,0,IF(K33=0,"",LOOKUP(2,1/(M32:W32&lt;&gt;""),M32:W32)-K33))),0)</f>
        <v>0</v>
      </c>
      <c r="H32" s="411"/>
      <c r="I32" s="113"/>
      <c r="J32" s="113">
        <v>1</v>
      </c>
      <c r="K32" s="114" t="s">
        <v>22</v>
      </c>
      <c r="L32" s="102" t="s">
        <v>18</v>
      </c>
      <c r="M32" s="448">
        <v>52</v>
      </c>
      <c r="N32" s="448">
        <v>53</v>
      </c>
      <c r="O32" s="448">
        <v>55</v>
      </c>
      <c r="P32" s="448">
        <v>55</v>
      </c>
      <c r="Q32" s="448">
        <v>55</v>
      </c>
      <c r="R32" s="448">
        <v>55</v>
      </c>
      <c r="S32" s="448">
        <v>55</v>
      </c>
      <c r="T32" s="448">
        <v>55</v>
      </c>
      <c r="U32" s="448">
        <v>55</v>
      </c>
      <c r="V32" s="448"/>
      <c r="W32" s="448"/>
      <c r="X32" s="160">
        <f>+IF(H32="l",IF(COUNTA(M31:W31)=AK33+0.25,AA31-K31*AK33,AA31-(K31*COUNTA(M31:W31))),IF(H32="s",0,IF(COUNTA(M31:W31)=AK33+0.25,SUMIF($C:$C,B31,$AA:$AA)-K31*AK33,SUMIF($C:$C,B31,$AA:$AA)-K31*COUNTA(M31:W31))))</f>
        <v>-61.25</v>
      </c>
      <c r="Y32" s="466"/>
      <c r="Z32" s="534"/>
      <c r="AA32" s="462">
        <f t="shared" ref="AA32:AA33" si="19">+SUM(M32:W32)-U32*0.25</f>
        <v>476.25</v>
      </c>
      <c r="AB32" s="360"/>
      <c r="AC32" s="360"/>
      <c r="AD32" s="362"/>
      <c r="AE32" s="363"/>
      <c r="AF32" s="346"/>
      <c r="AG32" s="347">
        <f t="shared" si="1"/>
        <v>0</v>
      </c>
      <c r="AH32" s="341">
        <f t="shared" si="2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476.25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444">
        <f>+SUMPRODUCT((M32:W32&lt;&gt;"")*(M32:W32&lt;&gt;0)*(M32:W32-K33))</f>
        <v>-14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46.729787234042554</v>
      </c>
      <c r="Z33" s="371">
        <f>+IF(COUNTA(M31:W31)=$AJ$4+0.25,$AJ$4-(AA31/K31),COUNTA(M31:W31)-(AA31/K31))+Y33</f>
        <v>48.032978723404256</v>
      </c>
      <c r="AA33" s="465">
        <f t="shared" si="19"/>
        <v>0</v>
      </c>
      <c r="AB33" s="367"/>
      <c r="AC33" s="367"/>
      <c r="AD33" s="368">
        <f>+IFERROR(AD31/(K31*$AQ$3),"")</f>
        <v>1.8115501519756838</v>
      </c>
      <c r="AE33" s="369"/>
      <c r="AF33" s="347"/>
      <c r="AG33" s="347">
        <f t="shared" si="1"/>
        <v>0</v>
      </c>
      <c r="AH33" s="341">
        <f t="shared" si="2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1.8237082066869301</v>
      </c>
      <c r="AV33" s="390"/>
    </row>
    <row r="34" spans="2:58" s="98" customFormat="1" ht="62.25" customHeight="1" thickTop="1" x14ac:dyDescent="0.9">
      <c r="B34" s="342">
        <f>+B35</f>
        <v>6</v>
      </c>
      <c r="C34" s="405"/>
      <c r="D34" s="106"/>
      <c r="E34" s="106"/>
      <c r="F34" s="106"/>
      <c r="G34" s="439" t="str">
        <f>+G35</f>
        <v>2076-780-803</v>
      </c>
      <c r="H34" s="106"/>
      <c r="I34" s="111"/>
      <c r="J34" s="107" t="s">
        <v>20</v>
      </c>
      <c r="K34" s="108">
        <v>0</v>
      </c>
      <c r="L34" s="100" t="s">
        <v>21</v>
      </c>
      <c r="M34" s="448">
        <v>80</v>
      </c>
      <c r="N34" s="448"/>
      <c r="O34" s="448">
        <v>80</v>
      </c>
      <c r="P34" s="448"/>
      <c r="Q34" s="448">
        <v>80</v>
      </c>
      <c r="R34" s="448">
        <v>80</v>
      </c>
      <c r="S34" s="448">
        <v>40</v>
      </c>
      <c r="T34" s="448"/>
      <c r="U34" s="448"/>
      <c r="V34" s="448"/>
      <c r="W34" s="448"/>
      <c r="X34" s="447">
        <f t="shared" ref="X34" si="20">IF(AQ35="","",SUM(M34:W34)-(-(AQ35-SUM(M34:W34))/$AQ$3)*SUM($M$2:$W$2))</f>
        <v>360</v>
      </c>
      <c r="Y34" s="466"/>
      <c r="Z34" s="533">
        <f>+X36</f>
        <v>-49</v>
      </c>
      <c r="AA34" s="447">
        <f t="shared" si="0"/>
        <v>360</v>
      </c>
      <c r="AB34" s="343">
        <f>+AC34+AA34</f>
        <v>3601</v>
      </c>
      <c r="AC34" s="343">
        <v>3241</v>
      </c>
      <c r="AD34" s="344"/>
      <c r="AE34" s="345"/>
      <c r="AF34" s="346"/>
      <c r="AG34" s="347">
        <f t="shared" si="1"/>
        <v>0</v>
      </c>
      <c r="AH34" s="341">
        <f t="shared" si="2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6</v>
      </c>
      <c r="C35" s="406">
        <f>+B35</f>
        <v>6</v>
      </c>
      <c r="D35" s="407" t="s">
        <v>436</v>
      </c>
      <c r="E35" s="111"/>
      <c r="F35" s="111" t="s">
        <v>35</v>
      </c>
      <c r="G35" s="106" t="s">
        <v>435</v>
      </c>
      <c r="H35" s="111"/>
      <c r="I35" s="111" t="s">
        <v>38</v>
      </c>
      <c r="J35" s="113">
        <v>38.729999999999997</v>
      </c>
      <c r="K35" s="471">
        <v>52</v>
      </c>
      <c r="L35" s="101" t="s">
        <v>17</v>
      </c>
      <c r="M35" s="214">
        <v>16</v>
      </c>
      <c r="N35" s="214">
        <v>55</v>
      </c>
      <c r="O35" s="214">
        <v>46</v>
      </c>
      <c r="P35" s="214">
        <v>41</v>
      </c>
      <c r="Q35" s="214">
        <v>52</v>
      </c>
      <c r="R35" s="214">
        <v>52</v>
      </c>
      <c r="S35" s="214">
        <v>52</v>
      </c>
      <c r="T35" s="214">
        <v>52</v>
      </c>
      <c r="U35" s="214">
        <v>40</v>
      </c>
      <c r="V35" s="214"/>
      <c r="W35" s="214"/>
      <c r="X35" s="123">
        <f>+IF(H36="s",0,IF(AA35=0,0,IF(COUNTA(M35:W35)=AK37+0.25,SUMIF($C:$C,B35,$AA:$AA)/AK37,SUMIF($C:$C,B35,$AA:$AA)/(COUNTA(M35:W35)))))</f>
        <v>46.4</v>
      </c>
      <c r="Y35" s="466"/>
      <c r="Z35" s="534"/>
      <c r="AA35" s="134">
        <f t="shared" si="0"/>
        <v>406</v>
      </c>
      <c r="AB35" s="354">
        <f>+AA35+AC35</f>
        <v>3160</v>
      </c>
      <c r="AC35" s="354">
        <v>2754</v>
      </c>
      <c r="AD35" s="355">
        <f>+AB34-AB35</f>
        <v>441</v>
      </c>
      <c r="AE35" s="131">
        <f>+IF(((AA36+(AA37/2))*60)=0,"",(J35*AA35)/((AA36+(AA37/2))*60))</f>
        <v>0.75335393460294642</v>
      </c>
      <c r="AF35" s="347">
        <f>+AA36+AA37/2</f>
        <v>347.875</v>
      </c>
      <c r="AG35" s="347">
        <f t="shared" si="1"/>
        <v>347.52499999999998</v>
      </c>
      <c r="AH35" s="341">
        <f t="shared" si="2"/>
        <v>20872.5</v>
      </c>
      <c r="AI35" s="341">
        <f>+AA35*J35</f>
        <v>15724.38</v>
      </c>
      <c r="AJ35" s="356">
        <f>+AA35-(AF35*K35/K37)</f>
        <v>-70.03947368421052</v>
      </c>
      <c r="AK35" s="348"/>
      <c r="AL35" s="349"/>
      <c r="AM35" s="341"/>
      <c r="AN35" s="341"/>
      <c r="AO35" s="341"/>
      <c r="AP35" s="341"/>
      <c r="AQ35" s="339">
        <f>-360+AA34</f>
        <v>0</v>
      </c>
      <c r="AR35" s="434">
        <v>1.5</v>
      </c>
      <c r="AT35" s="390">
        <v>487</v>
      </c>
      <c r="AV35" s="390">
        <f t="shared" ref="AV35" si="21">+AT35-AD35</f>
        <v>46</v>
      </c>
    </row>
    <row r="36" spans="2:58" s="98" customFormat="1" ht="62.25" customHeight="1" x14ac:dyDescent="0.9">
      <c r="B36" s="357">
        <f>B35</f>
        <v>6</v>
      </c>
      <c r="C36" s="408"/>
      <c r="D36" s="184"/>
      <c r="E36" s="111">
        <f>+B35</f>
        <v>6</v>
      </c>
      <c r="F36" s="409"/>
      <c r="G36" s="113">
        <f>+IFERROR(IF(K37=0,0,IF((LOOKUP(2,1/(M36:W36&lt;&gt;""),M36:W36)-K37)&lt;0,0,IF(K37=0,"",LOOKUP(2,1/(M36:W36&lt;&gt;""),M36:W36)-K37))),0)</f>
        <v>0</v>
      </c>
      <c r="H36" s="411" t="s">
        <v>413</v>
      </c>
      <c r="I36" s="113"/>
      <c r="J36" s="113">
        <v>0</v>
      </c>
      <c r="K36" s="114" t="s">
        <v>22</v>
      </c>
      <c r="L36" s="102" t="s">
        <v>18</v>
      </c>
      <c r="M36" s="448">
        <v>41</v>
      </c>
      <c r="N36" s="448">
        <v>42</v>
      </c>
      <c r="O36" s="448">
        <v>42</v>
      </c>
      <c r="P36" s="448">
        <v>38</v>
      </c>
      <c r="Q36" s="448">
        <v>38</v>
      </c>
      <c r="R36" s="448">
        <v>38</v>
      </c>
      <c r="S36" s="448">
        <v>38</v>
      </c>
      <c r="T36" s="448">
        <v>38</v>
      </c>
      <c r="U36" s="448">
        <v>38</v>
      </c>
      <c r="V36" s="448"/>
      <c r="W36" s="448"/>
      <c r="X36" s="160">
        <f>+IF(H36="l",IF(COUNTA(M35:W35)=AK37+0.25,AA35-K35*AK37,AA35-(K35*COUNTA(M35:W35))),IF(H36="s",0,IF(COUNTA(M35:W35)=AK37+0.25,SUMIF($C:$C,B35,$AA:$AA)-K35*AK37,SUMIF($C:$C,B35,$AA:$AA)-K35*COUNTA(M35:W35))))</f>
        <v>-49</v>
      </c>
      <c r="Y36" s="466"/>
      <c r="Z36" s="534"/>
      <c r="AA36" s="462">
        <f t="shared" ref="AA36:AA37" si="22">+SUM(M36:W36)-U36*0.25</f>
        <v>343.5</v>
      </c>
      <c r="AB36" s="360"/>
      <c r="AC36" s="360"/>
      <c r="AD36" s="362"/>
      <c r="AE36" s="363"/>
      <c r="AF36" s="346"/>
      <c r="AG36" s="347">
        <f t="shared" si="1"/>
        <v>0</v>
      </c>
      <c r="AH36" s="341">
        <f t="shared" si="2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343.5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6</v>
      </c>
      <c r="C37" s="410"/>
      <c r="D37" s="174" t="s">
        <v>366</v>
      </c>
      <c r="E37" s="175">
        <f>+E36+100</f>
        <v>106</v>
      </c>
      <c r="F37" s="175"/>
      <c r="G37" s="444">
        <f>+SUMPRODUCT((M36:W36&lt;&gt;"")*(M36:W36&lt;&gt;0)*(M36:W36-K37))</f>
        <v>11</v>
      </c>
      <c r="H37" s="117"/>
      <c r="I37" s="442"/>
      <c r="J37" s="165">
        <f>+IF(K37="","",IF(K35=0,"",(K35*J35)/(K37*60)))</f>
        <v>0.88331578947368417</v>
      </c>
      <c r="K37" s="472">
        <v>38</v>
      </c>
      <c r="L37" s="104" t="s">
        <v>19</v>
      </c>
      <c r="M37" s="216">
        <v>1</v>
      </c>
      <c r="N37" s="216">
        <v>1</v>
      </c>
      <c r="O37" s="216">
        <v>1</v>
      </c>
      <c r="P37" s="216">
        <v>1</v>
      </c>
      <c r="Q37" s="216">
        <v>1</v>
      </c>
      <c r="R37" s="216">
        <v>1</v>
      </c>
      <c r="S37" s="216">
        <v>1</v>
      </c>
      <c r="T37" s="216">
        <v>1</v>
      </c>
      <c r="U37" s="216">
        <v>1</v>
      </c>
      <c r="V37" s="216"/>
      <c r="W37" s="216"/>
      <c r="X37" s="173"/>
      <c r="Y37" s="467">
        <v>21.00344827586207</v>
      </c>
      <c r="Z37" s="371">
        <f>+IF(COUNTA(M35:W35)=$AJ$4+0.25,$AJ$4-(AA35/K35),COUNTA(M35:W35)-(AA35/K35))+Y37</f>
        <v>21.945755968169763</v>
      </c>
      <c r="AA37" s="465">
        <f t="shared" si="22"/>
        <v>8.75</v>
      </c>
      <c r="AB37" s="367"/>
      <c r="AC37" s="367"/>
      <c r="AD37" s="368">
        <f>+IFERROR(AD35/(K35*$AQ$3),"")</f>
        <v>0.96923076923076923</v>
      </c>
      <c r="AE37" s="369"/>
      <c r="AF37" s="347"/>
      <c r="AG37" s="347">
        <f t="shared" si="1"/>
        <v>0</v>
      </c>
      <c r="AH37" s="341">
        <f t="shared" si="2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8.75</v>
      </c>
      <c r="AM37" s="341">
        <f>+AL37-AA37</f>
        <v>0</v>
      </c>
      <c r="AN37" s="341"/>
      <c r="AO37" s="341"/>
      <c r="AP37" s="341"/>
      <c r="AQ37" s="369"/>
      <c r="AR37" s="434"/>
      <c r="AT37" s="390">
        <v>0.95960591133004924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439" t="str">
        <f>+G39</f>
        <v>2259-600-730</v>
      </c>
      <c r="H38" s="106"/>
      <c r="I38" s="111"/>
      <c r="J38" s="107" t="s">
        <v>20</v>
      </c>
      <c r="K38" s="108">
        <v>0</v>
      </c>
      <c r="L38" s="100" t="s">
        <v>21</v>
      </c>
      <c r="M38" s="448"/>
      <c r="N38" s="448"/>
      <c r="O38" s="448"/>
      <c r="P38" s="448"/>
      <c r="Q38" s="448"/>
      <c r="R38" s="448"/>
      <c r="S38" s="448">
        <v>180</v>
      </c>
      <c r="T38" s="448"/>
      <c r="U38" s="448"/>
      <c r="V38" s="448"/>
      <c r="W38" s="448"/>
      <c r="X38" s="447" t="str">
        <f t="shared" ref="X38" si="23">IF(AQ39="","",SUM(M38:W38)-(-(AQ39-SUM(M38:W38))/$AQ$3)*SUM($M$2:$W$2))</f>
        <v/>
      </c>
      <c r="Y38" s="466"/>
      <c r="Z38" s="533">
        <f>+X40</f>
        <v>0</v>
      </c>
      <c r="AA38" s="447">
        <f t="shared" ref="AA38:AA39" si="24">+SUM(L38:W38)</f>
        <v>180</v>
      </c>
      <c r="AB38" s="343">
        <f>+AC38+AA38</f>
        <v>180</v>
      </c>
      <c r="AC38" s="343"/>
      <c r="AD38" s="344"/>
      <c r="AE38" s="345"/>
      <c r="AF38" s="346"/>
      <c r="AG38" s="347">
        <f t="shared" ref="AG38:AG41" si="25">TRUNC(AF38)+(AF38-TRUNC(AF38))*60/100</f>
        <v>0</v>
      </c>
      <c r="AH38" s="341">
        <f t="shared" ref="AH38:AH41" si="26">+AF38*60</f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441</v>
      </c>
      <c r="E39" s="111"/>
      <c r="F39" s="111" t="s">
        <v>35</v>
      </c>
      <c r="G39" s="106" t="s">
        <v>442</v>
      </c>
      <c r="H39" s="111"/>
      <c r="I39" s="111" t="s">
        <v>33</v>
      </c>
      <c r="J39" s="113"/>
      <c r="K39" s="130"/>
      <c r="L39" s="101" t="s">
        <v>17</v>
      </c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123">
        <f>+IF(H40="s",0,IF(AA39=0,0,IF(COUNTA(M39:W39)=AK41+0.25,SUMIF($C:$C,B39,$AA:$AA)/AK41,SUMIF($C:$C,B39,$AA:$AA)/(COUNTA(M39:W39)))))</f>
        <v>0</v>
      </c>
      <c r="Y39" s="466"/>
      <c r="Z39" s="534"/>
      <c r="AA39" s="134">
        <f t="shared" si="24"/>
        <v>0</v>
      </c>
      <c r="AB39" s="354">
        <f>+AA39+AC39</f>
        <v>0</v>
      </c>
      <c r="AC39" s="354"/>
      <c r="AD39" s="355">
        <f>+AB38-AB39</f>
        <v>180</v>
      </c>
      <c r="AE39" s="131" t="str">
        <f>+IF(((AA40+(AA41/2))*60)=0,"",(J39*AA39)/((AA40+(AA41/2))*60))</f>
        <v/>
      </c>
      <c r="AF39" s="347">
        <f>+AA40+AA41/2</f>
        <v>0</v>
      </c>
      <c r="AG39" s="347">
        <f t="shared" si="25"/>
        <v>0</v>
      </c>
      <c r="AH39" s="341">
        <f t="shared" si="26"/>
        <v>0</v>
      </c>
      <c r="AI39" s="341">
        <f>+AA39*J39</f>
        <v>0</v>
      </c>
      <c r="AJ39" s="356" t="e">
        <f>+AA39-(AF39*K39/K41)</f>
        <v>#DIV/0!</v>
      </c>
      <c r="AK39" s="348"/>
      <c r="AL39" s="349"/>
      <c r="AM39" s="341"/>
      <c r="AN39" s="341"/>
      <c r="AO39" s="341"/>
      <c r="AP39" s="341"/>
      <c r="AQ39" s="339"/>
      <c r="AR39" s="434">
        <v>1.5</v>
      </c>
      <c r="AT39" s="390">
        <v>487</v>
      </c>
      <c r="AV39" s="390">
        <f t="shared" ref="AV39" si="27">+AT39-AD39</f>
        <v>307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113">
        <f>+IFERROR(IF(K41=0,0,IF((LOOKUP(2,1/(M40:W40&lt;&gt;""),M40:W40)-K41)&lt;0,0,IF(K41=0,"",LOOKUP(2,1/(M40:W40&lt;&gt;""),M40:W40)-K41))),0)</f>
        <v>0</v>
      </c>
      <c r="H40" s="411" t="s">
        <v>413</v>
      </c>
      <c r="I40" s="113"/>
      <c r="J40" s="113">
        <v>0</v>
      </c>
      <c r="K40" s="114" t="s">
        <v>22</v>
      </c>
      <c r="L40" s="102" t="s">
        <v>18</v>
      </c>
      <c r="M40" s="448"/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160">
        <f>+IF(H40="l",IF(COUNTA(M39:W39)=AK41+0.25,AA39-K39*AK41,AA39-(K39*COUNTA(M39:W39))),IF(H40="s",0,IF(COUNTA(M39:W39)=AK41+0.25,SUMIF($C:$C,B39,$AA:$AA)-K39*AK41,SUMIF($C:$C,B39,$AA:$AA)-K39*COUNTA(M39:W39))))</f>
        <v>0</v>
      </c>
      <c r="Y40" s="466"/>
      <c r="Z40" s="534"/>
      <c r="AA40" s="462">
        <f t="shared" ref="AA40:AA41" si="28">+SUM(M40:W40)-U40*0.25</f>
        <v>0</v>
      </c>
      <c r="AB40" s="360"/>
      <c r="AC40" s="360"/>
      <c r="AD40" s="362"/>
      <c r="AE40" s="363"/>
      <c r="AF40" s="346"/>
      <c r="AG40" s="347">
        <f t="shared" si="25"/>
        <v>0</v>
      </c>
      <c r="AH40" s="341">
        <f t="shared" si="26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0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444">
        <f>+SUMPRODUCT((M40:W40&lt;&gt;"")*(M40:W40&lt;&gt;0)*(M40:W40-K41))</f>
        <v>0</v>
      </c>
      <c r="H41" s="117"/>
      <c r="I41" s="442"/>
      <c r="J41" s="165" t="str">
        <f>+IF(K41="","",IF(K39=0,"",(K39*J39)/(K41*60)))</f>
        <v/>
      </c>
      <c r="K41" s="118"/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>
        <v>21.00344827586207</v>
      </c>
      <c r="Z41" s="371"/>
      <c r="AA41" s="465">
        <f t="shared" si="28"/>
        <v>0</v>
      </c>
      <c r="AB41" s="367"/>
      <c r="AC41" s="367"/>
      <c r="AD41" s="368" t="str">
        <f>+IFERROR(AD39/(K39*$AQ$3),"")</f>
        <v/>
      </c>
      <c r="AE41" s="369"/>
      <c r="AF41" s="347"/>
      <c r="AG41" s="347">
        <f t="shared" si="25"/>
        <v>0</v>
      </c>
      <c r="AH41" s="341">
        <f t="shared" si="26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0.95960591133004924</v>
      </c>
      <c r="AV41" s="390"/>
    </row>
    <row r="42" spans="2:58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439" t="str">
        <f>+G43</f>
        <v>2070-397-802</v>
      </c>
      <c r="H42" s="106"/>
      <c r="I42" s="106"/>
      <c r="J42" s="107" t="s">
        <v>20</v>
      </c>
      <c r="K42" s="108" t="s">
        <v>23</v>
      </c>
      <c r="L42" s="100" t="s">
        <v>21</v>
      </c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7" t="str">
        <f t="shared" ref="X42" si="29">IF(AQ43="","",SUM(M42:W42)-(-(AQ43-SUM(M42:W42))/$AQ$3)*SUM($M$2:$W$2))</f>
        <v/>
      </c>
      <c r="Y42" s="466"/>
      <c r="Z42" s="533">
        <f>+X44</f>
        <v>0</v>
      </c>
      <c r="AA42" s="447">
        <f t="shared" si="0"/>
        <v>0</v>
      </c>
      <c r="AB42" s="343">
        <f>+AC42+AA42</f>
        <v>3511</v>
      </c>
      <c r="AC42" s="343">
        <v>3511</v>
      </c>
      <c r="AD42" s="344"/>
      <c r="AE42" s="345"/>
      <c r="AF42" s="346"/>
      <c r="AG42" s="347">
        <f t="shared" si="1"/>
        <v>0</v>
      </c>
      <c r="AH42" s="341">
        <f t="shared" si="2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7</v>
      </c>
      <c r="C43" s="406">
        <f>+B43</f>
        <v>7</v>
      </c>
      <c r="D43" s="407" t="s">
        <v>425</v>
      </c>
      <c r="E43" s="111"/>
      <c r="F43" s="111" t="s">
        <v>35</v>
      </c>
      <c r="G43" s="106" t="s">
        <v>426</v>
      </c>
      <c r="H43" s="111"/>
      <c r="I43" s="111" t="s">
        <v>38</v>
      </c>
      <c r="J43" s="113">
        <v>39.299999999999997</v>
      </c>
      <c r="K43" s="130">
        <v>60</v>
      </c>
      <c r="L43" s="101" t="s">
        <v>17</v>
      </c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123">
        <f>+IF(H44="s",0,IF(AA43=0,0,IF(COUNTA(M43:W43)=AK45+0.25,SUMIF($C:$C,B43,$AA:$AA)/AK45,SUMIF($C:$C,B43,$AA:$AA)/(COUNTA(M43:W43)))))</f>
        <v>0</v>
      </c>
      <c r="Y43" s="466"/>
      <c r="Z43" s="534"/>
      <c r="AA43" s="134">
        <f t="shared" si="0"/>
        <v>0</v>
      </c>
      <c r="AB43" s="354">
        <f>+AA43+AC43</f>
        <v>3502</v>
      </c>
      <c r="AC43" s="354">
        <v>3502</v>
      </c>
      <c r="AD43" s="355">
        <f>+AB42-AB43</f>
        <v>9</v>
      </c>
      <c r="AE43" s="131" t="str">
        <f>+IF(((AA44+(AA45/2))*60)=0,"",(J43*AA43)/((AA44+(AA45/2))*60))</f>
        <v/>
      </c>
      <c r="AF43" s="347">
        <f>+AA44+AA45/2</f>
        <v>0</v>
      </c>
      <c r="AG43" s="347">
        <f t="shared" si="1"/>
        <v>0</v>
      </c>
      <c r="AH43" s="341">
        <f t="shared" si="2"/>
        <v>0</v>
      </c>
      <c r="AI43" s="341">
        <f>+AA43*J43</f>
        <v>0</v>
      </c>
      <c r="AJ43" s="356">
        <f>+AA43-(AF43*K43/K45)</f>
        <v>0</v>
      </c>
      <c r="AK43" s="348"/>
      <c r="AL43" s="349"/>
      <c r="AM43" s="341"/>
      <c r="AN43" s="341"/>
      <c r="AO43" s="341"/>
      <c r="AP43" s="341"/>
      <c r="AQ43" s="339" t="str">
        <f t="shared" si="6"/>
        <v/>
      </c>
      <c r="AR43" s="434"/>
      <c r="AT43" s="390">
        <v>9</v>
      </c>
      <c r="AV43" s="390">
        <f t="shared" ref="AV43" si="30">+AT43-AD43</f>
        <v>0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113">
        <f>+IFERROR(IF(K45=0,0,IF((LOOKUP(2,1/(M44:W44&lt;&gt;""),M44:W44)-K45)&lt;0,0,IF(K45=0,"",LOOKUP(2,1/(M44:W44&lt;&gt;""),M44:W44)-K45))),0)</f>
        <v>0</v>
      </c>
      <c r="H44" s="411" t="s">
        <v>414</v>
      </c>
      <c r="I44" s="113"/>
      <c r="J44" s="113">
        <v>0</v>
      </c>
      <c r="K44" s="114" t="s">
        <v>22</v>
      </c>
      <c r="L44" s="102" t="s">
        <v>18</v>
      </c>
      <c r="M44" s="448"/>
      <c r="N44" s="448"/>
      <c r="O44" s="448"/>
      <c r="P44" s="448"/>
      <c r="Q44" s="448"/>
      <c r="R44" s="448"/>
      <c r="S44" s="448"/>
      <c r="T44" s="448"/>
      <c r="U44" s="448"/>
      <c r="V44" s="448"/>
      <c r="W44" s="448"/>
      <c r="X44" s="160">
        <f>+IF(H44="l",IF(COUNTA(M43:W43)=AK45+0.25,AA43-K43*AK45,AA43-(K43*COUNTA(M43:W43))),IF(H44="s",0,IF(COUNTA(M43:W43)=AK45+0.25,SUMIF($C:$C,B43,$AA:$AA)-K43*AK45,SUMIF($C:$C,B43,$AA:$AA)-K43*COUNTA(M43:W43))))</f>
        <v>0</v>
      </c>
      <c r="Y44" s="466"/>
      <c r="Z44" s="534"/>
      <c r="AA44" s="462">
        <f t="shared" ref="AA44:AA45" si="31">+SUM(M44:W44)-U44*0.25</f>
        <v>0</v>
      </c>
      <c r="AB44" s="360"/>
      <c r="AC44" s="360"/>
      <c r="AD44" s="362"/>
      <c r="AE44" s="363"/>
      <c r="AF44" s="346"/>
      <c r="AG44" s="347">
        <f t="shared" si="1"/>
        <v>0</v>
      </c>
      <c r="AH44" s="341">
        <f t="shared" si="2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0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444">
        <f>+SUMPRODUCT((M44:W44&lt;&gt;"")*(M44:W44&lt;&gt;0)*(M44:W44-K45))</f>
        <v>0</v>
      </c>
      <c r="H45" s="117"/>
      <c r="I45" s="442"/>
      <c r="J45" s="165">
        <f>+IF(K45="","",IF(K43=0,"",(K43*J43)/(K45*60)))</f>
        <v>0.93571428571428572</v>
      </c>
      <c r="K45" s="118">
        <v>42</v>
      </c>
      <c r="L45" s="104" t="s">
        <v>19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0</v>
      </c>
      <c r="Z45" s="371">
        <f>+IF(COUNTA(M43:W43)=$AJ$4+0.25,$AJ$4-(AA43/K43),COUNTA(M43:W43)-(AA43/K43))+Y45</f>
        <v>0</v>
      </c>
      <c r="AA45" s="465">
        <f t="shared" si="31"/>
        <v>0</v>
      </c>
      <c r="AB45" s="367"/>
      <c r="AC45" s="367"/>
      <c r="AD45" s="368">
        <f>+IFERROR(AD43/(K43*$AQ$3),"")</f>
        <v>1.7142857142857144E-2</v>
      </c>
      <c r="AE45" s="369"/>
      <c r="AF45" s="347"/>
      <c r="AG45" s="347">
        <f t="shared" si="1"/>
        <v>0</v>
      </c>
      <c r="AH45" s="341">
        <f t="shared" si="2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1.7142857142857144E-2</v>
      </c>
      <c r="AV45" s="390"/>
    </row>
    <row r="46" spans="2:58" s="98" customFormat="1" ht="62.25" customHeight="1" thickTop="1" x14ac:dyDescent="0.9">
      <c r="B46" s="342">
        <f>+B47</f>
        <v>7</v>
      </c>
      <c r="C46" s="405"/>
      <c r="D46" s="106"/>
      <c r="E46" s="106"/>
      <c r="F46" s="106"/>
      <c r="G46" s="439" t="str">
        <f>+G47</f>
        <v>2076-780-803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80</v>
      </c>
      <c r="N46" s="448">
        <v>80</v>
      </c>
      <c r="O46" s="448"/>
      <c r="P46" s="448">
        <v>80</v>
      </c>
      <c r="Q46" s="448">
        <v>40</v>
      </c>
      <c r="R46" s="448">
        <v>80</v>
      </c>
      <c r="S46" s="448">
        <v>80</v>
      </c>
      <c r="T46" s="448"/>
      <c r="U46" s="448"/>
      <c r="V46" s="448"/>
      <c r="W46" s="448"/>
      <c r="X46" s="447">
        <f t="shared" ref="X46" si="32">IF(AQ47="","",SUM(M46:W46)-(-(AQ47-SUM(M46:W46))/$AQ$3)*SUM($M$2:$W$2))</f>
        <v>440</v>
      </c>
      <c r="Y46" s="466"/>
      <c r="Z46" s="533">
        <f>+X48</f>
        <v>-13</v>
      </c>
      <c r="AA46" s="447">
        <f t="shared" si="0"/>
        <v>440</v>
      </c>
      <c r="AB46" s="343">
        <f>+AC46+AA46</f>
        <v>3401</v>
      </c>
      <c r="AC46" s="343">
        <v>2961</v>
      </c>
      <c r="AD46" s="344"/>
      <c r="AE46" s="345"/>
      <c r="AF46" s="346"/>
      <c r="AG46" s="347">
        <f t="shared" si="1"/>
        <v>0</v>
      </c>
      <c r="AH46" s="341">
        <f t="shared" si="2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1.35">
      <c r="B47" s="351">
        <v>7</v>
      </c>
      <c r="C47" s="406">
        <f>+B47</f>
        <v>7</v>
      </c>
      <c r="D47" s="407" t="s">
        <v>436</v>
      </c>
      <c r="E47" s="111"/>
      <c r="F47" s="111" t="s">
        <v>35</v>
      </c>
      <c r="G47" s="106" t="s">
        <v>435</v>
      </c>
      <c r="H47" s="111"/>
      <c r="I47" s="111" t="s">
        <v>38</v>
      </c>
      <c r="J47" s="113">
        <v>38.729999999999997</v>
      </c>
      <c r="K47" s="471">
        <v>52</v>
      </c>
      <c r="L47" s="101" t="s">
        <v>17</v>
      </c>
      <c r="M47" s="214">
        <v>58</v>
      </c>
      <c r="N47" s="214">
        <v>42</v>
      </c>
      <c r="O47" s="214">
        <v>54</v>
      </c>
      <c r="P47" s="214">
        <v>54</v>
      </c>
      <c r="Q47" s="214">
        <v>50</v>
      </c>
      <c r="R47" s="214">
        <v>52</v>
      </c>
      <c r="S47" s="214">
        <v>50</v>
      </c>
      <c r="T47" s="214">
        <v>50</v>
      </c>
      <c r="U47" s="214">
        <v>32</v>
      </c>
      <c r="V47" s="214"/>
      <c r="W47" s="214"/>
      <c r="X47" s="123">
        <f>+IF(H48="s",0,IF(AA47=0,0,IF(COUNTA(M47:W47)=AK49+0.25,SUMIF($C:$C,B47,$AA:$AA)/AK49,SUMIF($C:$C,B47,$AA:$AA)/(COUNTA(M47:W47)))))</f>
        <v>50.514285714285712</v>
      </c>
      <c r="Y47" s="466"/>
      <c r="Z47" s="534"/>
      <c r="AA47" s="134">
        <f t="shared" si="0"/>
        <v>442</v>
      </c>
      <c r="AB47" s="354">
        <f>+AA47+AC47</f>
        <v>2745</v>
      </c>
      <c r="AC47" s="354">
        <v>2303</v>
      </c>
      <c r="AD47" s="355">
        <f>+AB46-AB47</f>
        <v>656</v>
      </c>
      <c r="AE47" s="131">
        <f>+IF(((AA48+(AA49/2))*60)=0,"",(J47*AA47)/((AA48+(AA49/2))*60))</f>
        <v>0.81780293801504833</v>
      </c>
      <c r="AF47" s="347">
        <f>+AA48+AA49/2</f>
        <v>348.875</v>
      </c>
      <c r="AG47" s="347">
        <f t="shared" si="1"/>
        <v>348.52499999999998</v>
      </c>
      <c r="AH47" s="341">
        <f t="shared" si="2"/>
        <v>20932.5</v>
      </c>
      <c r="AI47" s="341">
        <f>+AA47*J47</f>
        <v>17118.66</v>
      </c>
      <c r="AJ47" s="356">
        <f>+AA47-(AF47*K47/K49)</f>
        <v>-35.407894736842081</v>
      </c>
      <c r="AK47" s="348"/>
      <c r="AL47" s="349"/>
      <c r="AM47" s="341"/>
      <c r="AN47" s="341"/>
      <c r="AO47" s="341"/>
      <c r="AP47" s="341"/>
      <c r="AQ47" s="339">
        <f>-440+AA46</f>
        <v>0</v>
      </c>
      <c r="AR47" s="434">
        <v>1.5</v>
      </c>
      <c r="AT47" s="390">
        <v>658</v>
      </c>
      <c r="AV47" s="390">
        <f t="shared" ref="AV47" si="33">+AT47-AD47</f>
        <v>2</v>
      </c>
      <c r="AW47" s="535"/>
      <c r="AX47" s="535"/>
      <c r="AY47" s="535"/>
      <c r="AZ47" s="535"/>
      <c r="BA47" s="535"/>
      <c r="BB47" s="535"/>
      <c r="BC47" s="535"/>
      <c r="BD47" s="535"/>
      <c r="BE47" s="535"/>
      <c r="BF47" s="535"/>
    </row>
    <row r="48" spans="2:58" s="98" customFormat="1" ht="62.25" customHeight="1" x14ac:dyDescent="0.9">
      <c r="B48" s="357">
        <f>B47</f>
        <v>7</v>
      </c>
      <c r="C48" s="408"/>
      <c r="D48" s="184"/>
      <c r="E48" s="111">
        <f>+B47</f>
        <v>7</v>
      </c>
      <c r="F48" s="409"/>
      <c r="G48" s="113">
        <f>+IFERROR(IF(K49=0,0,IF((LOOKUP(2,1/(M48:W48&lt;&gt;""),M48:W48)-K49)&lt;0,0,IF(K49=0,"",LOOKUP(2,1/(M48:W48&lt;&gt;""),M48:W48)-K49))),0)</f>
        <v>0</v>
      </c>
      <c r="H48" s="411" t="s">
        <v>413</v>
      </c>
      <c r="I48" s="113"/>
      <c r="J48" s="113">
        <v>1</v>
      </c>
      <c r="K48" s="114" t="s">
        <v>22</v>
      </c>
      <c r="L48" s="102" t="s">
        <v>18</v>
      </c>
      <c r="M48" s="448">
        <v>41</v>
      </c>
      <c r="N48" s="448">
        <v>41</v>
      </c>
      <c r="O48" s="448">
        <v>41</v>
      </c>
      <c r="P48" s="448">
        <v>41</v>
      </c>
      <c r="Q48" s="448">
        <v>38</v>
      </c>
      <c r="R48" s="448">
        <v>38</v>
      </c>
      <c r="S48" s="448">
        <v>38</v>
      </c>
      <c r="T48" s="448">
        <v>38</v>
      </c>
      <c r="U48" s="448">
        <v>38</v>
      </c>
      <c r="V48" s="448"/>
      <c r="W48" s="448"/>
      <c r="X48" s="160">
        <f>+IF(H48="l",IF(COUNTA(M47:W47)=AK49+0.25,AA47-K47*AK49,AA47-(K47*COUNTA(M47:W47))),IF(H48="s",0,IF(COUNTA(M47:W47)=AK49+0.25,SUMIF($C:$C,B47,$AA:$AA)-K47*AK49,SUMIF($C:$C,B47,$AA:$AA)-K47*COUNTA(M47:W47))))</f>
        <v>-13</v>
      </c>
      <c r="Y48" s="466"/>
      <c r="Z48" s="534"/>
      <c r="AA48" s="462">
        <f t="shared" ref="AA48:AA49" si="34">+SUM(M48:W48)-U48*0.25</f>
        <v>344.5</v>
      </c>
      <c r="AB48" s="360"/>
      <c r="AC48" s="360"/>
      <c r="AD48" s="362"/>
      <c r="AE48" s="363"/>
      <c r="AF48" s="346"/>
      <c r="AG48" s="347">
        <f t="shared" si="1"/>
        <v>0</v>
      </c>
      <c r="AH48" s="341">
        <f t="shared" si="2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344.5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72">
        <f>B47</f>
        <v>7</v>
      </c>
      <c r="C49" s="410"/>
      <c r="D49" s="174" t="s">
        <v>93</v>
      </c>
      <c r="E49" s="175">
        <f>+E48+100</f>
        <v>107</v>
      </c>
      <c r="F49" s="175"/>
      <c r="G49" s="444">
        <f>+SUMPRODUCT((M48:W48&lt;&gt;"")*(M48:W48&lt;&gt;0)*(M48:W48-K49))</f>
        <v>12</v>
      </c>
      <c r="H49" s="117"/>
      <c r="I49" s="442"/>
      <c r="J49" s="165">
        <f>+IF(K49="","",IF(K47=0,"",(K47*J47)/(K49*60)))</f>
        <v>0.88331578947368417</v>
      </c>
      <c r="K49" s="472">
        <v>38</v>
      </c>
      <c r="L49" s="104" t="s">
        <v>19</v>
      </c>
      <c r="M49" s="216">
        <v>1</v>
      </c>
      <c r="N49" s="216">
        <v>1</v>
      </c>
      <c r="O49" s="216">
        <v>1</v>
      </c>
      <c r="P49" s="216">
        <v>1</v>
      </c>
      <c r="Q49" s="216">
        <v>1</v>
      </c>
      <c r="R49" s="216">
        <v>1</v>
      </c>
      <c r="S49" s="216">
        <v>1</v>
      </c>
      <c r="T49" s="216">
        <v>1</v>
      </c>
      <c r="U49" s="216">
        <v>1</v>
      </c>
      <c r="V49" s="216"/>
      <c r="W49" s="216"/>
      <c r="X49" s="173"/>
      <c r="Y49" s="467">
        <v>26.12448275862069</v>
      </c>
      <c r="Z49" s="371">
        <f>+IF(COUNTA(M47:W47)=$AJ$4+0.25,$AJ$4-(AA47/K47),COUNTA(M47:W47)-(AA47/K47))+Y49</f>
        <v>26.37448275862069</v>
      </c>
      <c r="AA49" s="465">
        <f t="shared" si="34"/>
        <v>8.75</v>
      </c>
      <c r="AB49" s="367"/>
      <c r="AC49" s="367"/>
      <c r="AD49" s="368">
        <f>+IFERROR(AD47/(K47*$AQ$3),"")</f>
        <v>1.4417582417582417</v>
      </c>
      <c r="AE49" s="369"/>
      <c r="AF49" s="347"/>
      <c r="AG49" s="347">
        <f t="shared" si="1"/>
        <v>0</v>
      </c>
      <c r="AH49" s="341">
        <f t="shared" si="2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8.75</v>
      </c>
      <c r="AM49" s="341">
        <f>+AL49-AA49</f>
        <v>0</v>
      </c>
      <c r="AN49" s="341"/>
      <c r="AO49" s="341"/>
      <c r="AP49" s="341"/>
      <c r="AQ49" s="369"/>
      <c r="AR49" s="434"/>
      <c r="AT49" s="390">
        <v>1.296551724137931</v>
      </c>
      <c r="AV49" s="390"/>
    </row>
    <row r="50" spans="2:58" s="98" customFormat="1" ht="62.25" customHeight="1" thickTop="1" x14ac:dyDescent="0.9">
      <c r="B50" s="342">
        <f>+B51</f>
        <v>8</v>
      </c>
      <c r="C50" s="405"/>
      <c r="D50" s="106"/>
      <c r="E50" s="106"/>
      <c r="F50" s="106"/>
      <c r="G50" s="439" t="str">
        <f>+G51</f>
        <v>2158-755-712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180</v>
      </c>
      <c r="N50" s="448">
        <v>60</v>
      </c>
      <c r="O50" s="448">
        <v>60</v>
      </c>
      <c r="P50" s="448"/>
      <c r="Q50" s="448"/>
      <c r="R50" s="448">
        <v>60</v>
      </c>
      <c r="S50" s="448"/>
      <c r="T50" s="448"/>
      <c r="U50" s="448"/>
      <c r="V50" s="448"/>
      <c r="W50" s="448"/>
      <c r="X50" s="447">
        <f t="shared" ref="X50" si="35">IF(AQ51="","",SUM(M50:W50)-(-(AQ51-SUM(M50:W50))/$AQ$3)*SUM($M$2:$W$2))</f>
        <v>360</v>
      </c>
      <c r="Y50" s="466"/>
      <c r="Z50" s="533">
        <f>+X52</f>
        <v>-18</v>
      </c>
      <c r="AA50" s="447">
        <f t="shared" si="0"/>
        <v>360</v>
      </c>
      <c r="AB50" s="343">
        <f>+AC50+AA50</f>
        <v>2101</v>
      </c>
      <c r="AC50" s="343">
        <v>1741</v>
      </c>
      <c r="AD50" s="344"/>
      <c r="AE50" s="345"/>
      <c r="AF50" s="346"/>
      <c r="AG50" s="347">
        <f t="shared" si="1"/>
        <v>0</v>
      </c>
      <c r="AH50" s="341">
        <f t="shared" si="2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0.9">
      <c r="B51" s="351">
        <v>8</v>
      </c>
      <c r="C51" s="406">
        <f>+B51</f>
        <v>8</v>
      </c>
      <c r="D51" s="407" t="s">
        <v>431</v>
      </c>
      <c r="E51" s="111"/>
      <c r="F51" s="111" t="s">
        <v>35</v>
      </c>
      <c r="G51" s="106" t="s">
        <v>432</v>
      </c>
      <c r="H51" s="111"/>
      <c r="I51" s="111" t="s">
        <v>33</v>
      </c>
      <c r="J51" s="113">
        <v>51.42</v>
      </c>
      <c r="K51" s="130">
        <v>52</v>
      </c>
      <c r="L51" s="101" t="s">
        <v>17</v>
      </c>
      <c r="M51" s="214">
        <v>52</v>
      </c>
      <c r="N51" s="214">
        <v>52</v>
      </c>
      <c r="O51" s="214">
        <v>52</v>
      </c>
      <c r="P51" s="214">
        <v>36</v>
      </c>
      <c r="Q51" s="214">
        <v>54</v>
      </c>
      <c r="R51" s="214">
        <v>56</v>
      </c>
      <c r="S51" s="214">
        <v>40</v>
      </c>
      <c r="T51" s="214">
        <v>62</v>
      </c>
      <c r="U51" s="214">
        <v>33</v>
      </c>
      <c r="V51" s="214"/>
      <c r="W51" s="214"/>
      <c r="X51" s="123">
        <f>+IF(H52="s",0,IF(AA51=0,0,IF(COUNTA(M51:W51)=AK53+0.25,SUMIF($C:$C,B51,$AA:$AA)/AK53,SUMIF($C:$C,B51,$AA:$AA)/(COUNTA(M51:W51)))))</f>
        <v>49.942857142857143</v>
      </c>
      <c r="Y51" s="466"/>
      <c r="Z51" s="534"/>
      <c r="AA51" s="134">
        <f t="shared" si="0"/>
        <v>437</v>
      </c>
      <c r="AB51" s="354">
        <f>+AA51+AC51</f>
        <v>1371</v>
      </c>
      <c r="AC51" s="354">
        <v>934</v>
      </c>
      <c r="AD51" s="355">
        <f>+AB50-AB51</f>
        <v>730</v>
      </c>
      <c r="AE51" s="131">
        <f>+IF(((AA52+(AA53/2))*60)=0,"",(J51*AA51)/((AA52+(AA53/2))*60))</f>
        <v>0.85528746788467036</v>
      </c>
      <c r="AF51" s="347">
        <f>+AA52+AA53/2</f>
        <v>437.875</v>
      </c>
      <c r="AG51" s="347">
        <f t="shared" si="1"/>
        <v>437.52499999999998</v>
      </c>
      <c r="AH51" s="341">
        <f t="shared" si="2"/>
        <v>26272.5</v>
      </c>
      <c r="AI51" s="341">
        <f>+AA51*J51</f>
        <v>22470.54</v>
      </c>
      <c r="AJ51" s="356">
        <f>+AA51-(AF51*K51/K53)</f>
        <v>-9.460784313725469</v>
      </c>
      <c r="AK51" s="348"/>
      <c r="AL51" s="349"/>
      <c r="AM51" s="341"/>
      <c r="AN51" s="341"/>
      <c r="AO51" s="341"/>
      <c r="AP51" s="341"/>
      <c r="AQ51" s="339">
        <f t="shared" si="6"/>
        <v>29.5</v>
      </c>
      <c r="AR51" s="434">
        <v>1.5</v>
      </c>
      <c r="AT51" s="390">
        <v>807</v>
      </c>
      <c r="AV51" s="390">
        <f t="shared" ref="AV51" si="36">+AT51-AD51</f>
        <v>77</v>
      </c>
    </row>
    <row r="52" spans="2:58" s="98" customFormat="1" ht="62.25" customHeight="1" x14ac:dyDescent="0.9">
      <c r="B52" s="357">
        <f>+B51</f>
        <v>8</v>
      </c>
      <c r="C52" s="408"/>
      <c r="D52" s="184"/>
      <c r="E52" s="111">
        <f>+B51</f>
        <v>8</v>
      </c>
      <c r="F52" s="409"/>
      <c r="G52" s="113">
        <f>+IFERROR(IF(K53=0,0,IF((LOOKUP(2,1/(M52:W52&lt;&gt;""),M52:W52)-K53)&lt;0,0,IF(K53=0,"",LOOKUP(2,1/(M52:W52&lt;&gt;""),M52:W52)-K53))),0)</f>
        <v>0</v>
      </c>
      <c r="H52" s="411" t="s">
        <v>412</v>
      </c>
      <c r="I52" s="113"/>
      <c r="J52" s="113"/>
      <c r="K52" s="114" t="s">
        <v>22</v>
      </c>
      <c r="L52" s="102" t="s">
        <v>18</v>
      </c>
      <c r="M52" s="448">
        <v>49</v>
      </c>
      <c r="N52" s="448">
        <v>49</v>
      </c>
      <c r="O52" s="448">
        <v>49</v>
      </c>
      <c r="P52" s="448">
        <v>49</v>
      </c>
      <c r="Q52" s="448">
        <v>50</v>
      </c>
      <c r="R52" s="448">
        <v>50</v>
      </c>
      <c r="S52" s="448">
        <v>50</v>
      </c>
      <c r="T52" s="448">
        <v>50</v>
      </c>
      <c r="U52" s="448">
        <v>50</v>
      </c>
      <c r="V52" s="448"/>
      <c r="W52" s="448"/>
      <c r="X52" s="160">
        <f>+IF(H52="l",IF(COUNTA(M51:W51)=AK53+0.25,AA51-K51*AK53,AA51-(K51*COUNTA(M51:W51))),IF(H52="s",0,IF(COUNTA(M51:W51)=AK53+0.25,SUMIF($C:$C,B51,$AA:$AA)-K51*AK53,SUMIF($C:$C,B51,$AA:$AA)-K51*COUNTA(M51:W51))))</f>
        <v>-18</v>
      </c>
      <c r="Y52" s="466"/>
      <c r="Z52" s="534"/>
      <c r="AA52" s="462">
        <f t="shared" ref="AA52:AA53" si="37">+SUM(M52:W52)-U52*0.25</f>
        <v>433.5</v>
      </c>
      <c r="AB52" s="360"/>
      <c r="AC52" s="360"/>
      <c r="AD52" s="362"/>
      <c r="AE52" s="363"/>
      <c r="AF52" s="346"/>
      <c r="AG52" s="347">
        <f t="shared" si="1"/>
        <v>0</v>
      </c>
      <c r="AH52" s="341">
        <f t="shared" si="2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433.5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8</v>
      </c>
      <c r="C53" s="410"/>
      <c r="D53" s="174" t="s">
        <v>373</v>
      </c>
      <c r="E53" s="175">
        <f>+E52+100</f>
        <v>108</v>
      </c>
      <c r="F53" s="175"/>
      <c r="G53" s="444">
        <f>+SUMPRODUCT((M52:W52&lt;&gt;"")*(M52:W52&lt;&gt;0)*(M52:W52-K53))</f>
        <v>-13</v>
      </c>
      <c r="H53" s="117"/>
      <c r="I53" s="442"/>
      <c r="J53" s="165">
        <f>+IF(K53="","",IF(K51=0,"",(K51*J51)/(K53*60)))</f>
        <v>0.87380392156862752</v>
      </c>
      <c r="K53" s="118">
        <v>51</v>
      </c>
      <c r="L53" s="104" t="s">
        <v>422</v>
      </c>
      <c r="M53" s="216">
        <v>1</v>
      </c>
      <c r="N53" s="216">
        <v>1</v>
      </c>
      <c r="O53" s="216">
        <v>1</v>
      </c>
      <c r="P53" s="216">
        <v>1</v>
      </c>
      <c r="Q53" s="216">
        <v>1</v>
      </c>
      <c r="R53" s="216">
        <v>1</v>
      </c>
      <c r="S53" s="216">
        <v>1</v>
      </c>
      <c r="T53" s="216">
        <v>1</v>
      </c>
      <c r="U53" s="216">
        <v>1</v>
      </c>
      <c r="V53" s="216"/>
      <c r="W53" s="216"/>
      <c r="X53" s="173"/>
      <c r="Y53" s="467">
        <v>11.958461538461538</v>
      </c>
      <c r="Z53" s="371">
        <f>+IF(COUNTA(M51:W51)=$AJ$4+0.25,$AJ$4-(AA51/K51),COUNTA(M51:W51)-(AA51/K51))+Y53</f>
        <v>12.304615384615385</v>
      </c>
      <c r="AA53" s="465">
        <f t="shared" si="37"/>
        <v>8.75</v>
      </c>
      <c r="AB53" s="367"/>
      <c r="AC53" s="367"/>
      <c r="AD53" s="368">
        <f>+IFERROR(AD51/(K51*$AQ$3),"")</f>
        <v>1.6043956043956045</v>
      </c>
      <c r="AE53" s="369"/>
      <c r="AF53" s="347"/>
      <c r="AG53" s="347">
        <f t="shared" si="1"/>
        <v>0</v>
      </c>
      <c r="AH53" s="341">
        <f t="shared" si="2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8.75</v>
      </c>
      <c r="AM53" s="341">
        <f>+AL53-AA53</f>
        <v>0</v>
      </c>
      <c r="AN53" s="341"/>
      <c r="AO53" s="341"/>
      <c r="AP53" s="341"/>
      <c r="AQ53" s="369"/>
      <c r="AR53" s="434"/>
      <c r="AT53" s="390">
        <v>1.7736263736263735</v>
      </c>
      <c r="AV53" s="390"/>
    </row>
    <row r="54" spans="2:58" s="98" customFormat="1" ht="62.25" customHeight="1" thickTop="1" x14ac:dyDescent="0.9">
      <c r="B54" s="342">
        <f>+B55</f>
        <v>11</v>
      </c>
      <c r="C54" s="405"/>
      <c r="D54" s="106"/>
      <c r="E54" s="106"/>
      <c r="F54" s="106"/>
      <c r="G54" s="439" t="str">
        <f>+G55</f>
        <v>2070-397-802</v>
      </c>
      <c r="H54" s="106"/>
      <c r="I54" s="106"/>
      <c r="J54" s="107" t="s">
        <v>20</v>
      </c>
      <c r="K54" s="108" t="s">
        <v>23</v>
      </c>
      <c r="L54" s="100" t="s">
        <v>21</v>
      </c>
      <c r="M54" s="448"/>
      <c r="N54" s="448"/>
      <c r="O54" s="448"/>
      <c r="P54" s="448"/>
      <c r="Q54" s="448"/>
      <c r="R54" s="448"/>
      <c r="S54" s="448"/>
      <c r="T54" s="448"/>
      <c r="U54" s="448"/>
      <c r="V54" s="448"/>
      <c r="W54" s="448"/>
      <c r="X54" s="447" t="str">
        <f t="shared" ref="X54" si="38">IF(AQ55="","",SUM(M54:W54)-(-(AQ55-SUM(M54:W54))/$AQ$3)*SUM($M$2:$W$2))</f>
        <v/>
      </c>
      <c r="Y54" s="466"/>
      <c r="Z54" s="533">
        <f>+X56</f>
        <v>0</v>
      </c>
      <c r="AA54" s="447">
        <f t="shared" si="0"/>
        <v>0</v>
      </c>
      <c r="AB54" s="343">
        <f>+AC54+AA54</f>
        <v>3601</v>
      </c>
      <c r="AC54" s="343">
        <v>3601</v>
      </c>
      <c r="AD54" s="344"/>
      <c r="AE54" s="345"/>
      <c r="AF54" s="346"/>
      <c r="AG54" s="347">
        <f t="shared" si="1"/>
        <v>0</v>
      </c>
      <c r="AH54" s="341">
        <f t="shared" si="2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1.35">
      <c r="B55" s="351">
        <v>11</v>
      </c>
      <c r="C55" s="406">
        <f>+B55</f>
        <v>11</v>
      </c>
      <c r="D55" s="407" t="s">
        <v>425</v>
      </c>
      <c r="E55" s="111"/>
      <c r="F55" s="111" t="s">
        <v>35</v>
      </c>
      <c r="G55" s="106" t="s">
        <v>426</v>
      </c>
      <c r="H55" s="111"/>
      <c r="I55" s="111" t="s">
        <v>38</v>
      </c>
      <c r="J55" s="113">
        <v>39.299999999999997</v>
      </c>
      <c r="K55" s="130">
        <v>60</v>
      </c>
      <c r="L55" s="101" t="s">
        <v>17</v>
      </c>
      <c r="M55" s="214"/>
      <c r="N55" s="214"/>
      <c r="O55" s="214"/>
      <c r="P55" s="214"/>
      <c r="Q55" s="214">
        <v>6</v>
      </c>
      <c r="R55" s="214"/>
      <c r="S55" s="214"/>
      <c r="T55" s="214"/>
      <c r="U55" s="214"/>
      <c r="V55" s="214"/>
      <c r="W55" s="214"/>
      <c r="X55" s="123">
        <f>+IF(H56="s",0,IF(AA55=0,0,IF(COUNTA(M55:W55)=AK57+0.25,SUMIF($C:$C,B55,$AA:$AA)/AK57,SUMIF($C:$C,B55,$AA:$AA)/(COUNTA(M55:W55)))))</f>
        <v>0</v>
      </c>
      <c r="Y55" s="466"/>
      <c r="Z55" s="534"/>
      <c r="AA55" s="134">
        <f t="shared" si="0"/>
        <v>6</v>
      </c>
      <c r="AB55" s="354">
        <f>+AA55+AC55</f>
        <v>3601</v>
      </c>
      <c r="AC55" s="354">
        <v>3595</v>
      </c>
      <c r="AD55" s="355">
        <f>+AB54-AB55</f>
        <v>0</v>
      </c>
      <c r="AE55" s="131">
        <f>+IF(((AA56+(AA57/2))*60)=0,"",(J55*AA55)/((AA56+(AA57/2))*60))</f>
        <v>3.9299999999999997</v>
      </c>
      <c r="AF55" s="347">
        <f>+AA56+AA57/2</f>
        <v>1</v>
      </c>
      <c r="AG55" s="347">
        <f t="shared" si="1"/>
        <v>1</v>
      </c>
      <c r="AH55" s="341">
        <f t="shared" si="2"/>
        <v>60</v>
      </c>
      <c r="AI55" s="341">
        <f>+AA55*J55</f>
        <v>235.79999999999998</v>
      </c>
      <c r="AJ55" s="356">
        <f>+AA55-(AF55*K55/K57)</f>
        <v>4.5714285714285712</v>
      </c>
      <c r="AK55" s="348"/>
      <c r="AL55" s="349"/>
      <c r="AM55" s="341"/>
      <c r="AN55" s="341"/>
      <c r="AO55" s="341"/>
      <c r="AP55" s="341"/>
      <c r="AQ55" s="339" t="str">
        <f t="shared" si="6"/>
        <v/>
      </c>
      <c r="AR55" s="434"/>
      <c r="AT55" s="390">
        <v>6</v>
      </c>
      <c r="AV55" s="390">
        <f t="shared" ref="AV55" si="39">+AT55-AD55</f>
        <v>6</v>
      </c>
      <c r="AW55" s="535"/>
      <c r="AX55" s="535"/>
      <c r="AY55" s="535"/>
      <c r="AZ55" s="535"/>
      <c r="BA55" s="535"/>
      <c r="BB55" s="535"/>
      <c r="BC55" s="535"/>
      <c r="BD55" s="535"/>
      <c r="BE55" s="535"/>
      <c r="BF55" s="535"/>
    </row>
    <row r="56" spans="2:58" s="98" customFormat="1" ht="62.25" customHeight="1" x14ac:dyDescent="0.9">
      <c r="B56" s="357">
        <f>+B55</f>
        <v>11</v>
      </c>
      <c r="C56" s="408"/>
      <c r="D56" s="184"/>
      <c r="E56" s="111">
        <f>+B55</f>
        <v>11</v>
      </c>
      <c r="F56" s="412"/>
      <c r="G56" s="113">
        <f>+IFERROR(IF(K57=0,0,IF((LOOKUP(2,1/(M56:W56&lt;&gt;""),M56:W56)-K57)&lt;0,0,IF(K57=0,"",LOOKUP(2,1/(M56:W56&lt;&gt;""),M56:W56)-K57))),0)</f>
        <v>0</v>
      </c>
      <c r="H56" s="411" t="s">
        <v>414</v>
      </c>
      <c r="I56" s="113"/>
      <c r="J56" s="113"/>
      <c r="K56" s="114" t="s">
        <v>22</v>
      </c>
      <c r="L56" s="102" t="s">
        <v>18</v>
      </c>
      <c r="M56" s="448"/>
      <c r="N56" s="448"/>
      <c r="O56" s="448"/>
      <c r="P56" s="448"/>
      <c r="Q56" s="448">
        <v>1</v>
      </c>
      <c r="R56" s="448"/>
      <c r="S56" s="448"/>
      <c r="T56" s="448"/>
      <c r="U56" s="448"/>
      <c r="V56" s="448"/>
      <c r="W56" s="448"/>
      <c r="X56" s="160">
        <f>+IF(H56="l",IF(COUNTA(M55:W55)=AK57+0.25,AA55-K55*AK57,AA55-(K55*COUNTA(M55:W55))),IF(H56="s",0,IF(COUNTA(M55:W55)=AK57+0.25,SUMIF($C:$C,B55,$AA:$AA)-K55*AK57,SUMIF($C:$C,B55,$AA:$AA)-K55*COUNTA(M55:W55))))</f>
        <v>0</v>
      </c>
      <c r="Y56" s="466"/>
      <c r="Z56" s="534"/>
      <c r="AA56" s="462">
        <f t="shared" ref="AA56:AA57" si="40">+SUM(M56:W56)-U56*0.25</f>
        <v>1</v>
      </c>
      <c r="AB56" s="360"/>
      <c r="AC56" s="360"/>
      <c r="AD56" s="362"/>
      <c r="AE56" s="363"/>
      <c r="AF56" s="346"/>
      <c r="AG56" s="347">
        <f t="shared" si="1"/>
        <v>0</v>
      </c>
      <c r="AH56" s="341">
        <f t="shared" si="2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1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11</v>
      </c>
      <c r="C57" s="410"/>
      <c r="D57" s="174" t="s">
        <v>418</v>
      </c>
      <c r="E57" s="175">
        <f>+E56+100</f>
        <v>111</v>
      </c>
      <c r="F57" s="175"/>
      <c r="G57" s="444">
        <f>+SUMPRODUCT((M56:W56&lt;&gt;"")*(M56:W56&lt;&gt;0)*(M56:W56-K57))</f>
        <v>-41</v>
      </c>
      <c r="H57" s="117"/>
      <c r="I57" s="442"/>
      <c r="J57" s="165">
        <f>+IF(K57="","",IF(K55=0,"",(K55*J55)/(K57*60)))</f>
        <v>0.93571428571428572</v>
      </c>
      <c r="K57" s="118">
        <v>42</v>
      </c>
      <c r="L57" s="104" t="s">
        <v>422</v>
      </c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173"/>
      <c r="Y57" s="467">
        <v>0</v>
      </c>
      <c r="Z57" s="371">
        <f>+IF(COUNTA(M55:W55)=$AJ$4+0.25,$AJ$4-(AA55/K55),COUNTA(M55:W55)-(AA55/K55))+Y57</f>
        <v>0.9</v>
      </c>
      <c r="AA57" s="465">
        <f t="shared" si="40"/>
        <v>0</v>
      </c>
      <c r="AB57" s="367"/>
      <c r="AC57" s="367"/>
      <c r="AD57" s="368">
        <f>+IFERROR(AD55/(K55*$AQ$3),"")</f>
        <v>0</v>
      </c>
      <c r="AE57" s="369"/>
      <c r="AF57" s="347"/>
      <c r="AG57" s="347">
        <f t="shared" si="1"/>
        <v>0</v>
      </c>
      <c r="AH57" s="341">
        <f t="shared" si="2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0</v>
      </c>
      <c r="AM57" s="341">
        <f>+AL57-AA57</f>
        <v>0</v>
      </c>
      <c r="AN57" s="341"/>
      <c r="AO57" s="341"/>
      <c r="AP57" s="341"/>
      <c r="AQ57" s="369"/>
      <c r="AR57" s="434"/>
      <c r="AT57" s="390">
        <v>1.1428571428571429E-2</v>
      </c>
      <c r="AV57" s="390"/>
    </row>
    <row r="58" spans="2:58" s="98" customFormat="1" ht="62.25" customHeight="1" thickTop="1" x14ac:dyDescent="0.9">
      <c r="B58" s="342">
        <f>+B59</f>
        <v>11</v>
      </c>
      <c r="C58" s="405"/>
      <c r="D58" s="106"/>
      <c r="E58" s="106"/>
      <c r="F58" s="106"/>
      <c r="G58" s="439" t="str">
        <f>+G59</f>
        <v>2076-780-803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80</v>
      </c>
      <c r="N58" s="448"/>
      <c r="O58" s="448">
        <v>80</v>
      </c>
      <c r="P58" s="448">
        <v>80</v>
      </c>
      <c r="Q58" s="448">
        <v>40</v>
      </c>
      <c r="R58" s="448">
        <v>40</v>
      </c>
      <c r="S58" s="448"/>
      <c r="T58" s="448"/>
      <c r="U58" s="448"/>
      <c r="V58" s="448"/>
      <c r="W58" s="448"/>
      <c r="X58" s="447">
        <f t="shared" ref="X58" si="41">IF(AQ59="","",SUM(M58:W58)-(-(AQ59-SUM(M58:W58))/$AQ$3)*SUM($M$2:$W$2))</f>
        <v>320</v>
      </c>
      <c r="Y58" s="466"/>
      <c r="Z58" s="533">
        <f>+X60</f>
        <v>-121.5</v>
      </c>
      <c r="AA58" s="447">
        <f t="shared" si="0"/>
        <v>320</v>
      </c>
      <c r="AB58" s="343">
        <f>+AC58+AA58</f>
        <v>2641</v>
      </c>
      <c r="AC58" s="343">
        <v>2321</v>
      </c>
      <c r="AD58" s="344"/>
      <c r="AE58" s="345"/>
      <c r="AF58" s="346"/>
      <c r="AG58" s="347">
        <f t="shared" si="1"/>
        <v>0</v>
      </c>
      <c r="AH58" s="341">
        <f t="shared" si="2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1.35">
      <c r="B59" s="351">
        <v>11</v>
      </c>
      <c r="C59" s="406">
        <f>+B59</f>
        <v>11</v>
      </c>
      <c r="D59" s="407" t="s">
        <v>436</v>
      </c>
      <c r="E59" s="111"/>
      <c r="F59" s="111" t="s">
        <v>35</v>
      </c>
      <c r="G59" s="106" t="s">
        <v>435</v>
      </c>
      <c r="H59" s="111"/>
      <c r="I59" s="111" t="s">
        <v>38</v>
      </c>
      <c r="J59" s="113">
        <v>38.729999999999997</v>
      </c>
      <c r="K59" s="130">
        <v>58</v>
      </c>
      <c r="L59" s="101" t="s">
        <v>17</v>
      </c>
      <c r="M59" s="214">
        <v>40</v>
      </c>
      <c r="N59" s="214">
        <v>45</v>
      </c>
      <c r="O59" s="214">
        <v>45</v>
      </c>
      <c r="P59" s="214">
        <v>50</v>
      </c>
      <c r="Q59" s="214">
        <v>21</v>
      </c>
      <c r="R59" s="214">
        <v>55</v>
      </c>
      <c r="S59" s="214">
        <v>48</v>
      </c>
      <c r="T59" s="214">
        <v>48</v>
      </c>
      <c r="U59" s="214">
        <v>34</v>
      </c>
      <c r="V59" s="214"/>
      <c r="W59" s="214"/>
      <c r="X59" s="123">
        <f>+IF(H60="s",0,IF(AA59=0,0,IF(COUNTA(M59:W59)=AK61+0.25,SUMIF($C:$C,B59,$AA:$AA)/AK61,SUMIF($C:$C,B59,$AA:$AA)/(COUNTA(M59:W59)))))</f>
        <v>44.8</v>
      </c>
      <c r="Y59" s="466"/>
      <c r="Z59" s="534"/>
      <c r="AA59" s="134">
        <f t="shared" si="0"/>
        <v>386</v>
      </c>
      <c r="AB59" s="354">
        <f>+AA59+AC59</f>
        <v>2161</v>
      </c>
      <c r="AC59" s="354">
        <v>1775</v>
      </c>
      <c r="AD59" s="355">
        <f>+AB58-AB59</f>
        <v>480</v>
      </c>
      <c r="AE59" s="131">
        <f>+IF(((AA60+(AA61/2))*60)=0,"",(J59*AA59)/((AA60+(AA61/2))*60))</f>
        <v>0.67182473879339399</v>
      </c>
      <c r="AF59" s="347">
        <f>+AA60+AA61/2</f>
        <v>370.875</v>
      </c>
      <c r="AG59" s="347">
        <f t="shared" si="1"/>
        <v>370.52499999999998</v>
      </c>
      <c r="AH59" s="341">
        <f t="shared" si="2"/>
        <v>22252.5</v>
      </c>
      <c r="AI59" s="341">
        <f>+AA59*J59</f>
        <v>14949.779999999999</v>
      </c>
      <c r="AJ59" s="356">
        <f>+AA59-(AF59*K59/K61)</f>
        <v>-126.16071428571433</v>
      </c>
      <c r="AK59" s="348"/>
      <c r="AL59" s="349"/>
      <c r="AM59" s="341"/>
      <c r="AN59" s="341"/>
      <c r="AO59" s="341"/>
      <c r="AP59" s="341"/>
      <c r="AQ59" s="339">
        <f>-540+AA58</f>
        <v>-220</v>
      </c>
      <c r="AR59" s="434"/>
      <c r="AT59" s="390">
        <v>546</v>
      </c>
      <c r="AV59" s="390">
        <f t="shared" ref="AV59" si="42">+AT59-AD59</f>
        <v>66</v>
      </c>
      <c r="AW59" s="535" t="s">
        <v>473</v>
      </c>
      <c r="AX59" s="535"/>
      <c r="AY59" s="535"/>
      <c r="AZ59" s="535"/>
      <c r="BA59" s="535"/>
      <c r="BB59" s="535"/>
      <c r="BC59" s="535"/>
      <c r="BD59" s="535"/>
      <c r="BE59" s="535"/>
      <c r="BF59" s="535"/>
    </row>
    <row r="60" spans="2:58" s="98" customFormat="1" ht="62.25" customHeight="1" x14ac:dyDescent="0.9">
      <c r="B60" s="357">
        <f>+B59</f>
        <v>11</v>
      </c>
      <c r="C60" s="408"/>
      <c r="D60" s="184"/>
      <c r="E60" s="111">
        <f>+B59</f>
        <v>11</v>
      </c>
      <c r="F60" s="412"/>
      <c r="G60" s="113">
        <f>+IFERROR(IF(K61=0,0,IF((LOOKUP(2,1/(M60:W60&lt;&gt;""),M60:W60)-K61)&lt;0,0,IF(K61=0,"",LOOKUP(2,1/(M60:W60&lt;&gt;""),M60:W60)-K61))),0)</f>
        <v>0</v>
      </c>
      <c r="H60" s="411" t="s">
        <v>412</v>
      </c>
      <c r="I60" s="113"/>
      <c r="J60" s="113">
        <v>1</v>
      </c>
      <c r="K60" s="114" t="s">
        <v>22</v>
      </c>
      <c r="L60" s="102" t="s">
        <v>18</v>
      </c>
      <c r="M60" s="448">
        <v>42</v>
      </c>
      <c r="N60" s="448">
        <v>42</v>
      </c>
      <c r="O60" s="448">
        <v>42</v>
      </c>
      <c r="P60" s="448">
        <v>42</v>
      </c>
      <c r="Q60" s="448">
        <v>41</v>
      </c>
      <c r="R60" s="448">
        <v>42</v>
      </c>
      <c r="S60" s="448">
        <v>42</v>
      </c>
      <c r="T60" s="448">
        <v>42</v>
      </c>
      <c r="U60" s="448">
        <v>42</v>
      </c>
      <c r="V60" s="448"/>
      <c r="W60" s="448"/>
      <c r="X60" s="160">
        <f>+IF(H60="l",IF(COUNTA(M59:W59)=AK61+0.25,AA59-K59*AK61,AA59-(K59*COUNTA(M59:W59))),IF(H60="s",0,IF(COUNTA(M59:W59)=AK61+0.25,SUMIF($C:$C,B59,$AA:$AA)-K59*AK61,SUMIF($C:$C,B59,$AA:$AA)-K59*COUNTA(M59:W59))))</f>
        <v>-121.5</v>
      </c>
      <c r="Y60" s="466"/>
      <c r="Z60" s="534"/>
      <c r="AA60" s="462">
        <f t="shared" ref="AA60:AA61" si="43">+SUM(M60:W60)-U60*0.25</f>
        <v>366.5</v>
      </c>
      <c r="AB60" s="360"/>
      <c r="AC60" s="360"/>
      <c r="AD60" s="362"/>
      <c r="AE60" s="363"/>
      <c r="AF60" s="346"/>
      <c r="AG60" s="347">
        <f t="shared" si="1"/>
        <v>0</v>
      </c>
      <c r="AH60" s="341">
        <f t="shared" si="2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366.5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11</v>
      </c>
      <c r="C61" s="410"/>
      <c r="D61" s="174" t="s">
        <v>418</v>
      </c>
      <c r="E61" s="175">
        <f>+E60+100</f>
        <v>111</v>
      </c>
      <c r="F61" s="175"/>
      <c r="G61" s="444">
        <f>+SUMPRODUCT((M60:W60&lt;&gt;"")*(M60:W60&lt;&gt;0)*(M60:W60-K61))</f>
        <v>-1</v>
      </c>
      <c r="H61" s="117"/>
      <c r="I61" s="442"/>
      <c r="J61" s="165">
        <f>+IF(K61="","",IF(K59=0,"",(K59*J59)/(K61*60)))</f>
        <v>0.89140476190476181</v>
      </c>
      <c r="K61" s="118">
        <v>42</v>
      </c>
      <c r="L61" s="104" t="s">
        <v>422</v>
      </c>
      <c r="M61" s="216">
        <v>1</v>
      </c>
      <c r="N61" s="216">
        <v>1</v>
      </c>
      <c r="O61" s="216">
        <v>1</v>
      </c>
      <c r="P61" s="216">
        <v>1</v>
      </c>
      <c r="Q61" s="216">
        <v>1</v>
      </c>
      <c r="R61" s="216">
        <v>1</v>
      </c>
      <c r="S61" s="216">
        <v>1</v>
      </c>
      <c r="T61" s="216">
        <v>1</v>
      </c>
      <c r="U61" s="216">
        <v>1</v>
      </c>
      <c r="V61" s="216"/>
      <c r="W61" s="216"/>
      <c r="X61" s="173"/>
      <c r="Y61" s="467">
        <v>25.353448275862071</v>
      </c>
      <c r="Z61" s="371">
        <f>+IF(COUNTA(M59:W59)=$AJ$4+0.25,$AJ$4-(AA59/K59),COUNTA(M59:W59)-(AA59/K59))+Y61</f>
        <v>27.448275862068968</v>
      </c>
      <c r="AA61" s="465">
        <f t="shared" si="43"/>
        <v>8.75</v>
      </c>
      <c r="AB61" s="367"/>
      <c r="AC61" s="367"/>
      <c r="AD61" s="368">
        <f>+IFERROR(AD59/(K59*$AQ$3),"")</f>
        <v>0.94581280788177335</v>
      </c>
      <c r="AE61" s="369"/>
      <c r="AF61" s="347"/>
      <c r="AG61" s="347">
        <f t="shared" si="1"/>
        <v>0</v>
      </c>
      <c r="AH61" s="341">
        <f t="shared" si="2"/>
        <v>0</v>
      </c>
      <c r="AI61" s="341"/>
      <c r="AJ61" s="356"/>
      <c r="AK61" s="370">
        <f>+$AJ$4</f>
        <v>8.75</v>
      </c>
      <c r="AL61" s="349">
        <f>+IF(AK61=7.75,SUM(M61:S61)+T61*0.75,IF(AK61=8,SUM(M61:T61),IF(AK61=7.25,SUM(M61:S61)+T61*0.25,IF(AK61=8.25,SUM(M61:T61)+U61*0.25,IF(AK61=8.75,SUM(M61:T61)+U61*0.75,0)))))</f>
        <v>8.75</v>
      </c>
      <c r="AM61" s="341">
        <f>+AL61-AA61</f>
        <v>0</v>
      </c>
      <c r="AN61" s="341"/>
      <c r="AO61" s="341"/>
      <c r="AP61" s="341"/>
      <c r="AQ61" s="369"/>
      <c r="AR61" s="434"/>
      <c r="AT61" s="390">
        <v>1.0758620689655172</v>
      </c>
      <c r="AV61" s="390"/>
    </row>
    <row r="62" spans="2:58" s="98" customFormat="1" ht="62.25" customHeight="1" thickTop="1" x14ac:dyDescent="0.9">
      <c r="B62" s="342">
        <f>+B63</f>
        <v>12</v>
      </c>
      <c r="C62" s="405"/>
      <c r="D62" s="106"/>
      <c r="E62" s="106"/>
      <c r="F62" s="106"/>
      <c r="G62" s="439">
        <f>+G63</f>
        <v>0</v>
      </c>
      <c r="H62" s="106"/>
      <c r="I62" s="106"/>
      <c r="J62" s="107" t="s">
        <v>20</v>
      </c>
      <c r="K62" s="108" t="s">
        <v>23</v>
      </c>
      <c r="L62" s="100" t="s">
        <v>21</v>
      </c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47" t="str">
        <f t="shared" ref="X62" si="44">IF(AQ63="","",SUM(M62:W62)-(-(AQ63-SUM(M62:W62))/$AQ$3)*SUM($M$2:$W$2))</f>
        <v/>
      </c>
      <c r="Y62" s="466"/>
      <c r="Z62" s="533">
        <f>+X64</f>
        <v>0</v>
      </c>
      <c r="AA62" s="447">
        <f t="shared" si="0"/>
        <v>0</v>
      </c>
      <c r="AB62" s="343">
        <f>+AC62+AA62</f>
        <v>0</v>
      </c>
      <c r="AC62" s="343">
        <v>0</v>
      </c>
      <c r="AD62" s="344"/>
      <c r="AE62" s="345"/>
      <c r="AF62" s="346"/>
      <c r="AG62" s="347"/>
      <c r="AH62" s="341"/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0.9">
      <c r="B63" s="351">
        <v>12</v>
      </c>
      <c r="C63" s="406">
        <v>12</v>
      </c>
      <c r="D63" s="407"/>
      <c r="E63" s="111"/>
      <c r="F63" s="111"/>
      <c r="G63" s="106"/>
      <c r="H63" s="111"/>
      <c r="I63" s="111"/>
      <c r="J63" s="113"/>
      <c r="K63" s="130"/>
      <c r="L63" s="101" t="s">
        <v>17</v>
      </c>
      <c r="M63" s="454"/>
      <c r="N63" s="454"/>
      <c r="O63" s="454"/>
      <c r="P63" s="454"/>
      <c r="Q63" s="454"/>
      <c r="R63" s="454"/>
      <c r="S63" s="454"/>
      <c r="T63" s="454"/>
      <c r="U63" s="454"/>
      <c r="V63" s="454"/>
      <c r="W63" s="454"/>
      <c r="X63" s="123">
        <f>+IF(H64="s",0,IF(AA63=0,0,IF(COUNTA(M63:W63)=AK65+0.25,SUMIF($C:$C,B63,$AA:$AA)/AK65,SUMIF($C:$C,B63,$AA:$AA)/(COUNTA(M63:W63)))))</f>
        <v>0</v>
      </c>
      <c r="Y63" s="466"/>
      <c r="Z63" s="534"/>
      <c r="AA63" s="134">
        <f t="shared" si="0"/>
        <v>0</v>
      </c>
      <c r="AB63" s="354">
        <f>+AA63+AC63</f>
        <v>0</v>
      </c>
      <c r="AC63" s="354">
        <v>0</v>
      </c>
      <c r="AD63" s="355">
        <f>+AB62-AB63</f>
        <v>0</v>
      </c>
      <c r="AE63" s="131" t="str">
        <f>+IF(((AA64+(AA65/2))*60)=0,"",(J63*AA63)/((AA64+(AA65/2))*60))</f>
        <v/>
      </c>
      <c r="AF63" s="347"/>
      <c r="AG63" s="347"/>
      <c r="AH63" s="341"/>
      <c r="AI63" s="341"/>
      <c r="AJ63" s="356"/>
      <c r="AK63" s="348"/>
      <c r="AL63" s="349"/>
      <c r="AM63" s="341"/>
      <c r="AN63" s="341"/>
      <c r="AO63" s="341"/>
      <c r="AP63" s="341"/>
      <c r="AQ63" s="339" t="str">
        <f t="shared" si="6"/>
        <v/>
      </c>
      <c r="AR63" s="434"/>
      <c r="AT63" s="390">
        <v>0</v>
      </c>
      <c r="AV63" s="390">
        <f t="shared" ref="AV63" si="45">+AT63-AD63</f>
        <v>0</v>
      </c>
    </row>
    <row r="64" spans="2:58" s="98" customFormat="1" ht="62.25" customHeight="1" x14ac:dyDescent="0.9">
      <c r="B64" s="357">
        <f>+B63</f>
        <v>12</v>
      </c>
      <c r="C64" s="408"/>
      <c r="D64" s="184"/>
      <c r="E64" s="111">
        <f>+B63</f>
        <v>12</v>
      </c>
      <c r="F64" s="409"/>
      <c r="G64" s="113">
        <f>+IFERROR(IF(K65=0,0,IF((LOOKUP(2,1/(M64:W64&lt;&gt;""),M64:W64)-K65)&lt;0,0,IF(K65=0,"",LOOKUP(2,1/(M64:W64&lt;&gt;""),M64:W64)-K65))),0)</f>
        <v>0</v>
      </c>
      <c r="H64" s="411"/>
      <c r="I64" s="113"/>
      <c r="J64" s="113"/>
      <c r="K64" s="114" t="s">
        <v>22</v>
      </c>
      <c r="L64" s="102" t="s">
        <v>18</v>
      </c>
      <c r="M64" s="453"/>
      <c r="N64" s="453"/>
      <c r="O64" s="453"/>
      <c r="P64" s="453"/>
      <c r="Q64" s="453"/>
      <c r="R64" s="453"/>
      <c r="S64" s="453"/>
      <c r="T64" s="453"/>
      <c r="U64" s="453"/>
      <c r="V64" s="453"/>
      <c r="W64" s="453"/>
      <c r="X64" s="160">
        <f>+IF(H64="l",IF(COUNTA(M63:W63)=AK65+0.25,AA63-K63*AK65,AA63-(K63*COUNTA(M63:W63))),IF(H64="s",0,IF(COUNTA(M63:W63)=AK65+0.25,SUMIF($C:$C,B63,$AA:$AA)-K63*AK65,SUMIF($C:$C,B63,$AA:$AA)-K63*COUNTA(M63:W63))))</f>
        <v>0</v>
      </c>
      <c r="Y64" s="466"/>
      <c r="Z64" s="534"/>
      <c r="AA64" s="462">
        <f t="shared" ref="AA64:AA65" si="46">+SUM(M64:W64)-U64*0.25</f>
        <v>0</v>
      </c>
      <c r="AB64" s="360"/>
      <c r="AC64" s="360"/>
      <c r="AD64" s="362"/>
      <c r="AE64" s="363"/>
      <c r="AF64" s="346"/>
      <c r="AG64" s="347"/>
      <c r="AH64" s="341"/>
      <c r="AI64" s="341"/>
      <c r="AJ64" s="341"/>
      <c r="AK64" s="348"/>
      <c r="AL64" s="349"/>
      <c r="AM64" s="341"/>
      <c r="AN64" s="341"/>
      <c r="AO64" s="341"/>
      <c r="AP64" s="341"/>
      <c r="AQ64" s="438"/>
      <c r="AR64" s="434"/>
      <c r="AT64" s="390"/>
      <c r="AV64" s="390"/>
    </row>
    <row r="65" spans="2:59" s="98" customFormat="1" ht="62.25" customHeight="1" thickBot="1" x14ac:dyDescent="0.95">
      <c r="B65" s="364">
        <f>+B63</f>
        <v>12</v>
      </c>
      <c r="C65" s="410"/>
      <c r="D65" s="174"/>
      <c r="E65" s="175">
        <f>+E64+100</f>
        <v>112</v>
      </c>
      <c r="F65" s="175"/>
      <c r="G65" s="444">
        <f>+SUMPRODUCT((M64:W64&lt;&gt;"")*(M64:W64&lt;&gt;0)*(M64:W64-K65))</f>
        <v>0</v>
      </c>
      <c r="H65" s="117"/>
      <c r="I65" s="442"/>
      <c r="J65" s="165" t="str">
        <f>+IF(K65="","",IF(K63=0,"",(K63*J63)/(K65*60)))</f>
        <v/>
      </c>
      <c r="K65" s="118"/>
      <c r="L65" s="104" t="s">
        <v>19</v>
      </c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173"/>
      <c r="Y65" s="467"/>
      <c r="Z65" s="371"/>
      <c r="AA65" s="465">
        <f t="shared" si="46"/>
        <v>0</v>
      </c>
      <c r="AB65" s="367"/>
      <c r="AC65" s="367"/>
      <c r="AD65" s="368" t="str">
        <f>+IFERROR(AD63/(K63*$AQ$3),"")</f>
        <v/>
      </c>
      <c r="AE65" s="369"/>
      <c r="AF65" s="347"/>
      <c r="AG65" s="347"/>
      <c r="AH65" s="341"/>
      <c r="AI65" s="341"/>
      <c r="AJ65" s="356"/>
      <c r="AK65" s="370">
        <v>10.25</v>
      </c>
      <c r="AL65" s="349"/>
      <c r="AM65" s="341"/>
      <c r="AN65" s="341"/>
      <c r="AO65" s="341"/>
      <c r="AP65" s="341"/>
      <c r="AQ65" s="369"/>
      <c r="AR65" s="434"/>
      <c r="AT65" s="390" t="s">
        <v>416</v>
      </c>
      <c r="AV65" s="390"/>
    </row>
    <row r="66" spans="2:59" s="98" customFormat="1" ht="62.25" customHeight="1" thickTop="1" x14ac:dyDescent="0.9">
      <c r="B66" s="342">
        <f>+B67</f>
        <v>13</v>
      </c>
      <c r="C66" s="405"/>
      <c r="D66" s="106"/>
      <c r="E66" s="106"/>
      <c r="F66" s="106"/>
      <c r="G66" s="439" t="str">
        <f>+G67</f>
        <v>2158-755-712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180</v>
      </c>
      <c r="N66" s="448"/>
      <c r="O66" s="448"/>
      <c r="P66" s="448">
        <v>120</v>
      </c>
      <c r="Q66" s="448"/>
      <c r="R66" s="448">
        <v>60</v>
      </c>
      <c r="S66" s="448"/>
      <c r="T66" s="448"/>
      <c r="U66" s="448"/>
      <c r="V66" s="448"/>
      <c r="W66" s="448"/>
      <c r="X66" s="447">
        <f t="shared" ref="X66" si="47">IF(AQ67="","",SUM(M66:W66)-(-(AQ67-SUM(M66:W66))/$AQ$3)*SUM($M$2:$W$2))</f>
        <v>360</v>
      </c>
      <c r="Y66" s="466"/>
      <c r="Z66" s="533">
        <f>+X68</f>
        <v>-40.75</v>
      </c>
      <c r="AA66" s="447">
        <f t="shared" si="0"/>
        <v>360</v>
      </c>
      <c r="AB66" s="343">
        <f>+AC66+AA66</f>
        <v>4681</v>
      </c>
      <c r="AC66" s="343">
        <v>4321</v>
      </c>
      <c r="AD66" s="344"/>
      <c r="AE66" s="345"/>
      <c r="AF66" s="346"/>
      <c r="AG66" s="347">
        <f t="shared" si="1"/>
        <v>0</v>
      </c>
      <c r="AH66" s="341">
        <f t="shared" si="2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9" s="98" customFormat="1" ht="62.25" customHeight="1" x14ac:dyDescent="0.9">
      <c r="B67" s="351">
        <v>13</v>
      </c>
      <c r="C67" s="406">
        <f>+B67</f>
        <v>13</v>
      </c>
      <c r="D67" s="407" t="s">
        <v>431</v>
      </c>
      <c r="E67" s="111"/>
      <c r="F67" s="111" t="s">
        <v>35</v>
      </c>
      <c r="G67" s="106" t="s">
        <v>432</v>
      </c>
      <c r="H67" s="111"/>
      <c r="I67" s="111" t="s">
        <v>33</v>
      </c>
      <c r="J67" s="113">
        <v>51.42</v>
      </c>
      <c r="K67" s="471">
        <v>45</v>
      </c>
      <c r="L67" s="101" t="s">
        <v>17</v>
      </c>
      <c r="M67" s="214">
        <v>30</v>
      </c>
      <c r="N67" s="214">
        <v>50</v>
      </c>
      <c r="O67" s="214">
        <v>50</v>
      </c>
      <c r="P67" s="214">
        <v>50</v>
      </c>
      <c r="Q67" s="214">
        <v>37</v>
      </c>
      <c r="R67" s="214">
        <v>47</v>
      </c>
      <c r="S67" s="214">
        <v>15</v>
      </c>
      <c r="T67" s="214">
        <v>46</v>
      </c>
      <c r="U67" s="214">
        <v>28</v>
      </c>
      <c r="V67" s="214"/>
      <c r="W67" s="214"/>
      <c r="X67" s="123">
        <f>+IF(H68="s",0,IF(AA67=0,0,IF(COUNTA(M67:W67)=AK69+0.25,SUMIF($C:$C,B67,$AA:$AA)/AK69,SUMIF($C:$C,B67,$AA:$AA)/(COUNTA(M67:W67)))))</f>
        <v>40.342857142857142</v>
      </c>
      <c r="Y67" s="466"/>
      <c r="Z67" s="534"/>
      <c r="AA67" s="134">
        <f t="shared" si="0"/>
        <v>353</v>
      </c>
      <c r="AB67" s="354">
        <f>+AA67+AC67</f>
        <v>3936</v>
      </c>
      <c r="AC67" s="354">
        <v>3583</v>
      </c>
      <c r="AD67" s="355">
        <f>+AB66-AB67</f>
        <v>745</v>
      </c>
      <c r="AE67" s="131">
        <f>+IF(((AA68+(AA69/2))*60)=0,"",(J67*AA67)/((AA68+(AA69/2))*60))</f>
        <v>0.75160496894409945</v>
      </c>
      <c r="AF67" s="347">
        <f>+AA68+AA69/2</f>
        <v>402.5</v>
      </c>
      <c r="AG67" s="347">
        <f t="shared" si="1"/>
        <v>402.3</v>
      </c>
      <c r="AH67" s="341">
        <f t="shared" si="2"/>
        <v>24150</v>
      </c>
      <c r="AI67" s="341">
        <f>+AA67*J67</f>
        <v>18151.260000000002</v>
      </c>
      <c r="AJ67" s="356">
        <f>+AA67-(AF67*K67/K69)</f>
        <v>-40.75</v>
      </c>
      <c r="AK67" s="348"/>
      <c r="AL67" s="349"/>
      <c r="AM67" s="341"/>
      <c r="AN67" s="341"/>
      <c r="AO67" s="341"/>
      <c r="AP67" s="341"/>
      <c r="AQ67" s="339">
        <f t="shared" si="6"/>
        <v>113.625</v>
      </c>
      <c r="AR67" s="434">
        <v>1.5</v>
      </c>
      <c r="AT67" s="390">
        <v>738</v>
      </c>
      <c r="AV67" s="390">
        <f t="shared" ref="AV67" si="48">+AT67-AD67</f>
        <v>-7</v>
      </c>
    </row>
    <row r="68" spans="2:59" s="98" customFormat="1" ht="62.25" customHeight="1" x14ac:dyDescent="0.9">
      <c r="B68" s="357">
        <f>+B67</f>
        <v>13</v>
      </c>
      <c r="C68" s="408"/>
      <c r="D68" s="184"/>
      <c r="E68" s="111">
        <f>+B67</f>
        <v>13</v>
      </c>
      <c r="F68" s="412"/>
      <c r="G68" s="113">
        <f>+IFERROR(IF(K69=0,0,IF((LOOKUP(2,1/(M68:W68&lt;&gt;""),M68:W68)-K69)&lt;0,0,IF(K69=0,"",LOOKUP(2,1/(M68:W68&lt;&gt;""),M68:W68)-K69))),0)</f>
        <v>0</v>
      </c>
      <c r="H68" s="411"/>
      <c r="I68" s="113"/>
      <c r="J68" s="113">
        <v>1</v>
      </c>
      <c r="K68" s="114" t="s">
        <v>22</v>
      </c>
      <c r="L68" s="102" t="s">
        <v>18</v>
      </c>
      <c r="M68" s="448">
        <v>46</v>
      </c>
      <c r="N68" s="448">
        <v>46</v>
      </c>
      <c r="O68" s="448">
        <v>46</v>
      </c>
      <c r="P68" s="448">
        <v>46</v>
      </c>
      <c r="Q68" s="448">
        <v>46</v>
      </c>
      <c r="R68" s="448">
        <v>46</v>
      </c>
      <c r="S68" s="448">
        <v>46</v>
      </c>
      <c r="T68" s="448">
        <v>46</v>
      </c>
      <c r="U68" s="448">
        <v>46</v>
      </c>
      <c r="V68" s="448"/>
      <c r="W68" s="448"/>
      <c r="X68" s="160">
        <f>+IF(H68="l",IF(COUNTA(M67:W67)=AK69+0.25,AA67-K67*AK69,AA67-(K67*COUNTA(M67:W67))),IF(H68="s",0,IF(COUNTA(M67:W67)=AK69+0.25,SUMIF($C:$C,B67,$AA:$AA)-K67*AK69,SUMIF($C:$C,B67,$AA:$AA)-K67*COUNTA(M67:W67))))</f>
        <v>-40.75</v>
      </c>
      <c r="Y68" s="466"/>
      <c r="Z68" s="534"/>
      <c r="AA68" s="462">
        <f t="shared" ref="AA68:AA69" si="49">+SUM(M68:W68)-U68*0.25</f>
        <v>402.5</v>
      </c>
      <c r="AB68" s="360"/>
      <c r="AC68" s="360"/>
      <c r="AD68" s="362"/>
      <c r="AE68" s="363"/>
      <c r="AF68" s="346"/>
      <c r="AG68" s="347">
        <f t="shared" si="1"/>
        <v>0</v>
      </c>
      <c r="AH68" s="341">
        <f t="shared" si="2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402.5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9" s="98" customFormat="1" ht="62.25" customHeight="1" thickBot="1" x14ac:dyDescent="0.95">
      <c r="B69" s="364">
        <f>+B67</f>
        <v>13</v>
      </c>
      <c r="C69" s="410"/>
      <c r="D69" s="174" t="s">
        <v>379</v>
      </c>
      <c r="E69" s="175">
        <f>+E68+100</f>
        <v>113</v>
      </c>
      <c r="F69" s="175"/>
      <c r="G69" s="444">
        <f>+SUMPRODUCT((M68:W68&lt;&gt;"")*(M68:W68&lt;&gt;0)*(M68:W68-K69))</f>
        <v>0</v>
      </c>
      <c r="H69" s="117"/>
      <c r="I69" s="442"/>
      <c r="J69" s="165">
        <f>+IF(K69="","",IF(K67=0,"",(K67*J67)/(K69*60)))</f>
        <v>0.83836956521739137</v>
      </c>
      <c r="K69" s="471">
        <v>46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>
        <v>30.54</v>
      </c>
      <c r="Z69" s="365">
        <v>30.54</v>
      </c>
      <c r="AA69" s="465">
        <f t="shared" si="49"/>
        <v>0</v>
      </c>
      <c r="AB69" s="367"/>
      <c r="AC69" s="367"/>
      <c r="AD69" s="368">
        <f>+IFERROR(AD67/(K67*$AQ$3),"")</f>
        <v>1.892063492063492</v>
      </c>
      <c r="AE69" s="369"/>
      <c r="AF69" s="347"/>
      <c r="AG69" s="347">
        <f t="shared" si="1"/>
        <v>0</v>
      </c>
      <c r="AH69" s="341">
        <f t="shared" si="2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1.621978021978022</v>
      </c>
      <c r="AV69" s="390"/>
    </row>
    <row r="70" spans="2:59" s="98" customFormat="1" ht="58.5" customHeight="1" thickTop="1" x14ac:dyDescent="0.9">
      <c r="B70" s="373">
        <f>+B71</f>
        <v>14</v>
      </c>
      <c r="C70" s="405"/>
      <c r="D70" s="106"/>
      <c r="E70" s="106"/>
      <c r="F70" s="106"/>
      <c r="G70" s="439" t="str">
        <f>+G71</f>
        <v>NEGRONI-202942</v>
      </c>
      <c r="H70" s="106"/>
      <c r="I70" s="106"/>
      <c r="J70" s="107" t="s">
        <v>20</v>
      </c>
      <c r="K70" s="108" t="s">
        <v>23</v>
      </c>
      <c r="L70" s="100" t="s">
        <v>21</v>
      </c>
      <c r="M70" s="448">
        <v>50</v>
      </c>
      <c r="N70" s="448"/>
      <c r="O70" s="448">
        <v>100</v>
      </c>
      <c r="P70" s="448">
        <v>50</v>
      </c>
      <c r="Q70" s="448">
        <v>50</v>
      </c>
      <c r="R70" s="448">
        <v>50</v>
      </c>
      <c r="S70" s="448"/>
      <c r="T70" s="448"/>
      <c r="U70" s="448"/>
      <c r="V70" s="448"/>
      <c r="W70" s="448"/>
      <c r="X70" s="447">
        <f t="shared" ref="X70" si="50">IF(AQ71="","",SUM(M70:W70)-(-(AQ71-SUM(M70:W70))/$AQ$3)*SUM($M$2:$W$2))</f>
        <v>300</v>
      </c>
      <c r="Y70" s="466"/>
      <c r="Z70" s="533">
        <f>+X72</f>
        <v>-54.5</v>
      </c>
      <c r="AA70" s="447">
        <f t="shared" si="0"/>
        <v>300</v>
      </c>
      <c r="AB70" s="343">
        <f>+AC70+AA70</f>
        <v>5700</v>
      </c>
      <c r="AC70" s="343">
        <v>5400</v>
      </c>
      <c r="AD70" s="344"/>
      <c r="AE70" s="345"/>
      <c r="AF70" s="346"/>
      <c r="AG70" s="347">
        <f t="shared" si="1"/>
        <v>0</v>
      </c>
      <c r="AH70" s="341">
        <f t="shared" si="2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9" s="98" customFormat="1" ht="58.5" customHeight="1" x14ac:dyDescent="0.9">
      <c r="B71" s="374">
        <v>14</v>
      </c>
      <c r="C71" s="406">
        <f>+B71</f>
        <v>14</v>
      </c>
      <c r="D71" s="407" t="s">
        <v>427</v>
      </c>
      <c r="E71" s="111"/>
      <c r="F71" s="111" t="s">
        <v>428</v>
      </c>
      <c r="G71" s="106" t="s">
        <v>429</v>
      </c>
      <c r="H71" s="111"/>
      <c r="I71" s="111" t="s">
        <v>430</v>
      </c>
      <c r="J71" s="113">
        <v>48.06</v>
      </c>
      <c r="K71" s="471">
        <v>42</v>
      </c>
      <c r="L71" s="101" t="s">
        <v>17</v>
      </c>
      <c r="M71" s="214">
        <v>60</v>
      </c>
      <c r="N71" s="214">
        <v>40</v>
      </c>
      <c r="O71" s="214">
        <v>40</v>
      </c>
      <c r="P71" s="214">
        <v>40</v>
      </c>
      <c r="Q71" s="214">
        <v>28</v>
      </c>
      <c r="R71" s="214">
        <v>35</v>
      </c>
      <c r="S71" s="214">
        <v>23</v>
      </c>
      <c r="T71" s="214">
        <v>35</v>
      </c>
      <c r="U71" s="214">
        <v>12</v>
      </c>
      <c r="V71" s="214"/>
      <c r="W71" s="214"/>
      <c r="X71" s="123">
        <f>+IF(H72="s",0,IF(AA71=0,0,IF(COUNTA(M71:W71)=AK73+0.25,SUMIF($C:$C,B71,$AA:$AA)/AK73,SUMIF($C:$C,B71,$AA:$AA)/(COUNTA(M71:W71)))))</f>
        <v>35.771428571428572</v>
      </c>
      <c r="Y71" s="466"/>
      <c r="Z71" s="534"/>
      <c r="AA71" s="134">
        <f t="shared" si="0"/>
        <v>313</v>
      </c>
      <c r="AB71" s="354">
        <f>+AA71+AC71</f>
        <v>4795</v>
      </c>
      <c r="AC71" s="354">
        <v>4482</v>
      </c>
      <c r="AD71" s="355">
        <f>+AB70-AB71</f>
        <v>905</v>
      </c>
      <c r="AE71" s="131">
        <f>+IF(((AA72+(AA73/2))*60)=0,"",(J71*AA71)/((AA72+(AA73/2))*60))</f>
        <v>0.65078001297858534</v>
      </c>
      <c r="AF71" s="347">
        <f>+AA72+AA73/2</f>
        <v>385.25</v>
      </c>
      <c r="AG71" s="347">
        <f t="shared" si="1"/>
        <v>385.15</v>
      </c>
      <c r="AH71" s="341">
        <f t="shared" si="2"/>
        <v>23115</v>
      </c>
      <c r="AI71" s="341">
        <f>+AA71*J71</f>
        <v>15042.78</v>
      </c>
      <c r="AJ71" s="356">
        <f>+AA71-(AF71*K71/K73)</f>
        <v>-72.25</v>
      </c>
      <c r="AK71" s="348"/>
      <c r="AL71" s="349"/>
      <c r="AM71" s="341"/>
      <c r="AN71" s="341"/>
      <c r="AO71" s="341"/>
      <c r="AP71" s="341"/>
      <c r="AQ71" s="339">
        <f t="shared" si="6"/>
        <v>299.25</v>
      </c>
      <c r="AR71" s="434">
        <v>1.5</v>
      </c>
      <c r="AT71" s="390">
        <v>918</v>
      </c>
      <c r="AV71" s="390">
        <f t="shared" ref="AV71" si="51">+AT71-AD71</f>
        <v>13</v>
      </c>
    </row>
    <row r="72" spans="2:59" s="98" customFormat="1" ht="58.5" customHeight="1" x14ac:dyDescent="0.9">
      <c r="B72" s="357">
        <f>+B71</f>
        <v>14</v>
      </c>
      <c r="C72" s="408"/>
      <c r="D72" s="184"/>
      <c r="E72" s="111">
        <f>+B71</f>
        <v>14</v>
      </c>
      <c r="F72" s="409"/>
      <c r="G72" s="113">
        <f>+IFERROR(IF(K73=0,0,IF((LOOKUP(2,1/(M72:W72&lt;&gt;""),M72:W72)-K73)&lt;0,0,IF(K73=0,"",LOOKUP(2,1/(M72:W72&lt;&gt;""),M72:W72)-K73))),0)</f>
        <v>0</v>
      </c>
      <c r="H72" s="411"/>
      <c r="I72" s="113"/>
      <c r="J72" s="113">
        <v>1</v>
      </c>
      <c r="K72" s="114" t="s">
        <v>22</v>
      </c>
      <c r="L72" s="102" t="s">
        <v>18</v>
      </c>
      <c r="M72" s="448">
        <v>45</v>
      </c>
      <c r="N72" s="448">
        <v>45</v>
      </c>
      <c r="O72" s="448">
        <v>45</v>
      </c>
      <c r="P72" s="448">
        <v>42</v>
      </c>
      <c r="Q72" s="448">
        <v>42</v>
      </c>
      <c r="R72" s="448">
        <v>42</v>
      </c>
      <c r="S72" s="448">
        <v>42</v>
      </c>
      <c r="T72" s="448">
        <v>42</v>
      </c>
      <c r="U72" s="448">
        <v>42</v>
      </c>
      <c r="V72" s="448"/>
      <c r="W72" s="448"/>
      <c r="X72" s="160">
        <f>+IF(H72="l",IF(COUNTA(M71:W71)=AK73+0.25,AA71-K71*AK73,AA71-(K71*COUNTA(M71:W71))),IF(H72="s",0,IF(COUNTA(M71:W71)=AK73+0.25,SUMIF($C:$C,B71,$AA:$AA)-K71*AK73,SUMIF($C:$C,B71,$AA:$AA)-K71*COUNTA(M71:W71))))</f>
        <v>-54.5</v>
      </c>
      <c r="Y72" s="466"/>
      <c r="Z72" s="534"/>
      <c r="AA72" s="462">
        <f t="shared" ref="AA72:AA73" si="52">+SUM(M72:W72)-U72*0.25</f>
        <v>376.5</v>
      </c>
      <c r="AB72" s="360"/>
      <c r="AC72" s="360"/>
      <c r="AD72" s="362"/>
      <c r="AE72" s="363"/>
      <c r="AF72" s="346"/>
      <c r="AG72" s="347">
        <f t="shared" si="1"/>
        <v>0</v>
      </c>
      <c r="AH72" s="341">
        <f t="shared" si="2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376.5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9" s="98" customFormat="1" ht="58.5" customHeight="1" thickBot="1" x14ac:dyDescent="0.95">
      <c r="B73" s="364">
        <f>+B71</f>
        <v>14</v>
      </c>
      <c r="C73" s="410"/>
      <c r="D73" s="174" t="s">
        <v>112</v>
      </c>
      <c r="E73" s="175">
        <f>+E72+100</f>
        <v>114</v>
      </c>
      <c r="F73" s="175"/>
      <c r="G73" s="444">
        <f>+SUMPRODUCT((M72:W72&lt;&gt;"")*(M72:W72&lt;&gt;0)*(M72:W72-K73))</f>
        <v>9</v>
      </c>
      <c r="H73" s="117"/>
      <c r="I73" s="442"/>
      <c r="J73" s="165">
        <f>+IF(K73="","",IF(K71=0,"",(K71*J71)/(K73*60)))</f>
        <v>0.80100000000000005</v>
      </c>
      <c r="K73" s="472">
        <v>42</v>
      </c>
      <c r="L73" s="104" t="s">
        <v>19</v>
      </c>
      <c r="M73" s="216">
        <v>2</v>
      </c>
      <c r="N73" s="216">
        <v>2</v>
      </c>
      <c r="O73" s="216">
        <v>2</v>
      </c>
      <c r="P73" s="216">
        <v>2</v>
      </c>
      <c r="Q73" s="216">
        <v>2</v>
      </c>
      <c r="R73" s="216">
        <v>2</v>
      </c>
      <c r="S73" s="216">
        <v>2</v>
      </c>
      <c r="T73" s="216">
        <v>2</v>
      </c>
      <c r="U73" s="216">
        <v>2</v>
      </c>
      <c r="V73" s="216"/>
      <c r="W73" s="216"/>
      <c r="X73" s="173"/>
      <c r="Y73" s="467">
        <v>43.52</v>
      </c>
      <c r="Z73" s="365">
        <v>43.52</v>
      </c>
      <c r="AA73" s="465">
        <f t="shared" si="52"/>
        <v>17.5</v>
      </c>
      <c r="AB73" s="367"/>
      <c r="AC73" s="367"/>
      <c r="AD73" s="368">
        <f>+IFERROR(AD71/(K71*$AQ$3),"")</f>
        <v>2.4625850340136055</v>
      </c>
      <c r="AE73" s="369"/>
      <c r="AF73" s="347"/>
      <c r="AG73" s="347">
        <f t="shared" si="1"/>
        <v>0</v>
      </c>
      <c r="AH73" s="341">
        <f t="shared" si="2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17.5</v>
      </c>
      <c r="AM73" s="341">
        <f>+AL73-AA73</f>
        <v>0</v>
      </c>
      <c r="AN73" s="341"/>
      <c r="AO73" s="341"/>
      <c r="AP73" s="341"/>
      <c r="AQ73" s="369"/>
      <c r="AR73" s="434"/>
      <c r="AT73" s="390">
        <v>1.7485714285714287</v>
      </c>
      <c r="AV73" s="390"/>
    </row>
    <row r="74" spans="2:59" s="98" customFormat="1" ht="62.25" customHeight="1" thickTop="1" x14ac:dyDescent="0.9">
      <c r="B74" s="342">
        <f>+B75</f>
        <v>15</v>
      </c>
      <c r="C74" s="405"/>
      <c r="D74" s="106"/>
      <c r="E74" s="106"/>
      <c r="F74" s="106"/>
      <c r="G74" s="439" t="str">
        <f>+G75</f>
        <v>2076-780-803</v>
      </c>
      <c r="H74" s="106"/>
      <c r="I74" s="106"/>
      <c r="J74" s="107" t="s">
        <v>20</v>
      </c>
      <c r="K74" s="108" t="s">
        <v>23</v>
      </c>
      <c r="L74" s="100" t="s">
        <v>21</v>
      </c>
      <c r="M74" s="448"/>
      <c r="N74" s="448"/>
      <c r="O74" s="448"/>
      <c r="P74" s="448"/>
      <c r="Q74" s="448">
        <v>40</v>
      </c>
      <c r="R74" s="448">
        <v>40</v>
      </c>
      <c r="S74" s="448">
        <v>74</v>
      </c>
      <c r="T74" s="448"/>
      <c r="U74" s="448"/>
      <c r="V74" s="448"/>
      <c r="W74" s="448"/>
      <c r="X74" s="447">
        <f t="shared" ref="X74" si="53">IF(AQ75="","",SUM(M74:W74)-(-(AQ75-SUM(M74:W74))/$AQ$3)*SUM($M$2:$W$2))</f>
        <v>154</v>
      </c>
      <c r="Y74" s="466"/>
      <c r="Z74" s="533">
        <f>+X76</f>
        <v>-179.5</v>
      </c>
      <c r="AA74" s="447">
        <f t="shared" ref="AA74:AA95" si="54">+SUM(L74:W74)</f>
        <v>154</v>
      </c>
      <c r="AB74" s="343">
        <f>+AC74+AA74</f>
        <v>3312</v>
      </c>
      <c r="AC74" s="343">
        <v>3158</v>
      </c>
      <c r="AD74" s="344"/>
      <c r="AE74" s="345"/>
      <c r="AF74" s="346"/>
      <c r="AG74" s="347">
        <f t="shared" si="1"/>
        <v>0</v>
      </c>
      <c r="AH74" s="341">
        <f t="shared" si="2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9" s="98" customFormat="1" ht="62.25" customHeight="1" x14ac:dyDescent="1.35">
      <c r="B75" s="351">
        <v>15</v>
      </c>
      <c r="C75" s="406">
        <f>+B75</f>
        <v>15</v>
      </c>
      <c r="D75" s="407" t="s">
        <v>436</v>
      </c>
      <c r="E75" s="111"/>
      <c r="F75" s="111" t="s">
        <v>35</v>
      </c>
      <c r="G75" s="106" t="s">
        <v>435</v>
      </c>
      <c r="H75" s="111"/>
      <c r="I75" s="111" t="s">
        <v>38</v>
      </c>
      <c r="J75" s="113">
        <v>38.729999999999997</v>
      </c>
      <c r="K75" s="130">
        <v>58</v>
      </c>
      <c r="L75" s="101" t="s">
        <v>17</v>
      </c>
      <c r="M75" s="214">
        <v>40</v>
      </c>
      <c r="N75" s="214">
        <v>30</v>
      </c>
      <c r="O75" s="214">
        <v>30</v>
      </c>
      <c r="P75" s="214">
        <v>40</v>
      </c>
      <c r="Q75" s="214">
        <v>40</v>
      </c>
      <c r="R75" s="214">
        <v>50</v>
      </c>
      <c r="S75" s="214">
        <v>38</v>
      </c>
      <c r="T75" s="214">
        <v>35</v>
      </c>
      <c r="U75" s="214">
        <v>25</v>
      </c>
      <c r="V75" s="214"/>
      <c r="W75" s="214"/>
      <c r="X75" s="123">
        <f>+IF(H76="s",0,IF(AA75=0,0,IF(COUNTA(M75:W75)=AK77+0.25,SUMIF($C:$C,B75,$AA:$AA)/AK77,SUMIF($C:$C,B75,$AA:$AA)/(COUNTA(M75:W75)))))</f>
        <v>37.485714285714288</v>
      </c>
      <c r="Y75" s="466"/>
      <c r="Z75" s="534"/>
      <c r="AA75" s="134">
        <f t="shared" si="54"/>
        <v>328</v>
      </c>
      <c r="AB75" s="354">
        <f>+AA75+AC75</f>
        <v>2664</v>
      </c>
      <c r="AC75" s="354">
        <v>2336</v>
      </c>
      <c r="AD75" s="355">
        <f>+AB74-AB75</f>
        <v>648</v>
      </c>
      <c r="AE75" s="131">
        <f>+IF(((AA76+(AA77/2))*60)=0,"",(J75*AA75)/((AA76+(AA77/2))*60))</f>
        <v>0.60644181883279624</v>
      </c>
      <c r="AF75" s="347">
        <f>+AA76+AA77/2</f>
        <v>349.125</v>
      </c>
      <c r="AG75" s="347">
        <f t="shared" si="1"/>
        <v>349.07499999999999</v>
      </c>
      <c r="AH75" s="341">
        <f t="shared" si="2"/>
        <v>20947.5</v>
      </c>
      <c r="AI75" s="341">
        <f>+AA75*J75</f>
        <v>12703.439999999999</v>
      </c>
      <c r="AJ75" s="356">
        <f>+AA75-(AF75*K75/K77)</f>
        <v>-154.125</v>
      </c>
      <c r="AK75" s="348"/>
      <c r="AL75" s="349"/>
      <c r="AM75" s="341"/>
      <c r="AN75" s="341"/>
      <c r="AO75" s="341"/>
      <c r="AP75" s="341"/>
      <c r="AQ75" s="339">
        <f t="shared" si="6"/>
        <v>-292.75</v>
      </c>
      <c r="AR75" s="434">
        <v>1.5</v>
      </c>
      <c r="AT75" s="390">
        <v>822</v>
      </c>
      <c r="AV75" s="390">
        <f t="shared" ref="AV75" si="55">+AT75-AD75</f>
        <v>174</v>
      </c>
      <c r="AW75" s="535" t="s">
        <v>473</v>
      </c>
      <c r="AX75" s="535"/>
      <c r="AY75" s="535"/>
      <c r="AZ75" s="535"/>
      <c r="BA75" s="535"/>
      <c r="BB75" s="535"/>
      <c r="BC75" s="535"/>
      <c r="BD75" s="535"/>
      <c r="BE75" s="535"/>
      <c r="BF75" s="535"/>
    </row>
    <row r="76" spans="2:59" s="98" customFormat="1" ht="62.25" customHeight="1" x14ac:dyDescent="0.9">
      <c r="B76" s="357">
        <f>+B75</f>
        <v>15</v>
      </c>
      <c r="C76" s="408"/>
      <c r="D76" s="184"/>
      <c r="E76" s="111">
        <f>+B75</f>
        <v>15</v>
      </c>
      <c r="F76" s="412"/>
      <c r="G76" s="113">
        <f>+IFERROR(IF(K77=0,0,IF((LOOKUP(2,1/(M76:W76&lt;&gt;""),M76:W76)-K77)&lt;0,0,IF(K77=0,"",LOOKUP(2,1/(M76:W76&lt;&gt;""),M76:W76)-K77))),0)</f>
        <v>0</v>
      </c>
      <c r="H76" s="411" t="s">
        <v>412</v>
      </c>
      <c r="I76" s="113"/>
      <c r="J76" s="113">
        <v>1</v>
      </c>
      <c r="K76" s="114" t="s">
        <v>22</v>
      </c>
      <c r="L76" s="102" t="s">
        <v>18</v>
      </c>
      <c r="M76" s="448">
        <v>35</v>
      </c>
      <c r="N76" s="448">
        <v>38</v>
      </c>
      <c r="O76" s="448">
        <v>39</v>
      </c>
      <c r="P76" s="448">
        <v>39</v>
      </c>
      <c r="Q76" s="448">
        <v>40</v>
      </c>
      <c r="R76" s="448">
        <v>41</v>
      </c>
      <c r="S76" s="448">
        <v>41</v>
      </c>
      <c r="T76" s="448">
        <v>41</v>
      </c>
      <c r="U76" s="448">
        <v>41</v>
      </c>
      <c r="V76" s="448"/>
      <c r="W76" s="448"/>
      <c r="X76" s="160">
        <f>+IF(H76="l",IF(COUNTA(M75:W75)=AK77+0.25,AA75-K75*AK77,AA75-(K75*COUNTA(M75:W75))),IF(H76="s",0,IF(COUNTA(M75:W75)=AK77+0.25,SUMIF($C:$C,B75,$AA:$AA)-K75*AK77,SUMIF($C:$C,B75,$AA:$AA)-K75*COUNTA(M75:W75))))</f>
        <v>-179.5</v>
      </c>
      <c r="Y76" s="466"/>
      <c r="Z76" s="534"/>
      <c r="AA76" s="462">
        <f t="shared" ref="AA76:AA77" si="56">+SUM(M76:W76)-U76*0.25</f>
        <v>344.75</v>
      </c>
      <c r="AB76" s="360"/>
      <c r="AC76" s="360"/>
      <c r="AD76" s="362"/>
      <c r="AE76" s="363"/>
      <c r="AF76" s="346"/>
      <c r="AG76" s="347">
        <f t="shared" si="1"/>
        <v>0</v>
      </c>
      <c r="AH76" s="341">
        <f t="shared" si="2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344.75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9" s="98" customFormat="1" ht="62.25" customHeight="1" thickBot="1" x14ac:dyDescent="0.95">
      <c r="B77" s="364">
        <f>+B75</f>
        <v>15</v>
      </c>
      <c r="C77" s="410"/>
      <c r="D77" s="174" t="s">
        <v>93</v>
      </c>
      <c r="E77" s="175">
        <f>+E76+100</f>
        <v>115</v>
      </c>
      <c r="F77" s="175"/>
      <c r="G77" s="444">
        <f>+SUMPRODUCT((M76:W76&lt;&gt;"")*(M76:W76&lt;&gt;0)*(M76:W76-K77))</f>
        <v>-23</v>
      </c>
      <c r="H77" s="117"/>
      <c r="I77" s="442"/>
      <c r="J77" s="165">
        <f>+IF(K77="","",IF(K75=0,"",(K75*J75)/(K77*60)))</f>
        <v>0.89140476190476181</v>
      </c>
      <c r="K77" s="118">
        <v>42</v>
      </c>
      <c r="L77" s="104" t="s">
        <v>19</v>
      </c>
      <c r="M77" s="216">
        <v>1</v>
      </c>
      <c r="N77" s="216">
        <v>1</v>
      </c>
      <c r="O77" s="216">
        <v>1</v>
      </c>
      <c r="P77" s="216">
        <v>1</v>
      </c>
      <c r="Q77" s="216">
        <v>1</v>
      </c>
      <c r="R77" s="216">
        <v>1</v>
      </c>
      <c r="S77" s="216">
        <v>1</v>
      </c>
      <c r="T77" s="216">
        <v>1</v>
      </c>
      <c r="U77" s="216">
        <v>1</v>
      </c>
      <c r="V77" s="216"/>
      <c r="W77" s="216"/>
      <c r="X77" s="173"/>
      <c r="Y77" s="467">
        <v>15.46</v>
      </c>
      <c r="Z77" s="365">
        <v>15.46</v>
      </c>
      <c r="AA77" s="465">
        <f t="shared" si="56"/>
        <v>8.75</v>
      </c>
      <c r="AB77" s="367"/>
      <c r="AC77" s="367"/>
      <c r="AD77" s="368">
        <f>+IFERROR(AD75/(K75*$AQ$3),"")</f>
        <v>1.276847290640394</v>
      </c>
      <c r="AE77" s="369"/>
      <c r="AF77" s="347"/>
      <c r="AG77" s="347">
        <f t="shared" si="1"/>
        <v>0</v>
      </c>
      <c r="AH77" s="341">
        <f t="shared" si="2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8.75</v>
      </c>
      <c r="AM77" s="341">
        <f>+AL77-AA77</f>
        <v>0</v>
      </c>
      <c r="AN77" s="341"/>
      <c r="AO77" s="341"/>
      <c r="AP77" s="341"/>
      <c r="AQ77" s="369"/>
      <c r="AR77" s="434"/>
      <c r="AT77" s="390">
        <v>1.619704433497537</v>
      </c>
      <c r="AV77" s="390"/>
    </row>
    <row r="78" spans="2:59" s="98" customFormat="1" ht="62.25" customHeight="1" thickTop="1" x14ac:dyDescent="0.9">
      <c r="B78" s="373">
        <f>+B79</f>
        <v>16</v>
      </c>
      <c r="C78" s="405"/>
      <c r="D78" s="106"/>
      <c r="E78" s="106"/>
      <c r="F78" s="106"/>
      <c r="G78" s="439" t="str">
        <f>+G79</f>
        <v>2158-755-712</v>
      </c>
      <c r="H78" s="106"/>
      <c r="I78" s="106"/>
      <c r="J78" s="107" t="s">
        <v>20</v>
      </c>
      <c r="K78" s="108" t="s">
        <v>23</v>
      </c>
      <c r="L78" s="100" t="s">
        <v>21</v>
      </c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48"/>
      <c r="X78" s="447" t="str">
        <f t="shared" ref="X78" si="57">IF(AQ79="","",SUM(M78:W78)-(-(AQ79-SUM(M78:W78))/$AQ$3)*SUM($M$2:$W$2))</f>
        <v/>
      </c>
      <c r="Y78" s="466"/>
      <c r="Z78" s="533">
        <f>+X80</f>
        <v>-78</v>
      </c>
      <c r="AA78" s="447">
        <f t="shared" si="54"/>
        <v>0</v>
      </c>
      <c r="AB78" s="343">
        <f>+AC78+AA78</f>
        <v>3661</v>
      </c>
      <c r="AC78" s="343">
        <v>3661</v>
      </c>
      <c r="AD78" s="344"/>
      <c r="AE78" s="345"/>
      <c r="AF78" s="346"/>
      <c r="AG78" s="347">
        <f t="shared" si="1"/>
        <v>0</v>
      </c>
      <c r="AH78" s="341">
        <f t="shared" si="2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9" s="98" customFormat="1" ht="62.25" customHeight="1" x14ac:dyDescent="0.9">
      <c r="B79" s="374">
        <v>16</v>
      </c>
      <c r="C79" s="406">
        <f>+B79</f>
        <v>16</v>
      </c>
      <c r="D79" s="407" t="s">
        <v>431</v>
      </c>
      <c r="E79" s="111"/>
      <c r="F79" s="111" t="s">
        <v>35</v>
      </c>
      <c r="G79" s="106" t="s">
        <v>432</v>
      </c>
      <c r="H79" s="111"/>
      <c r="I79" s="111" t="s">
        <v>33</v>
      </c>
      <c r="J79" s="113">
        <v>51.42</v>
      </c>
      <c r="K79" s="130">
        <v>52</v>
      </c>
      <c r="L79" s="101" t="s">
        <v>17</v>
      </c>
      <c r="M79" s="214">
        <v>27</v>
      </c>
      <c r="N79" s="214">
        <v>52</v>
      </c>
      <c r="O79" s="214">
        <v>52</v>
      </c>
      <c r="P79" s="214">
        <v>52</v>
      </c>
      <c r="Q79" s="214">
        <v>52</v>
      </c>
      <c r="R79" s="214">
        <v>50</v>
      </c>
      <c r="S79" s="214">
        <v>52</v>
      </c>
      <c r="T79" s="214">
        <v>20</v>
      </c>
      <c r="U79" s="214">
        <v>20</v>
      </c>
      <c r="V79" s="214"/>
      <c r="W79" s="214"/>
      <c r="X79" s="123">
        <f>+IF(H80="s",0,IF(AA79=0,0,IF(COUNTA(M79:W79)=AK81+0.25,SUMIF($C:$C,B79,$AA:$AA)/AK81,SUMIF($C:$C,B79,$AA:$AA)/(COUNTA(M79:W79)))))</f>
        <v>43.085714285714289</v>
      </c>
      <c r="Y79" s="466"/>
      <c r="Z79" s="534"/>
      <c r="AA79" s="134">
        <f t="shared" si="54"/>
        <v>377</v>
      </c>
      <c r="AB79" s="354">
        <f>+AA79+AC79</f>
        <v>3607</v>
      </c>
      <c r="AC79" s="354">
        <v>3230</v>
      </c>
      <c r="AD79" s="355">
        <f>+AB78-AB79</f>
        <v>54</v>
      </c>
      <c r="AE79" s="131">
        <f>+IF(((AA80+(AA81/2))*60)=0,"",(J79*AA79)/((AA80+(AA81/2))*60))</f>
        <v>1.1674399277326106</v>
      </c>
      <c r="AF79" s="347">
        <f>+AA80+AA81/2</f>
        <v>276.75</v>
      </c>
      <c r="AG79" s="347">
        <f t="shared" si="1"/>
        <v>276.45</v>
      </c>
      <c r="AH79" s="341">
        <f t="shared" si="2"/>
        <v>16605</v>
      </c>
      <c r="AI79" s="341">
        <f>+AA79*J79</f>
        <v>19385.34</v>
      </c>
      <c r="AJ79" s="356">
        <f>+AA79-(AF79*K79/K81)</f>
        <v>94.823529411764696</v>
      </c>
      <c r="AK79" s="348"/>
      <c r="AL79" s="349"/>
      <c r="AM79" s="341"/>
      <c r="AN79" s="341"/>
      <c r="AO79" s="341"/>
      <c r="AP79" s="341"/>
      <c r="AQ79" s="339"/>
      <c r="AR79" s="434"/>
      <c r="AT79" s="390">
        <v>431</v>
      </c>
      <c r="AV79" s="390">
        <f t="shared" ref="AV79" si="58">+AT79-AD79</f>
        <v>377</v>
      </c>
      <c r="AW79" s="536"/>
      <c r="AX79" s="536"/>
      <c r="AY79" s="536"/>
      <c r="AZ79" s="536"/>
      <c r="BA79" s="536"/>
      <c r="BB79" s="536"/>
      <c r="BC79" s="536"/>
      <c r="BD79" s="536"/>
      <c r="BE79" s="536"/>
      <c r="BF79" s="536"/>
      <c r="BG79" s="536"/>
    </row>
    <row r="80" spans="2:59" s="98" customFormat="1" ht="62.25" customHeight="1" x14ac:dyDescent="0.9">
      <c r="B80" s="357">
        <f>+B79</f>
        <v>16</v>
      </c>
      <c r="C80" s="408"/>
      <c r="D80" s="184"/>
      <c r="E80" s="111">
        <f>+B79</f>
        <v>16</v>
      </c>
      <c r="F80" s="409"/>
      <c r="G80" s="113">
        <f>+IFERROR(IF(K81=0,0,IF((LOOKUP(2,1/(M80:W80&lt;&gt;""),M80:W80)-K81)&lt;0,0,IF(K81=0,"",LOOKUP(2,1/(M80:W80&lt;&gt;""),M80:W80)-K81))),0)</f>
        <v>0</v>
      </c>
      <c r="H80" s="411" t="s">
        <v>413</v>
      </c>
      <c r="I80" s="113"/>
      <c r="J80" s="113"/>
      <c r="K80" s="114" t="s">
        <v>22</v>
      </c>
      <c r="L80" s="102" t="s">
        <v>18</v>
      </c>
      <c r="M80" s="448">
        <v>49</v>
      </c>
      <c r="N80" s="448">
        <v>44</v>
      </c>
      <c r="O80" s="448">
        <v>35</v>
      </c>
      <c r="P80" s="448">
        <v>30</v>
      </c>
      <c r="Q80" s="448">
        <v>25</v>
      </c>
      <c r="R80" s="448">
        <v>25</v>
      </c>
      <c r="S80" s="448">
        <v>25</v>
      </c>
      <c r="T80" s="448">
        <v>25</v>
      </c>
      <c r="U80" s="448">
        <v>25</v>
      </c>
      <c r="V80" s="448"/>
      <c r="W80" s="448"/>
      <c r="X80" s="160">
        <f>+IF(H80="l",IF(COUNTA(M79:W79)=AK81+0.25,AA79-K79*AK81,AA79-(K79*COUNTA(M79:W79))),IF(H80="s",0,IF(COUNTA(M79:W79)=AK81+0.25,SUMIF($C:$C,B79,$AA:$AA)-K79*AK81,SUMIF($C:$C,B79,$AA:$AA)-K79*COUNTA(M79:W79))))</f>
        <v>-78</v>
      </c>
      <c r="Y80" s="466"/>
      <c r="Z80" s="534"/>
      <c r="AA80" s="462">
        <f t="shared" ref="AA80:AA81" si="59">+SUM(M80:W80)-U80*0.25</f>
        <v>276.75</v>
      </c>
      <c r="AB80" s="360"/>
      <c r="AC80" s="360"/>
      <c r="AD80" s="362"/>
      <c r="AE80" s="363"/>
      <c r="AF80" s="346"/>
      <c r="AG80" s="347">
        <f t="shared" si="1"/>
        <v>0</v>
      </c>
      <c r="AH80" s="341">
        <f t="shared" si="2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276.75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59" s="98" customFormat="1" ht="62.25" customHeight="1" thickBot="1" x14ac:dyDescent="0.95">
      <c r="B81" s="375">
        <f>+B79</f>
        <v>16</v>
      </c>
      <c r="C81" s="410"/>
      <c r="D81" s="413" t="s">
        <v>152</v>
      </c>
      <c r="E81" s="175">
        <f>+E80+100</f>
        <v>116</v>
      </c>
      <c r="F81" s="175"/>
      <c r="G81" s="444">
        <f>+SUMPRODUCT((M80:W80&lt;&gt;"")*(M80:W80&lt;&gt;0)*(M80:W80-K81))</f>
        <v>-176</v>
      </c>
      <c r="H81" s="117"/>
      <c r="I81" s="442"/>
      <c r="J81" s="165">
        <f>+IF(K81="","",IF(K79=0,"",(K79*J79)/(K81*60)))</f>
        <v>0.87380392156862752</v>
      </c>
      <c r="K81" s="118">
        <v>51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>
        <v>18.93</v>
      </c>
      <c r="Z81" s="365">
        <v>18.93</v>
      </c>
      <c r="AA81" s="465">
        <f t="shared" si="59"/>
        <v>0</v>
      </c>
      <c r="AB81" s="367"/>
      <c r="AC81" s="367"/>
      <c r="AD81" s="368">
        <f>+IFERROR(AD79/(K79*$AQ$3),"")</f>
        <v>0.11868131868131868</v>
      </c>
      <c r="AE81" s="369"/>
      <c r="AF81" s="347"/>
      <c r="AG81" s="347">
        <f t="shared" si="1"/>
        <v>0</v>
      </c>
      <c r="AH81" s="341">
        <f t="shared" si="2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0.94725274725274722</v>
      </c>
      <c r="AV81" s="390"/>
    </row>
    <row r="82" spans="2:59" s="98" customFormat="1" ht="62.25" customHeight="1" thickTop="1" x14ac:dyDescent="0.9">
      <c r="B82" s="373">
        <f>+B83</f>
        <v>16</v>
      </c>
      <c r="C82" s="405"/>
      <c r="D82" s="106"/>
      <c r="E82" s="106"/>
      <c r="F82" s="106"/>
      <c r="G82" s="439" t="str">
        <f>+G83</f>
        <v>Cheristina-blanc</v>
      </c>
      <c r="H82" s="106"/>
      <c r="I82" s="106"/>
      <c r="J82" s="107" t="s">
        <v>20</v>
      </c>
      <c r="K82" s="108" t="s">
        <v>23</v>
      </c>
      <c r="L82" s="100" t="s">
        <v>21</v>
      </c>
      <c r="M82" s="448"/>
      <c r="N82" s="448"/>
      <c r="O82" s="448">
        <v>60</v>
      </c>
      <c r="P82" s="448">
        <v>60</v>
      </c>
      <c r="Q82" s="448">
        <v>60</v>
      </c>
      <c r="R82" s="448">
        <v>60</v>
      </c>
      <c r="S82" s="448"/>
      <c r="T82" s="448"/>
      <c r="U82" s="448"/>
      <c r="V82" s="448"/>
      <c r="W82" s="448"/>
      <c r="X82" s="447">
        <f t="shared" ref="X82" si="60">IF(AQ83="","",SUM(M82:W82)-(-(AQ83-SUM(M82:W82))/$AQ$3)*SUM($M$2:$W$2))</f>
        <v>240</v>
      </c>
      <c r="Y82" s="466"/>
      <c r="Z82" s="533">
        <f>+X84</f>
        <v>-140</v>
      </c>
      <c r="AA82" s="447">
        <f t="shared" si="54"/>
        <v>240</v>
      </c>
      <c r="AB82" s="343">
        <f>+AC82+AA82</f>
        <v>480</v>
      </c>
      <c r="AC82" s="343">
        <v>240</v>
      </c>
      <c r="AD82" s="344"/>
      <c r="AE82" s="345"/>
      <c r="AF82" s="346"/>
      <c r="AG82" s="347">
        <f t="shared" si="1"/>
        <v>0</v>
      </c>
      <c r="AH82" s="341">
        <f t="shared" si="2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59" s="98" customFormat="1" ht="62.25" customHeight="1" x14ac:dyDescent="0.9">
      <c r="B83" s="374">
        <v>16</v>
      </c>
      <c r="C83" s="406">
        <f>+B83</f>
        <v>16</v>
      </c>
      <c r="D83" s="407" t="s">
        <v>474</v>
      </c>
      <c r="E83" s="111"/>
      <c r="F83" s="111" t="s">
        <v>475</v>
      </c>
      <c r="G83" s="106" t="s">
        <v>476</v>
      </c>
      <c r="H83" s="111"/>
      <c r="I83" s="111" t="s">
        <v>477</v>
      </c>
      <c r="J83" s="113">
        <v>21.04</v>
      </c>
      <c r="K83" s="130">
        <v>140</v>
      </c>
      <c r="L83" s="101" t="s">
        <v>17</v>
      </c>
      <c r="M83" s="214"/>
      <c r="N83" s="214"/>
      <c r="O83" s="214"/>
      <c r="P83" s="214"/>
      <c r="Q83" s="214"/>
      <c r="R83" s="214"/>
      <c r="S83" s="214"/>
      <c r="T83" s="214"/>
      <c r="U83" s="214">
        <v>0</v>
      </c>
      <c r="V83" s="214"/>
      <c r="W83" s="214"/>
      <c r="X83" s="123">
        <f>+IF(H84="s",0,IF(AA83=0,0,IF(COUNTA(M83:W83)=AK85+0.25,SUMIF($C:$C,B83,$AA:$AA)/AK85,SUMIF($C:$C,B83,$AA:$AA)/(COUNTA(M83:W83)))))</f>
        <v>0</v>
      </c>
      <c r="Y83" s="466"/>
      <c r="Z83" s="534"/>
      <c r="AA83" s="134">
        <f t="shared" si="54"/>
        <v>0</v>
      </c>
      <c r="AB83" s="354">
        <f>+AA83+AC83</f>
        <v>0</v>
      </c>
      <c r="AC83" s="354">
        <v>0</v>
      </c>
      <c r="AD83" s="355">
        <f>+AB82-AB83</f>
        <v>480</v>
      </c>
      <c r="AE83" s="131">
        <f>+IF(((AA84+(AA85/2))*60)=0,"",(J83*AA83)/((AA84+(AA85/2))*60))</f>
        <v>0</v>
      </c>
      <c r="AF83" s="347">
        <f>+AA84+AA85/2</f>
        <v>89</v>
      </c>
      <c r="AG83" s="347">
        <f t="shared" si="1"/>
        <v>89</v>
      </c>
      <c r="AH83" s="341">
        <f t="shared" si="2"/>
        <v>5340</v>
      </c>
      <c r="AI83" s="341">
        <f>+AA83*J83</f>
        <v>0</v>
      </c>
      <c r="AJ83" s="356">
        <f>+AA83-(AF83*K83/K85)</f>
        <v>-222.5</v>
      </c>
      <c r="AK83" s="348"/>
      <c r="AL83" s="349"/>
      <c r="AM83" s="341"/>
      <c r="AN83" s="341"/>
      <c r="AO83" s="341"/>
      <c r="AP83" s="341"/>
      <c r="AQ83" s="339">
        <f>-200+AA82</f>
        <v>40</v>
      </c>
      <c r="AR83" s="434"/>
      <c r="AT83" s="390">
        <v>240</v>
      </c>
      <c r="AV83" s="390">
        <f t="shared" ref="AV83" si="61">+AT83-AD83</f>
        <v>-240</v>
      </c>
      <c r="AW83" s="536"/>
      <c r="AX83" s="536"/>
      <c r="AY83" s="536"/>
      <c r="AZ83" s="536"/>
      <c r="BA83" s="536"/>
      <c r="BB83" s="536"/>
      <c r="BC83" s="536"/>
      <c r="BD83" s="536"/>
      <c r="BE83" s="536"/>
      <c r="BF83" s="536"/>
      <c r="BG83" s="536"/>
    </row>
    <row r="84" spans="2:59" s="98" customFormat="1" ht="62.25" customHeight="1" x14ac:dyDescent="0.9">
      <c r="B84" s="357">
        <f>+B83</f>
        <v>16</v>
      </c>
      <c r="C84" s="408"/>
      <c r="D84" s="184"/>
      <c r="E84" s="111">
        <f>+B83</f>
        <v>16</v>
      </c>
      <c r="F84" s="409"/>
      <c r="G84" s="113">
        <f>+IFERROR(IF(K85=0,0,IF((LOOKUP(2,1/(M84:W84&lt;&gt;""),M84:W84)-K85)&lt;0,0,IF(K85=0,"",LOOKUP(2,1/(M84:W84&lt;&gt;""),M84:W84)-K85))),0)</f>
        <v>0</v>
      </c>
      <c r="H84" s="411" t="s">
        <v>413</v>
      </c>
      <c r="I84" s="113"/>
      <c r="J84" s="113"/>
      <c r="K84" s="114" t="s">
        <v>22</v>
      </c>
      <c r="L84" s="102" t="s">
        <v>18</v>
      </c>
      <c r="M84" s="448">
        <v>1</v>
      </c>
      <c r="N84" s="448">
        <v>6</v>
      </c>
      <c r="O84" s="448">
        <v>10</v>
      </c>
      <c r="P84" s="448">
        <v>15</v>
      </c>
      <c r="Q84" s="448">
        <v>12</v>
      </c>
      <c r="R84" s="448">
        <v>12</v>
      </c>
      <c r="S84" s="448">
        <v>12</v>
      </c>
      <c r="T84" s="448">
        <v>12</v>
      </c>
      <c r="U84" s="448">
        <v>12</v>
      </c>
      <c r="V84" s="448"/>
      <c r="W84" s="448"/>
      <c r="X84" s="160">
        <f>+IF(H84="l",IF(COUNTA(M83:W83)=AK85+0.25,AA83-K83*AK85,AA83-(K83*COUNTA(M83:W83))),IF(H84="s",0,IF(COUNTA(M83:W83)=AK85+0.25,SUMIF($C:$C,B83,$AA:$AA)-K83*AK85,SUMIF($C:$C,B83,$AA:$AA)-K83*COUNTA(M83:W83))))</f>
        <v>-140</v>
      </c>
      <c r="Y84" s="466"/>
      <c r="Z84" s="534"/>
      <c r="AA84" s="462">
        <f t="shared" ref="AA84:AA85" si="62">+SUM(M84:W84)-U84*0.25</f>
        <v>89</v>
      </c>
      <c r="AB84" s="360"/>
      <c r="AC84" s="360"/>
      <c r="AD84" s="362"/>
      <c r="AE84" s="363"/>
      <c r="AF84" s="346"/>
      <c r="AG84" s="347">
        <f t="shared" si="1"/>
        <v>0</v>
      </c>
      <c r="AH84" s="341">
        <f t="shared" si="2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89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59" s="98" customFormat="1" ht="62.25" customHeight="1" thickBot="1" x14ac:dyDescent="0.95">
      <c r="B85" s="375">
        <f>+B83</f>
        <v>16</v>
      </c>
      <c r="C85" s="410"/>
      <c r="D85" s="413" t="s">
        <v>152</v>
      </c>
      <c r="E85" s="175">
        <f>+E84+100</f>
        <v>116</v>
      </c>
      <c r="F85" s="175"/>
      <c r="G85" s="444">
        <f>+SUMPRODUCT((M84:W84&lt;&gt;"")*(M84:W84&lt;&gt;0)*(M84:W84-K85))</f>
        <v>-412</v>
      </c>
      <c r="H85" s="117"/>
      <c r="I85" s="442"/>
      <c r="J85" s="165">
        <f>+IF(K85="","",IF(K83=0,"",(K83*J83)/(K85*60)))</f>
        <v>0.87666666666666659</v>
      </c>
      <c r="K85" s="118">
        <v>56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>
        <v>0</v>
      </c>
      <c r="Z85" s="371">
        <f>+IF(COUNTA(M83:W83)=$AJ$4+0.25,$AJ$4-(AA83/K83),COUNTA(M83:W83)-(AA83/K83))+Y85</f>
        <v>1</v>
      </c>
      <c r="AA85" s="465">
        <f t="shared" si="62"/>
        <v>0</v>
      </c>
      <c r="AB85" s="367"/>
      <c r="AC85" s="367"/>
      <c r="AD85" s="368">
        <f>+IFERROR(AD83/(K83*$AQ$3),"")</f>
        <v>0.39183673469387753</v>
      </c>
      <c r="AE85" s="369"/>
      <c r="AF85" s="347"/>
      <c r="AG85" s="347">
        <f t="shared" si="1"/>
        <v>0</v>
      </c>
      <c r="AH85" s="341">
        <f t="shared" si="2"/>
        <v>0</v>
      </c>
      <c r="AI85" s="341"/>
      <c r="AJ85" s="356"/>
      <c r="AK85" s="370">
        <f>+$AJ$4</f>
        <v>8.75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0.19591836734693877</v>
      </c>
      <c r="AV85" s="390"/>
    </row>
    <row r="86" spans="2:59" s="98" customFormat="1" ht="62.25" customHeight="1" thickTop="1" x14ac:dyDescent="0.9">
      <c r="B86" s="342">
        <f>+B87</f>
        <v>17</v>
      </c>
      <c r="C86" s="405"/>
      <c r="D86" s="106"/>
      <c r="E86" s="106"/>
      <c r="F86" s="106"/>
      <c r="G86" s="439" t="str">
        <f>+G87</f>
        <v>2215-518-800</v>
      </c>
      <c r="H86" s="106"/>
      <c r="I86" s="111"/>
      <c r="J86" s="107" t="s">
        <v>20</v>
      </c>
      <c r="K86" s="108" t="s">
        <v>23</v>
      </c>
      <c r="L86" s="100" t="s">
        <v>21</v>
      </c>
      <c r="M86" s="448"/>
      <c r="N86" s="448"/>
      <c r="O86" s="448"/>
      <c r="P86" s="448"/>
      <c r="Q86" s="448"/>
      <c r="R86" s="448"/>
      <c r="S86" s="448"/>
      <c r="T86" s="448"/>
      <c r="U86" s="448"/>
      <c r="V86" s="448"/>
      <c r="W86" s="448"/>
      <c r="X86" s="447" t="str">
        <f t="shared" ref="X86" si="63">IF(AQ87="","",SUM(M86:W86)-(-(AQ87-SUM(M86:W86))/$AQ$3)*SUM($M$2:$W$2))</f>
        <v/>
      </c>
      <c r="Y86" s="466"/>
      <c r="Z86" s="533">
        <f>+X88</f>
        <v>-225</v>
      </c>
      <c r="AA86" s="447">
        <f t="shared" si="54"/>
        <v>0</v>
      </c>
      <c r="AB86" s="343">
        <f>+AC86+AA86</f>
        <v>8553</v>
      </c>
      <c r="AC86" s="343">
        <v>8553</v>
      </c>
      <c r="AD86" s="344"/>
      <c r="AE86" s="345"/>
      <c r="AF86" s="346"/>
      <c r="AG86" s="347">
        <f t="shared" si="1"/>
        <v>0</v>
      </c>
      <c r="AH86" s="341">
        <f t="shared" si="2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59" s="98" customFormat="1" ht="62.25" customHeight="1" x14ac:dyDescent="0.9">
      <c r="B87" s="351">
        <v>17</v>
      </c>
      <c r="C87" s="406">
        <f>+B87</f>
        <v>17</v>
      </c>
      <c r="D87" s="407" t="s">
        <v>423</v>
      </c>
      <c r="E87" s="111"/>
      <c r="F87" s="111" t="s">
        <v>35</v>
      </c>
      <c r="G87" s="106" t="s">
        <v>424</v>
      </c>
      <c r="H87" s="111"/>
      <c r="I87" s="111" t="s">
        <v>33</v>
      </c>
      <c r="J87" s="113">
        <v>33.42</v>
      </c>
      <c r="K87" s="130">
        <v>60</v>
      </c>
      <c r="L87" s="101" t="s">
        <v>17</v>
      </c>
      <c r="M87" s="214">
        <v>30</v>
      </c>
      <c r="N87" s="214">
        <v>40</v>
      </c>
      <c r="O87" s="214">
        <v>60</v>
      </c>
      <c r="P87" s="214">
        <v>50</v>
      </c>
      <c r="Q87" s="214">
        <v>30</v>
      </c>
      <c r="R87" s="214">
        <v>30</v>
      </c>
      <c r="S87" s="214">
        <v>20</v>
      </c>
      <c r="T87" s="214">
        <v>20</v>
      </c>
      <c r="U87" s="214">
        <v>20</v>
      </c>
      <c r="V87" s="214"/>
      <c r="W87" s="214"/>
      <c r="X87" s="123">
        <f>+IF(H88="s",0,IF(AA87=0,0,IF(COUNTA(M87:W87)=AK89+0.25,SUMIF($C:$C,B87,$AA:$AA)/AK89,SUMIF($C:$C,B87,$AA:$AA)/(COUNTA(M87:W87)))))</f>
        <v>34.285714285714285</v>
      </c>
      <c r="Y87" s="466"/>
      <c r="Z87" s="534"/>
      <c r="AA87" s="134">
        <f t="shared" si="54"/>
        <v>300</v>
      </c>
      <c r="AB87" s="354">
        <f>+AA87+AC87</f>
        <v>8395</v>
      </c>
      <c r="AC87" s="354">
        <v>8095</v>
      </c>
      <c r="AD87" s="355">
        <f>+AB86-AB87</f>
        <v>158</v>
      </c>
      <c r="AE87" s="131">
        <f>+IF(((AA88+(AA89/2))*60)=0,"",(J87*AA87)/((AA88+(AA89/2))*60))</f>
        <v>0.94808510638297872</v>
      </c>
      <c r="AF87" s="347">
        <f>+AA88+AA89/2</f>
        <v>176.25</v>
      </c>
      <c r="AG87" s="347">
        <f t="shared" si="1"/>
        <v>176.15</v>
      </c>
      <c r="AH87" s="341">
        <f t="shared" si="2"/>
        <v>10575</v>
      </c>
      <c r="AI87" s="341">
        <f>+AA87*J87</f>
        <v>10026</v>
      </c>
      <c r="AJ87" s="356">
        <f>+AA87-(AF87*K87/K89)</f>
        <v>21.71052631578948</v>
      </c>
      <c r="AK87" s="348"/>
      <c r="AL87" s="349"/>
      <c r="AM87" s="341"/>
      <c r="AN87" s="341"/>
      <c r="AO87" s="341"/>
      <c r="AP87" s="341"/>
      <c r="AQ87" s="339"/>
      <c r="AR87" s="434"/>
      <c r="AT87" s="390">
        <v>418</v>
      </c>
      <c r="AV87" s="390">
        <f t="shared" ref="AV87" si="64">+AT87-AD87</f>
        <v>260</v>
      </c>
    </row>
    <row r="88" spans="2:59" s="98" customFormat="1" ht="62.25" customHeight="1" x14ac:dyDescent="0.9">
      <c r="B88" s="357">
        <f>+B87</f>
        <v>17</v>
      </c>
      <c r="C88" s="408"/>
      <c r="D88" s="184"/>
      <c r="E88" s="111">
        <f>+B87</f>
        <v>17</v>
      </c>
      <c r="F88" s="409"/>
      <c r="G88" s="113">
        <f>+IFERROR(IF(K89=0,0,IF((LOOKUP(2,1/(M88:W88&lt;&gt;""),M88:W88)-K89)&lt;0,0,IF(K89=0,"",LOOKUP(2,1/(M88:W88&lt;&gt;""),M88:W88)-K89))),0)</f>
        <v>0</v>
      </c>
      <c r="H88" s="411"/>
      <c r="I88" s="113"/>
      <c r="J88" s="113">
        <v>1</v>
      </c>
      <c r="K88" s="114" t="s">
        <v>22</v>
      </c>
      <c r="L88" s="102" t="s">
        <v>18</v>
      </c>
      <c r="M88" s="448">
        <v>35</v>
      </c>
      <c r="N88" s="448">
        <v>30</v>
      </c>
      <c r="O88" s="448">
        <v>25</v>
      </c>
      <c r="P88" s="448">
        <v>15</v>
      </c>
      <c r="Q88" s="448">
        <v>15</v>
      </c>
      <c r="R88" s="448">
        <v>15</v>
      </c>
      <c r="S88" s="448">
        <v>15</v>
      </c>
      <c r="T88" s="448">
        <v>15</v>
      </c>
      <c r="U88" s="448">
        <v>15</v>
      </c>
      <c r="V88" s="448"/>
      <c r="W88" s="448"/>
      <c r="X88" s="160">
        <f>+IF(H88="l",IF(COUNTA(M87:W87)=AK89+0.25,AA87-K87*AK89,AA87-(K87*COUNTA(M87:W87))),IF(H88="s",0,IF(COUNTA(M87:W87)=AK89+0.25,SUMIF($C:$C,B87,$AA:$AA)-K87*AK89,SUMIF($C:$C,B87,$AA:$AA)-K87*COUNTA(M87:W87))))</f>
        <v>-225</v>
      </c>
      <c r="Y88" s="466"/>
      <c r="Z88" s="534"/>
      <c r="AA88" s="462">
        <f t="shared" ref="AA88:AA89" si="65">+SUM(M88:W88)-U88*0.25</f>
        <v>176.25</v>
      </c>
      <c r="AB88" s="360"/>
      <c r="AC88" s="360"/>
      <c r="AD88" s="362"/>
      <c r="AE88" s="363"/>
      <c r="AF88" s="346"/>
      <c r="AG88" s="347">
        <f t="shared" si="1"/>
        <v>0</v>
      </c>
      <c r="AH88" s="341">
        <f t="shared" si="2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176.25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59" s="98" customFormat="1" ht="62.25" customHeight="1" thickBot="1" x14ac:dyDescent="0.95">
      <c r="B89" s="364">
        <f>+B87</f>
        <v>17</v>
      </c>
      <c r="C89" s="410"/>
      <c r="D89" s="174" t="s">
        <v>379</v>
      </c>
      <c r="E89" s="175">
        <f>+E88+100</f>
        <v>117</v>
      </c>
      <c r="F89" s="175"/>
      <c r="G89" s="444"/>
      <c r="H89" s="117"/>
      <c r="I89" s="442"/>
      <c r="J89" s="165">
        <f>+IF(K89="","",IF(K87=0,"",(K87*J87)/(K89*60)))</f>
        <v>0.8794736842105263</v>
      </c>
      <c r="K89" s="118">
        <v>38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15.5</v>
      </c>
      <c r="Z89" s="365">
        <v>15.5</v>
      </c>
      <c r="AA89" s="465">
        <f t="shared" si="65"/>
        <v>0</v>
      </c>
      <c r="AB89" s="367"/>
      <c r="AC89" s="367"/>
      <c r="AD89" s="368">
        <f>+IFERROR(AD87/(K87*$AQ$3),"")</f>
        <v>0.30095238095238097</v>
      </c>
      <c r="AE89" s="369"/>
      <c r="AF89" s="347"/>
      <c r="AG89" s="347">
        <f t="shared" si="1"/>
        <v>0</v>
      </c>
      <c r="AH89" s="341">
        <f t="shared" si="2"/>
        <v>0</v>
      </c>
      <c r="AI89" s="341"/>
      <c r="AJ89" s="356"/>
      <c r="AK89" s="370">
        <f>+$AJ$4</f>
        <v>8.75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0.79619047619047623</v>
      </c>
      <c r="AV89" s="390"/>
    </row>
    <row r="90" spans="2:59" s="98" customFormat="1" ht="62.25" customHeight="1" thickTop="1" x14ac:dyDescent="0.9">
      <c r="B90" s="342">
        <f>+B91</f>
        <v>17</v>
      </c>
      <c r="C90" s="405"/>
      <c r="D90" s="106"/>
      <c r="E90" s="106"/>
      <c r="F90" s="106"/>
      <c r="G90" s="439" t="str">
        <f>+G91</f>
        <v>2259-600-730</v>
      </c>
      <c r="H90" s="106"/>
      <c r="I90" s="111"/>
      <c r="J90" s="107" t="s">
        <v>20</v>
      </c>
      <c r="K90" s="108" t="s">
        <v>23</v>
      </c>
      <c r="L90" s="100" t="s">
        <v>21</v>
      </c>
      <c r="M90" s="448"/>
      <c r="N90" s="448"/>
      <c r="O90" s="448">
        <v>180</v>
      </c>
      <c r="P90" s="448"/>
      <c r="Q90" s="448"/>
      <c r="R90" s="448"/>
      <c r="S90" s="448"/>
      <c r="T90" s="448"/>
      <c r="U90" s="448"/>
      <c r="V90" s="448"/>
      <c r="W90" s="448"/>
      <c r="X90" s="447">
        <f t="shared" ref="X90" si="66">IF(AQ91="","",SUM(M90:W90)-(-(AQ91-SUM(M90:W90))/$AQ$3)*SUM($M$2:$W$2))</f>
        <v>180</v>
      </c>
      <c r="Y90" s="466"/>
      <c r="Z90" s="533">
        <f>+X92</f>
        <v>0</v>
      </c>
      <c r="AA90" s="447">
        <f t="shared" si="54"/>
        <v>180</v>
      </c>
      <c r="AB90" s="343">
        <f>+AC90+AA90</f>
        <v>420</v>
      </c>
      <c r="AC90" s="343">
        <v>240</v>
      </c>
      <c r="AD90" s="344"/>
      <c r="AE90" s="345"/>
      <c r="AF90" s="346"/>
      <c r="AG90" s="347">
        <f t="shared" ref="AG90:AG97" si="67">TRUNC(AF90)+(AF90-TRUNC(AF90))*60/100</f>
        <v>0</v>
      </c>
      <c r="AH90" s="341">
        <f t="shared" ref="AH90:AH97" si="68">+AF90*60</f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59" s="98" customFormat="1" ht="62.25" customHeight="1" x14ac:dyDescent="1.35">
      <c r="B91" s="351">
        <v>17</v>
      </c>
      <c r="C91" s="406">
        <f>+B91</f>
        <v>17</v>
      </c>
      <c r="D91" s="407" t="s">
        <v>441</v>
      </c>
      <c r="E91" s="111"/>
      <c r="F91" s="111" t="s">
        <v>35</v>
      </c>
      <c r="G91" s="106" t="s">
        <v>442</v>
      </c>
      <c r="H91" s="111"/>
      <c r="I91" s="111" t="s">
        <v>33</v>
      </c>
      <c r="J91" s="113">
        <v>35.68</v>
      </c>
      <c r="K91" s="130">
        <v>65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>+IF(H92="s",0,IF(AA91=0,0,IF(COUNTA(M91:W91)=AK93+0.25,SUMIF($C:$C,B91,$AA:$AA)/AK93,SUMIF($C:$C,B91,$AA:$AA)/(COUNTA(M91:W91)))))</f>
        <v>0</v>
      </c>
      <c r="Y91" s="466"/>
      <c r="Z91" s="534"/>
      <c r="AA91" s="134">
        <f t="shared" si="54"/>
        <v>0</v>
      </c>
      <c r="AB91" s="354">
        <f>+AA91+AC91</f>
        <v>0</v>
      </c>
      <c r="AC91" s="354">
        <v>0</v>
      </c>
      <c r="AD91" s="355">
        <f>+AB90-AB91</f>
        <v>420</v>
      </c>
      <c r="AE91" s="131">
        <f>+IF(((AA92+(AA93/2))*60)=0,"",(J91*AA91)/((AA92+(AA93/2))*60))</f>
        <v>0</v>
      </c>
      <c r="AF91" s="347">
        <f>+AA92+AA93/2</f>
        <v>133.25</v>
      </c>
      <c r="AG91" s="347">
        <f t="shared" si="67"/>
        <v>133.15</v>
      </c>
      <c r="AH91" s="341">
        <f t="shared" si="68"/>
        <v>7995</v>
      </c>
      <c r="AI91" s="341">
        <f>+AA91*J91</f>
        <v>0</v>
      </c>
      <c r="AJ91" s="356">
        <f>+AA91-(AF91*K91/K93)</f>
        <v>-196.84659090909091</v>
      </c>
      <c r="AK91" s="348"/>
      <c r="AL91" s="349"/>
      <c r="AM91" s="341"/>
      <c r="AN91" s="341"/>
      <c r="AO91" s="341"/>
      <c r="AP91" s="341"/>
      <c r="AQ91" s="339">
        <f>-300+AA90</f>
        <v>-120</v>
      </c>
      <c r="AR91" s="434"/>
      <c r="AT91" s="390">
        <v>240</v>
      </c>
      <c r="AV91" s="390">
        <f t="shared" ref="AV91" si="69">+AT91-AD91</f>
        <v>-180</v>
      </c>
      <c r="AW91" s="535" t="s">
        <v>473</v>
      </c>
      <c r="AX91" s="535"/>
      <c r="AY91" s="535"/>
      <c r="AZ91" s="535"/>
      <c r="BA91" s="535"/>
      <c r="BB91" s="535"/>
      <c r="BC91" s="535"/>
      <c r="BD91" s="535"/>
      <c r="BE91" s="535"/>
      <c r="BF91" s="535"/>
    </row>
    <row r="92" spans="2:59" s="98" customFormat="1" ht="62.25" customHeight="1" x14ac:dyDescent="0.9">
      <c r="B92" s="357">
        <f>+B91</f>
        <v>17</v>
      </c>
      <c r="C92" s="408"/>
      <c r="D92" s="184"/>
      <c r="E92" s="111">
        <f>+B91</f>
        <v>17</v>
      </c>
      <c r="F92" s="409"/>
      <c r="G92" s="113">
        <f>+IFERROR(IF(K93=0,0,IF((LOOKUP(2,1/(M92:W92&lt;&gt;""),M92:W92)-K93)&lt;0,0,IF(K93=0,"",LOOKUP(2,1/(M92:W92&lt;&gt;""),M92:W92)-K93))),0)</f>
        <v>0</v>
      </c>
      <c r="H92" s="411" t="s">
        <v>413</v>
      </c>
      <c r="I92" s="113"/>
      <c r="J92" s="113"/>
      <c r="K92" s="114" t="s">
        <v>22</v>
      </c>
      <c r="L92" s="102" t="s">
        <v>18</v>
      </c>
      <c r="M92" s="448">
        <v>3</v>
      </c>
      <c r="N92" s="448">
        <v>8</v>
      </c>
      <c r="O92" s="448">
        <v>13</v>
      </c>
      <c r="P92" s="448">
        <v>19</v>
      </c>
      <c r="Q92" s="448">
        <v>19</v>
      </c>
      <c r="R92" s="448">
        <v>19</v>
      </c>
      <c r="S92" s="448">
        <v>19</v>
      </c>
      <c r="T92" s="448">
        <v>19</v>
      </c>
      <c r="U92" s="448">
        <v>19</v>
      </c>
      <c r="V92" s="448"/>
      <c r="W92" s="448"/>
      <c r="X92" s="160">
        <f>+IF(H92="l",IF(COUNTA(M91:W91)=AK93+0.25,AA91-K91*AK93,AA91-(K91*COUNTA(M91:W91))),IF(H92="s",0,IF(COUNTA(M91:W91)=AK93+0.25,SUMIF($C:$C,B91,$AA:$AA)-K91*AK93,SUMIF($C:$C,B91,$AA:$AA)-K91*COUNTA(M91:W91))))</f>
        <v>0</v>
      </c>
      <c r="Y92" s="466"/>
      <c r="Z92" s="534"/>
      <c r="AA92" s="462">
        <f t="shared" ref="AA92:AA93" si="70">+SUM(M92:W92)-U92*0.25</f>
        <v>133.25</v>
      </c>
      <c r="AB92" s="360"/>
      <c r="AC92" s="360"/>
      <c r="AD92" s="362"/>
      <c r="AE92" s="363"/>
      <c r="AF92" s="346"/>
      <c r="AG92" s="347">
        <f t="shared" si="67"/>
        <v>0</v>
      </c>
      <c r="AH92" s="341">
        <f t="shared" si="68"/>
        <v>0</v>
      </c>
      <c r="AI92" s="341"/>
      <c r="AJ92" s="341"/>
      <c r="AK92" s="348"/>
      <c r="AL92" s="349">
        <f>+IF(AK93=7.75,SUM(M92:S92)+T92*0.75,IF(AK93=8,SUM(M92:T92),IF(AK93=7.25,SUM(M92:S92)+T92*0.25,IF(AK93=8.25,SUM(M92:T92)+U92*0.25,IF(AK93=8.75,SUM(M92:T92)+U92*0.75,0)))))</f>
        <v>133.25</v>
      </c>
      <c r="AM92" s="341">
        <f>+AL92-AA92</f>
        <v>0</v>
      </c>
      <c r="AN92" s="341"/>
      <c r="AO92" s="341"/>
      <c r="AP92" s="341"/>
      <c r="AQ92" s="438"/>
      <c r="AR92" s="434"/>
      <c r="AT92" s="390"/>
      <c r="AV92" s="390"/>
    </row>
    <row r="93" spans="2:59" s="98" customFormat="1" ht="62.25" customHeight="1" thickBot="1" x14ac:dyDescent="0.95">
      <c r="B93" s="364">
        <f>+B91</f>
        <v>17</v>
      </c>
      <c r="C93" s="410"/>
      <c r="D93" s="174" t="s">
        <v>379</v>
      </c>
      <c r="E93" s="175">
        <f>+E92+100</f>
        <v>117</v>
      </c>
      <c r="F93" s="175"/>
      <c r="G93" s="444"/>
      <c r="H93" s="117"/>
      <c r="I93" s="442"/>
      <c r="J93" s="165">
        <f>+IF(K93="","",IF(K91=0,"",(K91*J91)/(K93*60)))</f>
        <v>0.87848484848484842</v>
      </c>
      <c r="K93" s="118">
        <v>44</v>
      </c>
      <c r="L93" s="104" t="s">
        <v>19</v>
      </c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173"/>
      <c r="Y93" s="467">
        <v>0</v>
      </c>
      <c r="Z93" s="371">
        <f>+IF(COUNTA(M91:W91)=$AJ$4+0.25,$AJ$4-(AA91/K91),COUNTA(M91:W91)-(AA91/K91))+Y93</f>
        <v>0</v>
      </c>
      <c r="AA93" s="465">
        <f t="shared" si="70"/>
        <v>0</v>
      </c>
      <c r="AB93" s="367"/>
      <c r="AC93" s="367"/>
      <c r="AD93" s="368">
        <f>+IFERROR(AD91/(K91*$AQ$3),"")</f>
        <v>0.7384615384615385</v>
      </c>
      <c r="AE93" s="369"/>
      <c r="AF93" s="347"/>
      <c r="AG93" s="347">
        <f t="shared" si="67"/>
        <v>0</v>
      </c>
      <c r="AH93" s="341">
        <f t="shared" si="68"/>
        <v>0</v>
      </c>
      <c r="AI93" s="341"/>
      <c r="AJ93" s="356"/>
      <c r="AK93" s="370">
        <f>+$AJ$4</f>
        <v>8.75</v>
      </c>
      <c r="AL93" s="349">
        <f>+IF(AK93=7.75,SUM(M93:S93)+T93*0.75,IF(AK93=8,SUM(M93:T93),IF(AK93=7.25,SUM(M93:S93)+T93*0.25,IF(AK93=8.25,SUM(M93:T93)+U93*0.25,IF(AK93=8.75,SUM(M93:T93)+U93*0.75,0)))))</f>
        <v>0</v>
      </c>
      <c r="AM93" s="341">
        <f>+AL93-AA93</f>
        <v>0</v>
      </c>
      <c r="AN93" s="341"/>
      <c r="AO93" s="341"/>
      <c r="AP93" s="341"/>
      <c r="AQ93" s="369"/>
      <c r="AR93" s="434"/>
      <c r="AT93" s="390">
        <v>0.42197802197802198</v>
      </c>
      <c r="AV93" s="390"/>
    </row>
    <row r="94" spans="2:59" s="98" customFormat="1" ht="62.25" customHeight="1" thickTop="1" x14ac:dyDescent="0.9">
      <c r="B94" s="373">
        <f>+B95</f>
        <v>18</v>
      </c>
      <c r="C94" s="405"/>
      <c r="D94" s="106"/>
      <c r="E94" s="106"/>
      <c r="F94" s="106"/>
      <c r="G94" s="439" t="str">
        <f>+G95</f>
        <v>2158-755-712</v>
      </c>
      <c r="H94" s="106"/>
      <c r="I94" s="106"/>
      <c r="J94" s="107" t="s">
        <v>20</v>
      </c>
      <c r="K94" s="108" t="s">
        <v>23</v>
      </c>
      <c r="L94" s="100" t="s">
        <v>21</v>
      </c>
      <c r="M94" s="448">
        <v>180</v>
      </c>
      <c r="N94" s="448"/>
      <c r="O94" s="448"/>
      <c r="P94" s="448">
        <v>120</v>
      </c>
      <c r="Q94" s="448"/>
      <c r="R94" s="448">
        <v>60</v>
      </c>
      <c r="S94" s="448">
        <v>120</v>
      </c>
      <c r="T94" s="448"/>
      <c r="U94" s="448"/>
      <c r="V94" s="448"/>
      <c r="W94" s="448"/>
      <c r="X94" s="447">
        <f t="shared" ref="X94" si="71">IF(AQ95="","",SUM(M94:W94)-(-(AQ95-SUM(M94:W94))/$AQ$3)*SUM($M$2:$W$2))</f>
        <v>480</v>
      </c>
      <c r="Y94" s="466"/>
      <c r="Z94" s="533">
        <f>+X96</f>
        <v>-79</v>
      </c>
      <c r="AA94" s="447">
        <f t="shared" si="54"/>
        <v>480</v>
      </c>
      <c r="AB94" s="343">
        <f>+AC94+AA94</f>
        <v>4993</v>
      </c>
      <c r="AC94" s="343">
        <v>4513</v>
      </c>
      <c r="AD94" s="344"/>
      <c r="AE94" s="345"/>
      <c r="AF94" s="346"/>
      <c r="AG94" s="347">
        <f t="shared" si="67"/>
        <v>0</v>
      </c>
      <c r="AH94" s="341">
        <f t="shared" si="68"/>
        <v>0</v>
      </c>
      <c r="AI94" s="341"/>
      <c r="AJ94" s="341"/>
      <c r="AK94" s="348"/>
      <c r="AL94" s="349"/>
      <c r="AM94" s="341"/>
      <c r="AN94" s="341"/>
      <c r="AO94" s="341"/>
      <c r="AP94" s="341"/>
      <c r="AQ94" s="350"/>
      <c r="AR94" s="434"/>
      <c r="AT94" s="390"/>
      <c r="AV94" s="390"/>
    </row>
    <row r="95" spans="2:59" s="98" customFormat="1" ht="62.25" customHeight="1" x14ac:dyDescent="0.9">
      <c r="B95" s="374">
        <v>18</v>
      </c>
      <c r="C95" s="406">
        <f>+B95</f>
        <v>18</v>
      </c>
      <c r="D95" s="407" t="s">
        <v>431</v>
      </c>
      <c r="E95" s="111"/>
      <c r="F95" s="111" t="s">
        <v>35</v>
      </c>
      <c r="G95" s="106" t="s">
        <v>432</v>
      </c>
      <c r="H95" s="111"/>
      <c r="I95" s="111" t="s">
        <v>33</v>
      </c>
      <c r="J95" s="113">
        <v>51.42</v>
      </c>
      <c r="K95" s="130">
        <v>52</v>
      </c>
      <c r="L95" s="101" t="s">
        <v>17</v>
      </c>
      <c r="M95" s="214">
        <v>26</v>
      </c>
      <c r="N95" s="214">
        <v>52</v>
      </c>
      <c r="O95" s="214">
        <v>52</v>
      </c>
      <c r="P95" s="214">
        <v>30</v>
      </c>
      <c r="Q95" s="214">
        <v>40</v>
      </c>
      <c r="R95" s="214">
        <v>52</v>
      </c>
      <c r="S95" s="214">
        <v>52</v>
      </c>
      <c r="T95" s="214">
        <v>52</v>
      </c>
      <c r="U95" s="214">
        <v>20</v>
      </c>
      <c r="V95" s="214"/>
      <c r="W95" s="214"/>
      <c r="X95" s="123">
        <f>+IF(H96="s",0,IF(AA95=0,0,IF(COUNTA(M95:W95)=AK97+0.25,SUMIF($C:$C,B95,$AA:$AA)/AK97,SUMIF($C:$C,B95,$AA:$AA)/(COUNTA(M95:W95)))))</f>
        <v>42.971428571428568</v>
      </c>
      <c r="Y95" s="466"/>
      <c r="Z95" s="534"/>
      <c r="AA95" s="134">
        <f t="shared" si="54"/>
        <v>376</v>
      </c>
      <c r="AB95" s="354">
        <f>+AA95+AC95</f>
        <v>4199</v>
      </c>
      <c r="AC95" s="354">
        <v>3823</v>
      </c>
      <c r="AD95" s="355">
        <f>+AB94-AB95</f>
        <v>794</v>
      </c>
      <c r="AE95" s="131">
        <f>+IF(((AA96+(AA97/2))*60)=0,"",(J95*AA95)/((AA96+(AA97/2))*60))</f>
        <v>0.72208851540616259</v>
      </c>
      <c r="AF95" s="347">
        <f>+AA96+AA97/2</f>
        <v>446.25</v>
      </c>
      <c r="AG95" s="347">
        <f t="shared" si="67"/>
        <v>446.15</v>
      </c>
      <c r="AH95" s="341">
        <f t="shared" si="68"/>
        <v>26775</v>
      </c>
      <c r="AI95" s="341">
        <f>+AA95*J95</f>
        <v>19333.920000000002</v>
      </c>
      <c r="AJ95" s="356">
        <f>+AA95-(AF95*K95/K97)</f>
        <v>-79</v>
      </c>
      <c r="AK95" s="348"/>
      <c r="AL95" s="349"/>
      <c r="AM95" s="341"/>
      <c r="AN95" s="341"/>
      <c r="AO95" s="341"/>
      <c r="AP95" s="341"/>
      <c r="AQ95" s="339">
        <f t="shared" ref="AQ95" si="72">IF(AR95=0,"",AT95-(($AQ$3*K95)+($AQ$3*K95)*AR95)+AA94)</f>
        <v>32.5</v>
      </c>
      <c r="AR95" s="434">
        <v>1.5</v>
      </c>
      <c r="AT95" s="390">
        <v>690</v>
      </c>
      <c r="AV95" s="390">
        <f t="shared" ref="AV95" si="73">+AT95-AD95</f>
        <v>-104</v>
      </c>
    </row>
    <row r="96" spans="2:59" s="98" customFormat="1" ht="62.25" customHeight="1" x14ac:dyDescent="0.9">
      <c r="B96" s="357">
        <f>+B95</f>
        <v>18</v>
      </c>
      <c r="C96" s="408"/>
      <c r="D96" s="184"/>
      <c r="E96" s="111">
        <f>+B95</f>
        <v>18</v>
      </c>
      <c r="F96" s="409"/>
      <c r="G96" s="113">
        <f>+IFERROR(IF(K97=0,0,IF((LOOKUP(2,1/(M96:W96&lt;&gt;""),M96:W96)-K97)&lt;0,0,IF(K97=0,"",LOOKUP(2,1/(M96:W96&lt;&gt;""),M96:W96)-K97))),0)</f>
        <v>0</v>
      </c>
      <c r="H96" s="411"/>
      <c r="I96" s="113"/>
      <c r="J96" s="113"/>
      <c r="K96" s="114" t="s">
        <v>22</v>
      </c>
      <c r="L96" s="102" t="s">
        <v>18</v>
      </c>
      <c r="M96" s="448">
        <v>50</v>
      </c>
      <c r="N96" s="448">
        <v>50</v>
      </c>
      <c r="O96" s="448">
        <v>50</v>
      </c>
      <c r="P96" s="448">
        <v>50</v>
      </c>
      <c r="Q96" s="448">
        <v>50</v>
      </c>
      <c r="R96" s="448">
        <v>50</v>
      </c>
      <c r="S96" s="448">
        <v>50</v>
      </c>
      <c r="T96" s="448">
        <v>50</v>
      </c>
      <c r="U96" s="448">
        <v>50</v>
      </c>
      <c r="V96" s="448"/>
      <c r="W96" s="448"/>
      <c r="X96" s="160">
        <f>+IF(H96="l",IF(COUNTA(M95:W95)=AK97+0.25,AA95-K95*AK97,AA95-(K95*COUNTA(M95:W95))),IF(H96="s",0,IF(COUNTA(M95:W95)=AK97+0.25,SUMIF($C:$C,B95,$AA:$AA)-K95*AK97,SUMIF($C:$C,B95,$AA:$AA)-K95*COUNTA(M95:W95))))</f>
        <v>-79</v>
      </c>
      <c r="Y96" s="466"/>
      <c r="Z96" s="534"/>
      <c r="AA96" s="462">
        <f t="shared" ref="AA96:AA97" si="74">+SUM(M96:W96)-U96*0.25</f>
        <v>437.5</v>
      </c>
      <c r="AB96" s="361"/>
      <c r="AC96" s="361"/>
      <c r="AD96" s="362"/>
      <c r="AE96" s="363"/>
      <c r="AF96" s="346"/>
      <c r="AG96" s="347">
        <f t="shared" si="67"/>
        <v>0</v>
      </c>
      <c r="AH96" s="341">
        <f t="shared" si="68"/>
        <v>0</v>
      </c>
      <c r="AI96" s="341"/>
      <c r="AJ96" s="341"/>
      <c r="AK96" s="348"/>
      <c r="AL96" s="349">
        <f>+IF(AK97=7.75,SUM(M96:S96)+T96*0.75,IF(AK97=8,SUM(M96:T96),IF(AK97=7.25,SUM(M96:S96)+T96*0.25,IF(AK97=8.25,SUM(M96:T96)+U96*0.25,IF(AK97=8.75,SUM(M96:T96)+U96*0.75,0)))))</f>
        <v>437.5</v>
      </c>
      <c r="AM96" s="341">
        <f>+AL96-AA96</f>
        <v>0</v>
      </c>
      <c r="AN96" s="341"/>
      <c r="AO96" s="341"/>
      <c r="AP96" s="341"/>
      <c r="AQ96" s="438"/>
      <c r="AR96" s="434"/>
      <c r="AT96" s="390"/>
      <c r="AV96" s="390"/>
    </row>
    <row r="97" spans="2:48" s="98" customFormat="1" ht="62.25" customHeight="1" thickBot="1" x14ac:dyDescent="0.95">
      <c r="B97" s="375">
        <f>+B95</f>
        <v>18</v>
      </c>
      <c r="C97" s="410"/>
      <c r="D97" s="413" t="s">
        <v>308</v>
      </c>
      <c r="E97" s="175">
        <f>+E96+100</f>
        <v>118</v>
      </c>
      <c r="F97" s="175"/>
      <c r="G97" s="444">
        <f>+SUMPRODUCT((M96:W96&lt;&gt;"")*(M96:W96&lt;&gt;0)*(M96:W96-K97))</f>
        <v>-9</v>
      </c>
      <c r="H97" s="117"/>
      <c r="I97" s="442"/>
      <c r="J97" s="165">
        <f>+IF(K97="","",IF(K95=0,"",(K95*J95)/(K97*60)))</f>
        <v>0.87380392156862752</v>
      </c>
      <c r="K97" s="118">
        <v>51</v>
      </c>
      <c r="L97" s="104" t="s">
        <v>19</v>
      </c>
      <c r="M97" s="216">
        <v>2</v>
      </c>
      <c r="N97" s="216">
        <v>2</v>
      </c>
      <c r="O97" s="216">
        <v>2</v>
      </c>
      <c r="P97" s="216">
        <v>2</v>
      </c>
      <c r="Q97" s="216">
        <v>2</v>
      </c>
      <c r="R97" s="216">
        <v>2</v>
      </c>
      <c r="S97" s="216">
        <v>2</v>
      </c>
      <c r="T97" s="216">
        <v>2</v>
      </c>
      <c r="U97" s="216">
        <v>2</v>
      </c>
      <c r="V97" s="216"/>
      <c r="W97" s="216"/>
      <c r="X97" s="173"/>
      <c r="Y97" s="467">
        <v>28.44</v>
      </c>
      <c r="Z97" s="365">
        <v>28.44</v>
      </c>
      <c r="AA97" s="465">
        <f t="shared" si="74"/>
        <v>17.5</v>
      </c>
      <c r="AB97" s="367"/>
      <c r="AC97" s="367"/>
      <c r="AD97" s="368">
        <f>+IFERROR(AD95/(K95*$AQ$3),"")</f>
        <v>1.7450549450549451</v>
      </c>
      <c r="AE97" s="369"/>
      <c r="AF97" s="347"/>
      <c r="AG97" s="347">
        <f t="shared" si="67"/>
        <v>0</v>
      </c>
      <c r="AH97" s="341">
        <f t="shared" si="68"/>
        <v>0</v>
      </c>
      <c r="AI97" s="341"/>
      <c r="AJ97" s="356"/>
      <c r="AK97" s="370">
        <f>+$AJ$4</f>
        <v>8.75</v>
      </c>
      <c r="AL97" s="349">
        <f>+IF(AK97=7.75,SUM(M97:S97)+T97*0.75,IF(AK97=8,SUM(M97:T97),IF(AK97=7.25,SUM(M97:S97)+T97*0.25,IF(AK97=8.25,SUM(M97:T97)+U97*0.25,IF(AK97=8.75,SUM(M97:T97)+U97*0.75,0)))))</f>
        <v>17.5</v>
      </c>
      <c r="AM97" s="341">
        <f>+AL97-AA97</f>
        <v>0</v>
      </c>
      <c r="AN97" s="341"/>
      <c r="AO97" s="341"/>
      <c r="AP97" s="341"/>
      <c r="AQ97" s="369"/>
      <c r="AR97" s="434"/>
      <c r="AT97" s="390">
        <v>1.5164835164835164</v>
      </c>
      <c r="AV97" s="390"/>
    </row>
    <row r="98" spans="2:48" s="419" customFormat="1" ht="91.5" customHeight="1" thickTop="1" thickBot="1" x14ac:dyDescent="0.95">
      <c r="B98" s="414"/>
      <c r="C98" s="414"/>
      <c r="D98" s="415"/>
      <c r="E98" s="415"/>
      <c r="F98" s="415"/>
      <c r="G98" s="415"/>
      <c r="H98" s="415"/>
      <c r="I98" s="415"/>
      <c r="J98" s="415"/>
      <c r="K98" s="415"/>
      <c r="L98" s="416"/>
      <c r="M98" s="416"/>
      <c r="N98" s="416"/>
      <c r="O98" s="416"/>
      <c r="P98" s="416"/>
      <c r="Q98" s="416"/>
      <c r="R98" s="416"/>
      <c r="S98" s="416"/>
      <c r="T98" s="416"/>
      <c r="U98" s="416"/>
      <c r="V98" s="416"/>
      <c r="W98" s="416"/>
      <c r="X98" s="415"/>
      <c r="Y98" s="415"/>
      <c r="Z98" s="415"/>
      <c r="AA98" s="415"/>
      <c r="AB98" s="415"/>
      <c r="AC98" s="415"/>
      <c r="AD98" s="415"/>
      <c r="AE98" s="417"/>
      <c r="AF98" s="418"/>
      <c r="AG98" s="418"/>
      <c r="AK98" s="420"/>
      <c r="AL98" s="421"/>
      <c r="AR98" s="435"/>
    </row>
    <row r="99" spans="2:48" s="419" customFormat="1" ht="91.5" customHeight="1" thickTop="1" thickBot="1" x14ac:dyDescent="0.95">
      <c r="B99" s="414"/>
      <c r="C99" s="414"/>
      <c r="D99" s="415"/>
      <c r="E99" s="415"/>
      <c r="F99" s="415"/>
      <c r="G99" s="415"/>
      <c r="H99" s="415"/>
      <c r="I99" s="415"/>
      <c r="J99" s="415"/>
      <c r="K99" s="415"/>
      <c r="L99" s="378" t="s">
        <v>21</v>
      </c>
      <c r="M99" s="379">
        <f t="shared" ref="M99:W99" si="75">+SUMIF($L$6:$L$98,$L$99,M6:M98)</f>
        <v>1133</v>
      </c>
      <c r="N99" s="379">
        <f t="shared" si="75"/>
        <v>350</v>
      </c>
      <c r="O99" s="379">
        <f t="shared" si="75"/>
        <v>830</v>
      </c>
      <c r="P99" s="379">
        <f t="shared" si="75"/>
        <v>660</v>
      </c>
      <c r="Q99" s="379">
        <f t="shared" si="75"/>
        <v>421</v>
      </c>
      <c r="R99" s="379">
        <f t="shared" si="75"/>
        <v>685</v>
      </c>
      <c r="S99" s="379">
        <f t="shared" si="75"/>
        <v>788</v>
      </c>
      <c r="T99" s="379">
        <f t="shared" si="75"/>
        <v>0</v>
      </c>
      <c r="U99" s="379">
        <f t="shared" si="75"/>
        <v>0</v>
      </c>
      <c r="V99" s="379">
        <f t="shared" si="75"/>
        <v>0</v>
      </c>
      <c r="W99" s="379">
        <f t="shared" si="75"/>
        <v>0</v>
      </c>
      <c r="X99" s="332"/>
      <c r="Y99" s="332"/>
      <c r="Z99" s="537">
        <f>+SUM(M99:W99)</f>
        <v>4867</v>
      </c>
      <c r="AA99" s="538"/>
      <c r="AB99" s="415"/>
      <c r="AC99" s="415"/>
      <c r="AD99" s="415"/>
      <c r="AE99" s="417"/>
      <c r="AF99" s="418"/>
      <c r="AG99" s="418"/>
      <c r="AK99" s="420"/>
      <c r="AR99" s="435"/>
    </row>
    <row r="100" spans="2:48" s="419" customFormat="1" ht="91.5" customHeight="1" thickTop="1" thickBot="1" x14ac:dyDescent="0.95">
      <c r="B100" s="414"/>
      <c r="C100" s="414"/>
      <c r="D100" s="415"/>
      <c r="E100" s="415"/>
      <c r="F100" s="415"/>
      <c r="G100" s="415"/>
      <c r="H100" s="415"/>
      <c r="I100" s="415"/>
      <c r="J100" s="415"/>
      <c r="K100" s="415"/>
      <c r="L100" s="380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32"/>
      <c r="Y100" s="332"/>
      <c r="Z100" s="332"/>
      <c r="AA100" s="332"/>
      <c r="AB100" s="415"/>
      <c r="AC100" s="415"/>
      <c r="AD100" s="415"/>
      <c r="AE100" s="417"/>
      <c r="AF100" s="418"/>
      <c r="AG100" s="418"/>
      <c r="AK100" s="420"/>
      <c r="AR100" s="435"/>
    </row>
    <row r="101" spans="2:48" s="419" customFormat="1" ht="91.5" customHeight="1" thickTop="1" thickBot="1" x14ac:dyDescent="0.95">
      <c r="B101" s="414"/>
      <c r="C101" s="414"/>
      <c r="D101" s="415"/>
      <c r="E101" s="415"/>
      <c r="F101" s="415"/>
      <c r="G101" s="415"/>
      <c r="H101" s="415"/>
      <c r="I101" s="415"/>
      <c r="J101" s="415"/>
      <c r="K101" s="415"/>
      <c r="L101" s="378" t="s">
        <v>17</v>
      </c>
      <c r="M101" s="379">
        <f t="shared" ref="M101:W101" si="76">+SUMIF($L$6:$L$98,$L$101,M6:M98)</f>
        <v>511</v>
      </c>
      <c r="N101" s="379">
        <f t="shared" si="76"/>
        <v>579</v>
      </c>
      <c r="O101" s="379">
        <f t="shared" si="76"/>
        <v>594</v>
      </c>
      <c r="P101" s="379">
        <f t="shared" si="76"/>
        <v>568</v>
      </c>
      <c r="Q101" s="379">
        <f t="shared" si="76"/>
        <v>528</v>
      </c>
      <c r="R101" s="379">
        <f t="shared" si="76"/>
        <v>603</v>
      </c>
      <c r="S101" s="379">
        <f t="shared" si="76"/>
        <v>475</v>
      </c>
      <c r="T101" s="379">
        <f t="shared" si="76"/>
        <v>520</v>
      </c>
      <c r="U101" s="379">
        <f t="shared" si="76"/>
        <v>321</v>
      </c>
      <c r="V101" s="379">
        <f t="shared" si="76"/>
        <v>0</v>
      </c>
      <c r="W101" s="379">
        <f t="shared" si="76"/>
        <v>0</v>
      </c>
      <c r="X101" s="332"/>
      <c r="Y101" s="332"/>
      <c r="Z101" s="537">
        <f>+SUM(M101:W101)</f>
        <v>4699</v>
      </c>
      <c r="AA101" s="538"/>
      <c r="AB101" s="415"/>
      <c r="AC101" s="415"/>
      <c r="AD101" s="415"/>
      <c r="AE101" s="417"/>
      <c r="AF101" s="418"/>
      <c r="AG101" s="418"/>
      <c r="AK101" s="420"/>
      <c r="AR101" s="435"/>
    </row>
    <row r="102" spans="2:48" s="419" customFormat="1" ht="91.5" customHeight="1" thickTop="1" thickBot="1" x14ac:dyDescent="0.95">
      <c r="B102" s="414"/>
      <c r="C102" s="414"/>
      <c r="D102" s="415"/>
      <c r="E102" s="415"/>
      <c r="F102" s="415"/>
      <c r="G102" s="415"/>
      <c r="H102" s="415"/>
      <c r="I102" s="415"/>
      <c r="J102" s="415"/>
      <c r="K102" s="415"/>
      <c r="L102" s="380"/>
      <c r="M102" s="376"/>
      <c r="N102" s="376"/>
      <c r="O102" s="376"/>
      <c r="P102" s="376"/>
      <c r="Q102" s="376"/>
      <c r="R102" s="376"/>
      <c r="S102" s="376"/>
      <c r="T102" s="376"/>
      <c r="U102" s="376"/>
      <c r="V102" s="376"/>
      <c r="W102" s="376"/>
      <c r="X102" s="332"/>
      <c r="Y102" s="332"/>
      <c r="Z102" s="332"/>
      <c r="AA102" s="332"/>
      <c r="AB102" s="415"/>
      <c r="AC102" s="415"/>
      <c r="AD102" s="415"/>
      <c r="AE102" s="417"/>
      <c r="AF102" s="418"/>
      <c r="AG102" s="418"/>
      <c r="AK102" s="420"/>
      <c r="AR102" s="435"/>
    </row>
    <row r="103" spans="2:48" s="419" customFormat="1" ht="91.5" customHeight="1" thickTop="1" thickBot="1" x14ac:dyDescent="0.95">
      <c r="B103" s="414"/>
      <c r="C103" s="414"/>
      <c r="D103" s="422"/>
      <c r="E103" s="422"/>
      <c r="F103" s="422"/>
      <c r="G103" s="422"/>
      <c r="H103" s="422"/>
      <c r="I103" s="422"/>
      <c r="J103" s="423"/>
      <c r="K103" s="422"/>
      <c r="L103" s="378" t="s">
        <v>19</v>
      </c>
      <c r="M103" s="379">
        <f t="shared" ref="M103:W103" si="77">+SUMIF($L$6:$L$98,$L$103,M6:M98)</f>
        <v>9</v>
      </c>
      <c r="N103" s="379">
        <f t="shared" si="77"/>
        <v>9</v>
      </c>
      <c r="O103" s="379">
        <f t="shared" si="77"/>
        <v>9</v>
      </c>
      <c r="P103" s="379">
        <f t="shared" si="77"/>
        <v>9</v>
      </c>
      <c r="Q103" s="379">
        <f t="shared" si="77"/>
        <v>9</v>
      </c>
      <c r="R103" s="379">
        <f t="shared" si="77"/>
        <v>9</v>
      </c>
      <c r="S103" s="379">
        <f t="shared" si="77"/>
        <v>9</v>
      </c>
      <c r="T103" s="379">
        <f t="shared" si="77"/>
        <v>9</v>
      </c>
      <c r="U103" s="379">
        <f t="shared" si="77"/>
        <v>9</v>
      </c>
      <c r="V103" s="379">
        <f t="shared" si="77"/>
        <v>0</v>
      </c>
      <c r="W103" s="379">
        <f t="shared" si="77"/>
        <v>0</v>
      </c>
      <c r="X103" s="381"/>
      <c r="Y103" s="381"/>
      <c r="Z103" s="332"/>
      <c r="AA103" s="332"/>
      <c r="AB103" s="415"/>
      <c r="AC103" s="415"/>
      <c r="AD103" s="415"/>
      <c r="AE103" s="417"/>
      <c r="AF103" s="418"/>
      <c r="AG103" s="418"/>
      <c r="AK103" s="420"/>
      <c r="AR103" s="435"/>
    </row>
    <row r="104" spans="2:48" s="419" customFormat="1" ht="62.25" customHeight="1" thickTop="1" x14ac:dyDescent="0.9">
      <c r="B104" s="414"/>
      <c r="C104" s="414"/>
      <c r="D104" s="422"/>
      <c r="E104" s="422"/>
      <c r="F104" s="422"/>
      <c r="G104" s="422"/>
      <c r="H104" s="422"/>
      <c r="I104" s="424"/>
      <c r="J104" s="423"/>
      <c r="K104" s="422"/>
      <c r="L104" s="380"/>
      <c r="M104" s="382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32"/>
      <c r="Y104" s="332"/>
      <c r="Z104" s="332"/>
      <c r="AA104" s="332"/>
      <c r="AB104" s="415"/>
      <c r="AC104" s="415"/>
      <c r="AD104" s="425"/>
      <c r="AE104" s="417"/>
      <c r="AF104" s="418"/>
      <c r="AG104" s="418"/>
      <c r="AK104" s="420"/>
      <c r="AR104" s="435"/>
    </row>
    <row r="105" spans="2:48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84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91"/>
      <c r="AC105" s="91"/>
      <c r="AD105" s="91"/>
      <c r="AE105" s="95"/>
      <c r="AF105" s="158"/>
      <c r="AG105" s="158"/>
      <c r="AK105" s="183"/>
      <c r="AR105" s="434"/>
    </row>
    <row r="106" spans="2:48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85" t="s">
        <v>180</v>
      </c>
      <c r="M106" s="379">
        <f t="shared" ref="M106:W106" si="78">+IF(M109=0,0,SUMIFS($J$6:$J$98,$L$6:$L$98,$K$106))</f>
        <v>8</v>
      </c>
      <c r="N106" s="379">
        <f t="shared" si="78"/>
        <v>8</v>
      </c>
      <c r="O106" s="379">
        <f t="shared" si="78"/>
        <v>8</v>
      </c>
      <c r="P106" s="379">
        <f t="shared" si="78"/>
        <v>8</v>
      </c>
      <c r="Q106" s="379">
        <f t="shared" si="78"/>
        <v>8</v>
      </c>
      <c r="R106" s="379">
        <f t="shared" si="78"/>
        <v>8</v>
      </c>
      <c r="S106" s="379">
        <f t="shared" si="78"/>
        <v>8</v>
      </c>
      <c r="T106" s="379">
        <f t="shared" si="78"/>
        <v>8</v>
      </c>
      <c r="U106" s="379">
        <f t="shared" si="78"/>
        <v>8</v>
      </c>
      <c r="V106" s="379">
        <f t="shared" si="78"/>
        <v>0</v>
      </c>
      <c r="W106" s="379">
        <f t="shared" si="78"/>
        <v>0</v>
      </c>
      <c r="X106" s="383"/>
      <c r="Y106" s="383"/>
      <c r="Z106" s="340"/>
      <c r="AA106" s="340"/>
      <c r="AB106" s="91"/>
      <c r="AC106" s="91"/>
      <c r="AD106" s="91"/>
      <c r="AE106" s="95"/>
      <c r="AF106" s="158"/>
      <c r="AG106" s="158"/>
      <c r="AK106" s="183"/>
      <c r="AR106" s="434"/>
    </row>
    <row r="107" spans="2:48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84"/>
      <c r="M107" s="386"/>
      <c r="N107" s="386"/>
      <c r="O107" s="386"/>
      <c r="P107" s="386"/>
      <c r="Q107" s="386"/>
      <c r="R107" s="386"/>
      <c r="S107" s="386"/>
      <c r="T107" s="386"/>
      <c r="U107" s="386"/>
      <c r="V107" s="386"/>
      <c r="W107" s="386"/>
      <c r="X107" s="340"/>
      <c r="Y107" s="340"/>
      <c r="Z107" s="340"/>
      <c r="AA107" s="340"/>
      <c r="AB107" s="91"/>
      <c r="AC107" s="91"/>
      <c r="AD107" s="91"/>
      <c r="AE107" s="95"/>
      <c r="AF107" s="158"/>
      <c r="AG107" s="158"/>
      <c r="AK107" s="183"/>
      <c r="AR107" s="434"/>
    </row>
    <row r="108" spans="2:48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84"/>
      <c r="M108" s="340"/>
      <c r="N108" s="340"/>
      <c r="O108" s="340"/>
      <c r="P108" s="340"/>
      <c r="Q108" s="387"/>
      <c r="R108" s="387"/>
      <c r="S108" s="387"/>
      <c r="T108" s="387"/>
      <c r="U108" s="387"/>
      <c r="V108" s="387"/>
      <c r="W108" s="387"/>
      <c r="X108" s="340"/>
      <c r="Y108" s="340"/>
      <c r="Z108" s="340"/>
      <c r="AA108" s="340"/>
      <c r="AB108" s="91"/>
      <c r="AC108" s="91"/>
      <c r="AD108" s="91"/>
      <c r="AE108" s="95"/>
      <c r="AF108" s="158"/>
      <c r="AG108" s="158"/>
      <c r="AK108" s="183"/>
      <c r="AR108" s="434"/>
    </row>
    <row r="109" spans="2:48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85" t="s">
        <v>18</v>
      </c>
      <c r="M109" s="379">
        <f t="shared" ref="M109:W109" si="79">+SUMIF($L$6:$L$98,$L$109,M6:M98)</f>
        <v>623</v>
      </c>
      <c r="N109" s="379">
        <f t="shared" si="79"/>
        <v>630</v>
      </c>
      <c r="O109" s="379">
        <f t="shared" si="79"/>
        <v>628</v>
      </c>
      <c r="P109" s="379">
        <f t="shared" si="79"/>
        <v>617</v>
      </c>
      <c r="Q109" s="379">
        <f t="shared" si="79"/>
        <v>609</v>
      </c>
      <c r="R109" s="379">
        <f t="shared" si="79"/>
        <v>616</v>
      </c>
      <c r="S109" s="379">
        <f t="shared" si="79"/>
        <v>617</v>
      </c>
      <c r="T109" s="379">
        <f t="shared" si="79"/>
        <v>618</v>
      </c>
      <c r="U109" s="379">
        <f t="shared" si="79"/>
        <v>618</v>
      </c>
      <c r="V109" s="379">
        <f t="shared" si="79"/>
        <v>0</v>
      </c>
      <c r="W109" s="379">
        <f t="shared" si="79"/>
        <v>0</v>
      </c>
      <c r="X109" s="340"/>
      <c r="Y109" s="340"/>
      <c r="Z109" s="340"/>
      <c r="AA109" s="340"/>
      <c r="AB109" s="91"/>
      <c r="AC109" s="91"/>
      <c r="AD109" s="91"/>
      <c r="AE109" s="95"/>
      <c r="AF109" s="158"/>
      <c r="AG109" s="158"/>
      <c r="AK109" s="183"/>
      <c r="AR109" s="434"/>
    </row>
    <row r="110" spans="2:48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84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40"/>
      <c r="Y110" s="340"/>
      <c r="Z110" s="340"/>
      <c r="AA110" s="340"/>
      <c r="AB110" s="91"/>
      <c r="AC110" s="91"/>
      <c r="AD110" s="91"/>
      <c r="AE110" s="95"/>
      <c r="AF110" s="158"/>
      <c r="AG110" s="158"/>
      <c r="AK110" s="183"/>
      <c r="AR110" s="434"/>
    </row>
    <row r="111" spans="2:48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84"/>
      <c r="M111" s="340"/>
      <c r="N111" s="340"/>
      <c r="O111" s="340"/>
      <c r="P111" s="340"/>
      <c r="Q111" s="387"/>
      <c r="R111" s="387"/>
      <c r="S111" s="387"/>
      <c r="T111" s="387"/>
      <c r="U111" s="387"/>
      <c r="V111" s="387"/>
      <c r="W111" s="387"/>
      <c r="X111" s="340"/>
      <c r="Y111" s="340"/>
      <c r="Z111" s="340"/>
      <c r="AA111" s="340"/>
      <c r="AB111" s="91"/>
      <c r="AC111" s="91"/>
      <c r="AD111" s="91"/>
      <c r="AE111" s="95"/>
      <c r="AF111" s="158"/>
      <c r="AG111" s="158"/>
      <c r="AK111" s="183"/>
      <c r="AR111" s="434"/>
    </row>
    <row r="112" spans="2:48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85" t="s">
        <v>13</v>
      </c>
      <c r="M112" s="379">
        <f>+M109+M106+M103</f>
        <v>640</v>
      </c>
      <c r="N112" s="379">
        <f t="shared" ref="N112:W112" si="80">+N109+N106+N103</f>
        <v>647</v>
      </c>
      <c r="O112" s="379">
        <f t="shared" si="80"/>
        <v>645</v>
      </c>
      <c r="P112" s="379">
        <f t="shared" si="80"/>
        <v>634</v>
      </c>
      <c r="Q112" s="379">
        <f t="shared" si="80"/>
        <v>626</v>
      </c>
      <c r="R112" s="379">
        <f t="shared" si="80"/>
        <v>633</v>
      </c>
      <c r="S112" s="379">
        <f t="shared" si="80"/>
        <v>634</v>
      </c>
      <c r="T112" s="379">
        <f t="shared" si="80"/>
        <v>635</v>
      </c>
      <c r="U112" s="379">
        <f t="shared" si="80"/>
        <v>635</v>
      </c>
      <c r="V112" s="379">
        <f t="shared" si="80"/>
        <v>0</v>
      </c>
      <c r="W112" s="379">
        <f t="shared" si="80"/>
        <v>0</v>
      </c>
      <c r="X112" s="340"/>
      <c r="Y112" s="340"/>
      <c r="Z112" s="340"/>
      <c r="AA112" s="340"/>
      <c r="AB112" s="91"/>
      <c r="AC112" s="91"/>
      <c r="AD112" s="91"/>
      <c r="AE112" s="95"/>
      <c r="AF112" s="155"/>
      <c r="AG112" s="155"/>
      <c r="AK112" s="183"/>
      <c r="AR112" s="434"/>
    </row>
    <row r="113" spans="2:44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89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  <c r="AA113" s="340"/>
      <c r="AB113" s="91"/>
      <c r="AC113" s="91"/>
      <c r="AD113" s="91"/>
      <c r="AE113" s="95"/>
      <c r="AF113" s="158"/>
      <c r="AG113" s="158"/>
      <c r="AK113" s="183"/>
      <c r="AR113" s="434"/>
    </row>
    <row r="114" spans="2:44" x14ac:dyDescent="0.9">
      <c r="J114" s="91"/>
      <c r="K114" s="91"/>
      <c r="T114" s="515"/>
      <c r="U114" s="515"/>
      <c r="V114" s="515"/>
      <c r="AF114" s="158"/>
      <c r="AG114" s="158"/>
    </row>
    <row r="115" spans="2:44" ht="105" customHeight="1" x14ac:dyDescent="0.9">
      <c r="B115" s="426"/>
      <c r="AF115" s="158"/>
      <c r="AG115" s="158"/>
    </row>
    <row r="116" spans="2:44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/>
      <c r="AF116" s="158"/>
      <c r="AG116" s="158"/>
      <c r="AK116" s="183"/>
      <c r="AR116" s="434"/>
    </row>
    <row r="117" spans="2:44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8"/>
      <c r="AG117" s="158"/>
      <c r="AK117" s="183"/>
      <c r="AR117" s="434"/>
    </row>
    <row r="118" spans="2:44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8"/>
      <c r="AG118" s="158"/>
      <c r="AK118" s="183"/>
      <c r="AR118" s="434"/>
    </row>
    <row r="119" spans="2:44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8"/>
      <c r="AG119" s="158"/>
      <c r="AK119" s="183"/>
      <c r="AR119" s="434"/>
    </row>
    <row r="121" spans="2:44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22" spans="2:44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5"/>
      <c r="AG122" s="155"/>
      <c r="AH122" s="98"/>
      <c r="AI122" s="98"/>
      <c r="AJ122" s="98"/>
      <c r="AK122" s="183"/>
      <c r="AL122" s="91"/>
      <c r="AM122" s="91"/>
      <c r="AR122" s="243"/>
    </row>
    <row r="123" spans="2:44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5"/>
      <c r="AG123" s="155"/>
      <c r="AH123" s="98"/>
      <c r="AI123" s="98"/>
      <c r="AJ123" s="98"/>
      <c r="AK123" s="183"/>
      <c r="AL123" s="91"/>
      <c r="AM123" s="91"/>
      <c r="AR123" s="243"/>
    </row>
    <row r="124" spans="2:44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/>
      <c r="AF124" s="155"/>
      <c r="AG124" s="155"/>
      <c r="AH124" s="98"/>
      <c r="AI124" s="98"/>
      <c r="AJ124" s="98"/>
      <c r="AK124" s="183"/>
      <c r="AL124" s="91"/>
      <c r="AM124" s="91"/>
      <c r="AR124" s="243"/>
    </row>
    <row r="125" spans="2:44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30" spans="2:44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/>
      <c r="AF130" s="155"/>
      <c r="AG130" s="155"/>
      <c r="AH130" s="98"/>
      <c r="AI130" s="98"/>
      <c r="AJ130" s="98"/>
      <c r="AK130" s="183"/>
      <c r="AL130" s="91"/>
      <c r="AM130" s="91"/>
      <c r="AR130" s="243"/>
    </row>
    <row r="131" spans="2:44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/>
      <c r="AF131" s="155"/>
      <c r="AG131" s="155"/>
      <c r="AH131" s="98"/>
      <c r="AI131" s="98"/>
      <c r="AJ131" s="98"/>
      <c r="AK131" s="183"/>
      <c r="AL131" s="91"/>
      <c r="AM131" s="91"/>
      <c r="AR131" s="243"/>
    </row>
    <row r="132" spans="2:44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5"/>
      <c r="AF132" s="155"/>
      <c r="AG132" s="155"/>
      <c r="AH132" s="98"/>
      <c r="AI132" s="98"/>
      <c r="AJ132" s="98"/>
      <c r="AK132" s="183"/>
      <c r="AL132" s="91"/>
      <c r="AM132" s="91"/>
      <c r="AR132" s="243"/>
    </row>
    <row r="133" spans="2:44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5"/>
      <c r="AG133" s="155"/>
      <c r="AH133" s="98"/>
      <c r="AI133" s="98"/>
      <c r="AJ133" s="98"/>
      <c r="AK133" s="183"/>
      <c r="AL133" s="91"/>
      <c r="AM133" s="91"/>
      <c r="AR133" s="243"/>
    </row>
    <row r="134" spans="2:44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5"/>
      <c r="AF134" s="155"/>
      <c r="AG134" s="155"/>
      <c r="AH134" s="98"/>
      <c r="AI134" s="98"/>
      <c r="AJ134" s="98"/>
      <c r="AK134" s="183"/>
      <c r="AL134" s="91"/>
      <c r="AM134" s="91"/>
      <c r="AR134" s="243"/>
    </row>
    <row r="135" spans="2:44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5"/>
      <c r="AF135" s="155"/>
      <c r="AG135" s="155"/>
      <c r="AH135" s="98"/>
      <c r="AI135" s="98"/>
      <c r="AJ135" s="98"/>
      <c r="AK135" s="183"/>
      <c r="AL135" s="91"/>
      <c r="AM135" s="91"/>
      <c r="AR135" s="243"/>
    </row>
    <row r="136" spans="2:44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5"/>
      <c r="AF136" s="155"/>
      <c r="AG136" s="155"/>
      <c r="AH136" s="98"/>
      <c r="AI136" s="98"/>
      <c r="AJ136" s="98"/>
      <c r="AK136" s="183"/>
      <c r="AL136" s="91"/>
      <c r="AM136" s="91"/>
      <c r="AR136" s="243"/>
    </row>
    <row r="137" spans="2:44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5"/>
      <c r="AF137" s="155"/>
      <c r="AG137" s="155"/>
      <c r="AH137" s="98"/>
      <c r="AI137" s="98"/>
      <c r="AJ137" s="98"/>
      <c r="AK137" s="183"/>
      <c r="AL137" s="91"/>
      <c r="AM137" s="91"/>
      <c r="AR137" s="243"/>
    </row>
    <row r="193" spans="2:44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5"/>
      <c r="AF193" s="155"/>
      <c r="AG193" s="155"/>
      <c r="AH193" s="98"/>
      <c r="AI193" s="98"/>
      <c r="AJ193" s="98"/>
      <c r="AK193" s="183"/>
      <c r="AL193" s="91"/>
      <c r="AM193" s="91"/>
      <c r="AR193" s="243"/>
    </row>
  </sheetData>
  <sheetProtection algorithmName="SHA-512" hashValue="1Am0t6RZ9xzqVVISPAaK2B0fApZleXKfk9EVW9h872490oE5HStb7HLsVrld1T4AXsU5JiT5KYU2114BW2YGUg==" saltValue="tAQZhSxXfUqFItd3LoBL9A==" spinCount="100000" sheet="1" objects="1" scenarios="1" autoFilter="0"/>
  <autoFilter ref="A5:CR97">
    <filterColumn colId="9" showButton="0"/>
  </autoFilter>
  <mergeCells count="46">
    <mergeCell ref="AW91:BF91"/>
    <mergeCell ref="Z38:Z40"/>
    <mergeCell ref="AD1:AE1"/>
    <mergeCell ref="AD2:AE3"/>
    <mergeCell ref="H3:I3"/>
    <mergeCell ref="K3:L3"/>
    <mergeCell ref="AW7:BF7"/>
    <mergeCell ref="AW11:BF11"/>
    <mergeCell ref="AW15:BF15"/>
    <mergeCell ref="AW19:BF19"/>
    <mergeCell ref="Z74:Z76"/>
    <mergeCell ref="AW75:BF75"/>
    <mergeCell ref="Z42:Z44"/>
    <mergeCell ref="AW43:BF43"/>
    <mergeCell ref="Z46:Z48"/>
    <mergeCell ref="AW47:BF47"/>
    <mergeCell ref="B4:G4"/>
    <mergeCell ref="K4:L4"/>
    <mergeCell ref="AD4:AE4"/>
    <mergeCell ref="Z34:Z36"/>
    <mergeCell ref="J5:K5"/>
    <mergeCell ref="Z6:Z8"/>
    <mergeCell ref="Z18:Z20"/>
    <mergeCell ref="Z10:Z12"/>
    <mergeCell ref="Z14:Z16"/>
    <mergeCell ref="Z22:Z24"/>
    <mergeCell ref="Z26:Z28"/>
    <mergeCell ref="Z30:Z32"/>
    <mergeCell ref="Z50:Z52"/>
    <mergeCell ref="Z54:Z56"/>
    <mergeCell ref="AW55:BF55"/>
    <mergeCell ref="Z58:Z60"/>
    <mergeCell ref="AW59:BF59"/>
    <mergeCell ref="Z62:Z64"/>
    <mergeCell ref="Z66:Z68"/>
    <mergeCell ref="Z70:Z72"/>
    <mergeCell ref="AW79:BG79"/>
    <mergeCell ref="Z82:Z84"/>
    <mergeCell ref="AW83:BG83"/>
    <mergeCell ref="T114:V114"/>
    <mergeCell ref="Z78:Z80"/>
    <mergeCell ref="Z86:Z88"/>
    <mergeCell ref="Z90:Z92"/>
    <mergeCell ref="Z94:Z96"/>
    <mergeCell ref="Z99:AA99"/>
    <mergeCell ref="Z101:AA101"/>
  </mergeCells>
  <conditionalFormatting sqref="AD2:AE3">
    <cfRule type="cellIs" dxfId="12955" priority="422" operator="lessThan">
      <formula>0.85</formula>
    </cfRule>
  </conditionalFormatting>
  <conditionalFormatting sqref="AM1:AM5 AM98:AM1048576">
    <cfRule type="cellIs" dxfId="12954" priority="421" operator="notEqual">
      <formula>0</formula>
    </cfRule>
  </conditionalFormatting>
  <conditionalFormatting sqref="AQ98:AQ100 AQ6">
    <cfRule type="cellIs" dxfId="12953" priority="420" operator="lessThan">
      <formula>0</formula>
    </cfRule>
  </conditionalFormatting>
  <conditionalFormatting sqref="X98:Y98">
    <cfRule type="cellIs" dxfId="12952" priority="419" operator="lessThan">
      <formula>0</formula>
    </cfRule>
  </conditionalFormatting>
  <conditionalFormatting sqref="AM22:AM25">
    <cfRule type="cellIs" dxfId="12951" priority="417" operator="notEqual">
      <formula>0</formula>
    </cfRule>
  </conditionalFormatting>
  <conditionalFormatting sqref="G24">
    <cfRule type="cellIs" dxfId="12950" priority="416" operator="greaterThan">
      <formula>0</formula>
    </cfRule>
  </conditionalFormatting>
  <conditionalFormatting sqref="AQ6 AQ8:AQ9">
    <cfRule type="cellIs" dxfId="12949" priority="415" operator="lessThan">
      <formula>0</formula>
    </cfRule>
  </conditionalFormatting>
  <conditionalFormatting sqref="J24">
    <cfRule type="cellIs" dxfId="12948" priority="414" operator="greaterThan">
      <formula>0</formula>
    </cfRule>
  </conditionalFormatting>
  <conditionalFormatting sqref="AM70:AM73">
    <cfRule type="cellIs" dxfId="12947" priority="412" operator="notEqual">
      <formula>0</formula>
    </cfRule>
  </conditionalFormatting>
  <conditionalFormatting sqref="G72">
    <cfRule type="cellIs" dxfId="12946" priority="411" operator="greaterThan">
      <formula>0</formula>
    </cfRule>
  </conditionalFormatting>
  <conditionalFormatting sqref="AM54:AM57">
    <cfRule type="cellIs" dxfId="12945" priority="409" operator="notEqual">
      <formula>0</formula>
    </cfRule>
  </conditionalFormatting>
  <conditionalFormatting sqref="G56">
    <cfRule type="cellIs" dxfId="12944" priority="408" operator="greaterThan">
      <formula>0</formula>
    </cfRule>
  </conditionalFormatting>
  <conditionalFormatting sqref="AM18:AM21">
    <cfRule type="cellIs" dxfId="12943" priority="406" operator="notEqual">
      <formula>0</formula>
    </cfRule>
  </conditionalFormatting>
  <conditionalFormatting sqref="G20">
    <cfRule type="cellIs" dxfId="12942" priority="405" operator="greaterThan">
      <formula>0</formula>
    </cfRule>
  </conditionalFormatting>
  <conditionalFormatting sqref="J20">
    <cfRule type="cellIs" dxfId="12941" priority="404" operator="greaterThan">
      <formula>0</formula>
    </cfRule>
  </conditionalFormatting>
  <conditionalFormatting sqref="AM6:AM9">
    <cfRule type="cellIs" dxfId="12940" priority="403" operator="notEqual">
      <formula>0</formula>
    </cfRule>
  </conditionalFormatting>
  <conditionalFormatting sqref="G8">
    <cfRule type="cellIs" dxfId="12939" priority="402" operator="greaterThan">
      <formula>0</formula>
    </cfRule>
  </conditionalFormatting>
  <conditionalFormatting sqref="AQ6 AQ8:AQ9">
    <cfRule type="cellIs" dxfId="12938" priority="401" operator="lessThan">
      <formula>0</formula>
    </cfRule>
  </conditionalFormatting>
  <conditionalFormatting sqref="AM14:AM17">
    <cfRule type="cellIs" dxfId="12937" priority="399" operator="notEqual">
      <formula>0</formula>
    </cfRule>
  </conditionalFormatting>
  <conditionalFormatting sqref="G16">
    <cfRule type="cellIs" dxfId="12936" priority="398" operator="greaterThan">
      <formula>0</formula>
    </cfRule>
  </conditionalFormatting>
  <conditionalFormatting sqref="AM42:AM45">
    <cfRule type="cellIs" dxfId="12935" priority="396" operator="notEqual">
      <formula>0</formula>
    </cfRule>
  </conditionalFormatting>
  <conditionalFormatting sqref="G44">
    <cfRule type="cellIs" dxfId="12934" priority="395" operator="greaterThan">
      <formula>0</formula>
    </cfRule>
  </conditionalFormatting>
  <conditionalFormatting sqref="AM86:AM89">
    <cfRule type="cellIs" dxfId="12933" priority="393" operator="notEqual">
      <formula>0</formula>
    </cfRule>
  </conditionalFormatting>
  <conditionalFormatting sqref="G88">
    <cfRule type="cellIs" dxfId="12932" priority="392" operator="greaterThan">
      <formula>0</formula>
    </cfRule>
  </conditionalFormatting>
  <conditionalFormatting sqref="AM62:AM65">
    <cfRule type="cellIs" dxfId="12931" priority="390" operator="notEqual">
      <formula>0</formula>
    </cfRule>
  </conditionalFormatting>
  <conditionalFormatting sqref="G64">
    <cfRule type="cellIs" dxfId="12930" priority="389" operator="greaterThan">
      <formula>0</formula>
    </cfRule>
  </conditionalFormatting>
  <conditionalFormatting sqref="J64">
    <cfRule type="cellIs" dxfId="12929" priority="388" operator="greaterThan">
      <formula>0</formula>
    </cfRule>
  </conditionalFormatting>
  <conditionalFormatting sqref="AQ6 AQ8:AQ9">
    <cfRule type="cellIs" dxfId="12928" priority="387" operator="lessThan">
      <formula>0</formula>
    </cfRule>
  </conditionalFormatting>
  <conditionalFormatting sqref="AQ6 AQ8:AQ9">
    <cfRule type="cellIs" dxfId="12927" priority="386" operator="lessThan">
      <formula>0</formula>
    </cfRule>
  </conditionalFormatting>
  <conditionalFormatting sqref="J88">
    <cfRule type="cellIs" dxfId="12926" priority="385" operator="greaterThan">
      <formula>0</formula>
    </cfRule>
  </conditionalFormatting>
  <conditionalFormatting sqref="J44">
    <cfRule type="cellIs" dxfId="12925" priority="384" operator="greaterThan">
      <formula>0</formula>
    </cfRule>
  </conditionalFormatting>
  <conditionalFormatting sqref="J56">
    <cfRule type="cellIs" dxfId="12924" priority="383" operator="greaterThan">
      <formula>0</formula>
    </cfRule>
  </conditionalFormatting>
  <conditionalFormatting sqref="AM66:AM69">
    <cfRule type="cellIs" dxfId="12923" priority="381" operator="notEqual">
      <formula>0</formula>
    </cfRule>
  </conditionalFormatting>
  <conditionalFormatting sqref="G68">
    <cfRule type="cellIs" dxfId="12922" priority="380" operator="greaterThan">
      <formula>0</formula>
    </cfRule>
  </conditionalFormatting>
  <conditionalFormatting sqref="J68">
    <cfRule type="cellIs" dxfId="12921" priority="379" operator="greaterThan">
      <formula>0</formula>
    </cfRule>
  </conditionalFormatting>
  <conditionalFormatting sqref="AM74:AM77">
    <cfRule type="cellIs" dxfId="12920" priority="377" operator="notEqual">
      <formula>0</formula>
    </cfRule>
  </conditionalFormatting>
  <conditionalFormatting sqref="G76">
    <cfRule type="cellIs" dxfId="12919" priority="376" operator="greaterThan">
      <formula>0</formula>
    </cfRule>
  </conditionalFormatting>
  <conditionalFormatting sqref="AM78:AM81">
    <cfRule type="cellIs" dxfId="12918" priority="374" operator="notEqual">
      <formula>0</formula>
    </cfRule>
  </conditionalFormatting>
  <conditionalFormatting sqref="G80">
    <cfRule type="cellIs" dxfId="12917" priority="373" operator="greaterThan">
      <formula>0</formula>
    </cfRule>
  </conditionalFormatting>
  <conditionalFormatting sqref="AM94:AM97">
    <cfRule type="cellIs" dxfId="12916" priority="371" operator="notEqual">
      <formula>0</formula>
    </cfRule>
  </conditionalFormatting>
  <conditionalFormatting sqref="G96">
    <cfRule type="cellIs" dxfId="12915" priority="370" operator="greaterThan">
      <formula>0</formula>
    </cfRule>
  </conditionalFormatting>
  <conditionalFormatting sqref="J76">
    <cfRule type="cellIs" dxfId="12914" priority="369" operator="greaterThan">
      <formula>0</formula>
    </cfRule>
  </conditionalFormatting>
  <conditionalFormatting sqref="J80">
    <cfRule type="cellIs" dxfId="12913" priority="368" operator="greaterThan">
      <formula>0</formula>
    </cfRule>
  </conditionalFormatting>
  <conditionalFormatting sqref="J96">
    <cfRule type="cellIs" dxfId="12912" priority="367" operator="greaterThan">
      <formula>0</formula>
    </cfRule>
  </conditionalFormatting>
  <conditionalFormatting sqref="AM30:AM33">
    <cfRule type="cellIs" dxfId="12911" priority="365" operator="notEqual">
      <formula>0</formula>
    </cfRule>
  </conditionalFormatting>
  <conditionalFormatting sqref="G32">
    <cfRule type="cellIs" dxfId="12910" priority="364" operator="greaterThan">
      <formula>0</formula>
    </cfRule>
  </conditionalFormatting>
  <conditionalFormatting sqref="J32">
    <cfRule type="cellIs" dxfId="12909" priority="363" operator="greaterThan">
      <formula>0</formula>
    </cfRule>
  </conditionalFormatting>
  <conditionalFormatting sqref="J16">
    <cfRule type="cellIs" dxfId="12908" priority="362" operator="greaterThan">
      <formula>0</formula>
    </cfRule>
  </conditionalFormatting>
  <conditionalFormatting sqref="AM58:AM61">
    <cfRule type="cellIs" dxfId="12907" priority="360" operator="notEqual">
      <formula>0</formula>
    </cfRule>
  </conditionalFormatting>
  <conditionalFormatting sqref="G60">
    <cfRule type="cellIs" dxfId="12906" priority="359" operator="greaterThan">
      <formula>0</formula>
    </cfRule>
  </conditionalFormatting>
  <conditionalFormatting sqref="J60">
    <cfRule type="cellIs" dxfId="12905" priority="358" operator="greaterThan">
      <formula>0</formula>
    </cfRule>
  </conditionalFormatting>
  <conditionalFormatting sqref="AM46:AM49">
    <cfRule type="cellIs" dxfId="12904" priority="356" operator="notEqual">
      <formula>0</formula>
    </cfRule>
  </conditionalFormatting>
  <conditionalFormatting sqref="G48">
    <cfRule type="cellIs" dxfId="12903" priority="355" operator="greaterThan">
      <formula>0</formula>
    </cfRule>
  </conditionalFormatting>
  <conditionalFormatting sqref="AM34:AM37">
    <cfRule type="cellIs" dxfId="12902" priority="353" operator="notEqual">
      <formula>0</formula>
    </cfRule>
  </conditionalFormatting>
  <conditionalFormatting sqref="G36">
    <cfRule type="cellIs" dxfId="12901" priority="352" operator="greaterThan">
      <formula>0</formula>
    </cfRule>
  </conditionalFormatting>
  <conditionalFormatting sqref="J36">
    <cfRule type="cellIs" dxfId="12900" priority="351" operator="greaterThan">
      <formula>0</formula>
    </cfRule>
  </conditionalFormatting>
  <conditionalFormatting sqref="J8">
    <cfRule type="cellIs" dxfId="12899" priority="349" operator="greaterThan">
      <formula>0</formula>
    </cfRule>
  </conditionalFormatting>
  <conditionalFormatting sqref="J72">
    <cfRule type="cellIs" dxfId="12898" priority="348" operator="greaterThan">
      <formula>0</formula>
    </cfRule>
  </conditionalFormatting>
  <conditionalFormatting sqref="AQ8:AQ9">
    <cfRule type="cellIs" dxfId="12897" priority="347" operator="lessThan">
      <formula>0</formula>
    </cfRule>
  </conditionalFormatting>
  <conditionalFormatting sqref="AQ8:AQ9">
    <cfRule type="cellIs" dxfId="12896" priority="346" operator="lessThan">
      <formula>0</formula>
    </cfRule>
  </conditionalFormatting>
  <conditionalFormatting sqref="AQ8:AQ9">
    <cfRule type="cellIs" dxfId="12895" priority="345" operator="lessThan">
      <formula>0</formula>
    </cfRule>
  </conditionalFormatting>
  <conditionalFormatting sqref="AQ8:AQ9">
    <cfRule type="cellIs" dxfId="12894" priority="344" operator="lessThan">
      <formula>0</formula>
    </cfRule>
  </conditionalFormatting>
  <conditionalFormatting sqref="AQ7">
    <cfRule type="cellIs" dxfId="12893" priority="343" operator="lessThan">
      <formula>0</formula>
    </cfRule>
  </conditionalFormatting>
  <conditionalFormatting sqref="AQ7">
    <cfRule type="cellIs" dxfId="12892" priority="342" operator="lessThan">
      <formula>0</formula>
    </cfRule>
  </conditionalFormatting>
  <conditionalFormatting sqref="AQ7">
    <cfRule type="cellIs" dxfId="12891" priority="341" operator="lessThan">
      <formula>0</formula>
    </cfRule>
  </conditionalFormatting>
  <conditionalFormatting sqref="AQ7">
    <cfRule type="cellIs" dxfId="12890" priority="340" operator="lessThan">
      <formula>0</formula>
    </cfRule>
  </conditionalFormatting>
  <conditionalFormatting sqref="AQ7">
    <cfRule type="cellIs" dxfId="12889" priority="339" operator="lessThan">
      <formula>0</formula>
    </cfRule>
  </conditionalFormatting>
  <conditionalFormatting sqref="AQ7">
    <cfRule type="cellIs" dxfId="12888" priority="338" operator="lessThan">
      <formula>0</formula>
    </cfRule>
  </conditionalFormatting>
  <conditionalFormatting sqref="AQ7">
    <cfRule type="cellIs" dxfId="12887" priority="337" operator="lessThan">
      <formula>0</formula>
    </cfRule>
  </conditionalFormatting>
  <conditionalFormatting sqref="AQ7">
    <cfRule type="cellIs" dxfId="12886" priority="336" operator="lessThan">
      <formula>0</formula>
    </cfRule>
  </conditionalFormatting>
  <conditionalFormatting sqref="AQ7">
    <cfRule type="cellIs" dxfId="12885" priority="335" operator="lessThan">
      <formula>0</formula>
    </cfRule>
  </conditionalFormatting>
  <conditionalFormatting sqref="AQ7">
    <cfRule type="cellIs" dxfId="12884" priority="334" operator="lessThan">
      <formula>0</formula>
    </cfRule>
  </conditionalFormatting>
  <conditionalFormatting sqref="AQ7">
    <cfRule type="cellIs" dxfId="12883" priority="333" operator="lessThan">
      <formula>0</formula>
    </cfRule>
  </conditionalFormatting>
  <conditionalFormatting sqref="AQ7">
    <cfRule type="cellIs" dxfId="12882" priority="332" operator="lessThan">
      <formula>0</formula>
    </cfRule>
  </conditionalFormatting>
  <conditionalFormatting sqref="AQ7">
    <cfRule type="cellIs" dxfId="12881" priority="331" operator="lessThan">
      <formula>0</formula>
    </cfRule>
  </conditionalFormatting>
  <conditionalFormatting sqref="AQ7">
    <cfRule type="cellIs" dxfId="12880" priority="330" operator="lessThan">
      <formula>0</formula>
    </cfRule>
  </conditionalFormatting>
  <conditionalFormatting sqref="AQ7">
    <cfRule type="cellIs" dxfId="12879" priority="329" operator="lessThan">
      <formula>0</formula>
    </cfRule>
  </conditionalFormatting>
  <conditionalFormatting sqref="AQ7">
    <cfRule type="cellIs" dxfId="12878" priority="328" operator="lessThan">
      <formula>0</formula>
    </cfRule>
  </conditionalFormatting>
  <conditionalFormatting sqref="AM50:AM53">
    <cfRule type="cellIs" dxfId="12877" priority="326" operator="notEqual">
      <formula>0</formula>
    </cfRule>
  </conditionalFormatting>
  <conditionalFormatting sqref="G52">
    <cfRule type="cellIs" dxfId="12876" priority="325" operator="greaterThan">
      <formula>0</formula>
    </cfRule>
  </conditionalFormatting>
  <conditionalFormatting sqref="J52">
    <cfRule type="cellIs" dxfId="12875" priority="324" operator="greaterThan">
      <formula>0</formula>
    </cfRule>
  </conditionalFormatting>
  <conditionalFormatting sqref="AQ7">
    <cfRule type="cellIs" dxfId="12874" priority="308" operator="lessThan">
      <formula>0</formula>
    </cfRule>
  </conditionalFormatting>
  <conditionalFormatting sqref="AQ14 AQ18 AQ22 AQ30 AQ34 AQ42 AQ46 AQ50 AQ54 AQ58 AQ62 AQ66 AQ70 AQ74 AQ78 AQ86 AQ94">
    <cfRule type="cellIs" dxfId="12873" priority="307" operator="lessThan">
      <formula>0</formula>
    </cfRule>
  </conditionalFormatting>
  <conditionalFormatting sqref="AQ14 AQ16:AQ18 AQ20:AQ22 AQ24:AQ25 AQ32:AQ34 AQ36:AQ37 AQ44:AQ46 AQ48:AQ50 AQ52:AQ54 AQ56:AQ58 AQ60:AQ62 AQ64:AQ66 AQ68:AQ70 AQ72:AQ74 AQ76:AQ78 AQ80:AQ81 AQ88:AQ89 AQ96:AQ97 AQ30 AQ94 AQ86 AQ42">
    <cfRule type="cellIs" dxfId="12872" priority="306" operator="lessThan">
      <formula>0</formula>
    </cfRule>
  </conditionalFormatting>
  <conditionalFormatting sqref="AQ14 AQ16:AQ18 AQ20:AQ22 AQ24:AQ25 AQ32:AQ34 AQ36:AQ37 AQ44:AQ46 AQ48:AQ50 AQ52:AQ54 AQ56:AQ58 AQ60:AQ62 AQ64:AQ66 AQ68:AQ70 AQ72:AQ74 AQ76:AQ78 AQ80:AQ81 AQ88:AQ89 AQ96:AQ97 AQ30 AQ94 AQ86 AQ42">
    <cfRule type="cellIs" dxfId="12871" priority="305" operator="lessThan">
      <formula>0</formula>
    </cfRule>
  </conditionalFormatting>
  <conditionalFormatting sqref="AQ14 AQ16:AQ18 AQ20:AQ22 AQ24:AQ25 AQ32:AQ34 AQ36:AQ37 AQ44:AQ46 AQ48:AQ50 AQ52:AQ54 AQ56:AQ58 AQ60:AQ62 AQ64:AQ66 AQ68:AQ70 AQ72:AQ74 AQ76:AQ78 AQ80:AQ81 AQ88:AQ89 AQ96:AQ97 AQ30 AQ94 AQ86 AQ42">
    <cfRule type="cellIs" dxfId="12870" priority="304" operator="lessThan">
      <formula>0</formula>
    </cfRule>
  </conditionalFormatting>
  <conditionalFormatting sqref="AQ14 AQ16:AQ18 AQ20:AQ22 AQ24:AQ25 AQ32:AQ34 AQ36:AQ37 AQ44:AQ46 AQ48:AQ50 AQ52:AQ54 AQ56:AQ58 AQ60:AQ62 AQ64:AQ66 AQ68:AQ70 AQ72:AQ74 AQ76:AQ78 AQ80:AQ81 AQ88:AQ89 AQ96:AQ97 AQ30 AQ94 AQ86 AQ42">
    <cfRule type="cellIs" dxfId="12869" priority="303" operator="lessThan">
      <formula>0</formula>
    </cfRule>
  </conditionalFormatting>
  <conditionalFormatting sqref="AQ16:AQ17 AQ20:AQ21 AQ24:AQ25 AQ32:AQ33 AQ36:AQ37 AQ44:AQ45 AQ48:AQ49 AQ52:AQ53 AQ56:AQ57 AQ60:AQ61 AQ64:AQ65 AQ68:AQ69 AQ72:AQ73 AQ76:AQ77 AQ80:AQ81 AQ88:AQ89 AQ96:AQ97">
    <cfRule type="cellIs" dxfId="12868" priority="302" operator="lessThan">
      <formula>0</formula>
    </cfRule>
  </conditionalFormatting>
  <conditionalFormatting sqref="AQ16:AQ17 AQ20:AQ21 AQ24:AQ25 AQ32:AQ33 AQ36:AQ37 AQ44:AQ45 AQ48:AQ49 AQ52:AQ53 AQ56:AQ57 AQ60:AQ61 AQ64:AQ65 AQ68:AQ69 AQ72:AQ73 AQ76:AQ77 AQ80:AQ81 AQ88:AQ89 AQ96:AQ97">
    <cfRule type="cellIs" dxfId="12867" priority="301" operator="lessThan">
      <formula>0</formula>
    </cfRule>
  </conditionalFormatting>
  <conditionalFormatting sqref="AQ16:AQ17 AQ20:AQ21 AQ24:AQ25 AQ32:AQ33 AQ36:AQ37 AQ44:AQ45 AQ48:AQ49 AQ52:AQ53 AQ56:AQ57 AQ60:AQ61 AQ64:AQ65 AQ68:AQ69 AQ72:AQ73 AQ76:AQ77 AQ80:AQ81 AQ88:AQ89 AQ96:AQ97">
    <cfRule type="cellIs" dxfId="12866" priority="300" operator="lessThan">
      <formula>0</formula>
    </cfRule>
  </conditionalFormatting>
  <conditionalFormatting sqref="AQ16:AQ17 AQ20:AQ21 AQ24:AQ25 AQ32:AQ33 AQ36:AQ37 AQ44:AQ45 AQ48:AQ49 AQ52:AQ53 AQ56:AQ57 AQ60:AQ61 AQ64:AQ65 AQ68:AQ69 AQ72:AQ73 AQ76:AQ77 AQ80:AQ81 AQ88:AQ89 AQ96:AQ97">
    <cfRule type="cellIs" dxfId="12865" priority="299" operator="lessThan">
      <formula>0</formula>
    </cfRule>
  </conditionalFormatting>
  <conditionalFormatting sqref="AQ15 AQ19 AQ23 AQ31 AQ35 AQ43 AQ47 AQ55 AQ59 AQ63 AQ67 AQ75 AQ79 AQ87 AQ95 AQ51 AQ71">
    <cfRule type="cellIs" dxfId="12864" priority="298" operator="lessThan">
      <formula>0</formula>
    </cfRule>
  </conditionalFormatting>
  <conditionalFormatting sqref="AQ15 AQ19 AQ23 AQ31 AQ35 AQ43 AQ47 AQ55 AQ59 AQ63 AQ67 AQ75 AQ79 AQ87 AQ95 AQ51 AQ71">
    <cfRule type="cellIs" dxfId="12863" priority="297" operator="lessThan">
      <formula>0</formula>
    </cfRule>
  </conditionalFormatting>
  <conditionalFormatting sqref="AQ15 AQ19 AQ23 AQ31 AQ35 AQ43 AQ47 AQ55 AQ59 AQ63 AQ67 AQ75 AQ79 AQ87 AQ95 AQ51 AQ71">
    <cfRule type="cellIs" dxfId="12862" priority="296" operator="lessThan">
      <formula>0</formula>
    </cfRule>
  </conditionalFormatting>
  <conditionalFormatting sqref="AQ7">
    <cfRule type="cellIs" dxfId="12861" priority="323" operator="lessThan">
      <formula>0</formula>
    </cfRule>
  </conditionalFormatting>
  <conditionalFormatting sqref="AQ7">
    <cfRule type="cellIs" dxfId="12860" priority="322" operator="lessThan">
      <formula>0</formula>
    </cfRule>
  </conditionalFormatting>
  <conditionalFormatting sqref="AQ7">
    <cfRule type="cellIs" dxfId="12859" priority="321" operator="lessThan">
      <formula>0</formula>
    </cfRule>
  </conditionalFormatting>
  <conditionalFormatting sqref="AQ7">
    <cfRule type="cellIs" dxfId="12858" priority="320" operator="lessThan">
      <formula>0</formula>
    </cfRule>
  </conditionalFormatting>
  <conditionalFormatting sqref="AQ7">
    <cfRule type="cellIs" dxfId="12857" priority="319" operator="lessThan">
      <formula>0</formula>
    </cfRule>
  </conditionalFormatting>
  <conditionalFormatting sqref="AQ7">
    <cfRule type="cellIs" dxfId="12856" priority="318" operator="lessThan">
      <formula>0</formula>
    </cfRule>
  </conditionalFormatting>
  <conditionalFormatting sqref="AQ7">
    <cfRule type="cellIs" dxfId="12855" priority="317" operator="lessThan">
      <formula>0</formula>
    </cfRule>
  </conditionalFormatting>
  <conditionalFormatting sqref="AQ7">
    <cfRule type="cellIs" dxfId="12854" priority="316" operator="lessThan">
      <formula>0</formula>
    </cfRule>
  </conditionalFormatting>
  <conditionalFormatting sqref="AQ7">
    <cfRule type="cellIs" dxfId="12853" priority="315" operator="lessThan">
      <formula>0</formula>
    </cfRule>
  </conditionalFormatting>
  <conditionalFormatting sqref="AQ7">
    <cfRule type="cellIs" dxfId="12852" priority="314" operator="lessThan">
      <formula>0</formula>
    </cfRule>
  </conditionalFormatting>
  <conditionalFormatting sqref="AQ7">
    <cfRule type="cellIs" dxfId="12851" priority="313" operator="lessThan">
      <formula>0</formula>
    </cfRule>
  </conditionalFormatting>
  <conditionalFormatting sqref="AQ7">
    <cfRule type="cellIs" dxfId="12850" priority="312" operator="lessThan">
      <formula>0</formula>
    </cfRule>
  </conditionalFormatting>
  <conditionalFormatting sqref="AQ7">
    <cfRule type="cellIs" dxfId="12849" priority="311" operator="lessThan">
      <formula>0</formula>
    </cfRule>
  </conditionalFormatting>
  <conditionalFormatting sqref="AQ7">
    <cfRule type="cellIs" dxfId="12848" priority="310" operator="lessThan">
      <formula>0</formula>
    </cfRule>
  </conditionalFormatting>
  <conditionalFormatting sqref="AQ7">
    <cfRule type="cellIs" dxfId="12847" priority="309" operator="lessThan">
      <formula>0</formula>
    </cfRule>
  </conditionalFormatting>
  <conditionalFormatting sqref="AQ15 AQ19 AQ23 AQ31 AQ35 AQ43 AQ47 AQ55 AQ59 AQ63 AQ67 AQ75 AQ79 AQ87 AQ95 AQ51 AQ71">
    <cfRule type="cellIs" dxfId="12846" priority="295" operator="lessThan">
      <formula>0</formula>
    </cfRule>
  </conditionalFormatting>
  <conditionalFormatting sqref="AQ15 AQ19 AQ23 AQ31 AQ35 AQ43 AQ47 AQ55 AQ59 AQ63 AQ67 AQ75 AQ79 AQ87 AQ95 AQ51 AQ71">
    <cfRule type="cellIs" dxfId="12845" priority="294" operator="lessThan">
      <formula>0</formula>
    </cfRule>
  </conditionalFormatting>
  <conditionalFormatting sqref="AQ15 AQ19 AQ23 AQ31 AQ35 AQ43 AQ47 AQ55 AQ59 AQ63 AQ67 AQ75 AQ79 AQ87 AQ95 AQ51 AQ71">
    <cfRule type="cellIs" dxfId="12844" priority="293" operator="lessThan">
      <formula>0</formula>
    </cfRule>
  </conditionalFormatting>
  <conditionalFormatting sqref="AQ15 AQ19 AQ23 AQ31 AQ35 AQ43 AQ47 AQ55 AQ59 AQ63 AQ67 AQ75 AQ79 AQ87 AQ95 AQ51 AQ71">
    <cfRule type="cellIs" dxfId="12843" priority="292" operator="lessThan">
      <formula>0</formula>
    </cfRule>
  </conditionalFormatting>
  <conditionalFormatting sqref="AQ15 AQ19 AQ23 AQ31 AQ35 AQ43 AQ47 AQ55 AQ59 AQ63 AQ67 AQ75 AQ79 AQ87 AQ95 AQ51 AQ71">
    <cfRule type="cellIs" dxfId="12842" priority="291" operator="lessThan">
      <formula>0</formula>
    </cfRule>
  </conditionalFormatting>
  <conditionalFormatting sqref="AQ15 AQ19 AQ23 AQ31 AQ35 AQ43 AQ47 AQ55 AQ59 AQ63 AQ67 AQ75 AQ79 AQ87 AQ95 AQ51 AQ71">
    <cfRule type="cellIs" dxfId="12841" priority="290" operator="lessThan">
      <formula>0</formula>
    </cfRule>
  </conditionalFormatting>
  <conditionalFormatting sqref="AQ15 AQ19 AQ23 AQ31 AQ35 AQ43 AQ47 AQ55 AQ59 AQ63 AQ67 AQ75 AQ79 AQ87 AQ95 AQ51 AQ71">
    <cfRule type="cellIs" dxfId="12840" priority="289" operator="lessThan">
      <formula>0</formula>
    </cfRule>
  </conditionalFormatting>
  <conditionalFormatting sqref="AQ15 AQ19 AQ23 AQ31 AQ35 AQ43 AQ47 AQ55 AQ59 AQ63 AQ67 AQ75 AQ79 AQ87 AQ95 AQ51 AQ71">
    <cfRule type="cellIs" dxfId="12839" priority="288" operator="lessThan">
      <formula>0</formula>
    </cfRule>
  </conditionalFormatting>
  <conditionalFormatting sqref="AQ15 AQ19 AQ23 AQ31 AQ35 AQ43 AQ47 AQ55 AQ59 AQ63 AQ67 AQ75 AQ79 AQ87 AQ95 AQ51 AQ71">
    <cfRule type="cellIs" dxfId="12838" priority="287" operator="lessThan">
      <formula>0</formula>
    </cfRule>
  </conditionalFormatting>
  <conditionalFormatting sqref="AQ15 AQ19 AQ23 AQ31 AQ35 AQ43 AQ47 AQ55 AQ59 AQ63 AQ67 AQ75 AQ79 AQ87 AQ95 AQ51 AQ71">
    <cfRule type="cellIs" dxfId="12837" priority="286" operator="lessThan">
      <formula>0</formula>
    </cfRule>
  </conditionalFormatting>
  <conditionalFormatting sqref="AQ15 AQ19 AQ23 AQ31 AQ35 AQ43 AQ47 AQ55 AQ59 AQ63 AQ67 AQ75 AQ79 AQ87 AQ95 AQ51 AQ71">
    <cfRule type="cellIs" dxfId="12836" priority="285" operator="lessThan">
      <formula>0</formula>
    </cfRule>
  </conditionalFormatting>
  <conditionalFormatting sqref="AQ15 AQ19 AQ23 AQ31 AQ35 AQ43 AQ47 AQ55 AQ59 AQ63 AQ67 AQ75 AQ79 AQ87 AQ95 AQ51 AQ71">
    <cfRule type="cellIs" dxfId="12835" priority="284" operator="lessThan">
      <formula>0</formula>
    </cfRule>
  </conditionalFormatting>
  <conditionalFormatting sqref="AQ15 AQ19 AQ23 AQ31 AQ35 AQ43 AQ47 AQ55 AQ59 AQ63 AQ67 AQ75 AQ79 AQ87 AQ95 AQ51 AQ71">
    <cfRule type="cellIs" dxfId="12834" priority="283" operator="lessThan">
      <formula>0</formula>
    </cfRule>
  </conditionalFormatting>
  <conditionalFormatting sqref="AQ15 AQ19 AQ23 AQ31 AQ35 AQ43 AQ47 AQ55 AQ59 AQ63 AQ67 AQ75 AQ79 AQ87 AQ95 AQ51 AQ71">
    <cfRule type="cellIs" dxfId="12833" priority="282" operator="lessThan">
      <formula>0</formula>
    </cfRule>
  </conditionalFormatting>
  <conditionalFormatting sqref="AQ15 AQ19 AQ23 AQ31 AQ35 AQ43 AQ47 AQ55 AQ59 AQ63 AQ67 AQ75 AQ79 AQ87 AQ95 AQ51 AQ71">
    <cfRule type="cellIs" dxfId="12832" priority="281" operator="lessThan">
      <formula>0</formula>
    </cfRule>
  </conditionalFormatting>
  <conditionalFormatting sqref="AQ15 AQ19 AQ23 AQ31 AQ35 AQ43 AQ47 AQ55 AQ59 AQ63 AQ67 AQ75 AQ79 AQ87 AQ95 AQ51 AQ71">
    <cfRule type="cellIs" dxfId="12831" priority="280" operator="lessThan">
      <formula>0</formula>
    </cfRule>
  </conditionalFormatting>
  <conditionalFormatting sqref="AQ15 AQ19 AQ23 AQ31 AQ35 AQ43 AQ47 AQ55 AQ59 AQ63 AQ67 AQ75 AQ79 AQ87 AQ95 AQ51 AQ71">
    <cfRule type="cellIs" dxfId="12830" priority="279" operator="lessThan">
      <formula>0</formula>
    </cfRule>
  </conditionalFormatting>
  <conditionalFormatting sqref="AQ15 AQ19 AQ23 AQ31 AQ35 AQ43 AQ47 AQ55 AQ59 AQ63 AQ67 AQ75 AQ79 AQ87 AQ95 AQ51 AQ71">
    <cfRule type="cellIs" dxfId="12829" priority="278" operator="lessThan">
      <formula>0</formula>
    </cfRule>
  </conditionalFormatting>
  <conditionalFormatting sqref="AQ15 AQ19 AQ23 AQ31 AQ35 AQ43 AQ47 AQ55 AQ59 AQ63 AQ67 AQ75 AQ79 AQ87 AQ95 AQ51 AQ71">
    <cfRule type="cellIs" dxfId="12828" priority="277" operator="lessThan">
      <formula>0</formula>
    </cfRule>
  </conditionalFormatting>
  <conditionalFormatting sqref="AQ15 AQ19 AQ23 AQ31 AQ35 AQ43 AQ47 AQ55 AQ59 AQ63 AQ67 AQ75 AQ79 AQ87 AQ95 AQ51 AQ71">
    <cfRule type="cellIs" dxfId="12827" priority="276" operator="lessThan">
      <formula>0</formula>
    </cfRule>
  </conditionalFormatting>
  <conditionalFormatting sqref="AQ15 AQ19 AQ23 AQ31 AQ35 AQ43 AQ47 AQ55 AQ59 AQ63 AQ67 AQ75 AQ79 AQ87 AQ95 AQ51 AQ71">
    <cfRule type="cellIs" dxfId="12826" priority="275" operator="lessThan">
      <formula>0</formula>
    </cfRule>
  </conditionalFormatting>
  <conditionalFormatting sqref="AQ15 AQ19 AQ23 AQ31 AQ35 AQ43 AQ47 AQ55 AQ59 AQ63 AQ67 AQ75 AQ79 AQ87 AQ95 AQ51 AQ71">
    <cfRule type="cellIs" dxfId="12825" priority="274" operator="lessThan">
      <formula>0</formula>
    </cfRule>
  </conditionalFormatting>
  <conditionalFormatting sqref="AQ15 AQ19 AQ23 AQ31 AQ35 AQ43 AQ47 AQ55 AQ59 AQ63 AQ67 AQ75 AQ79 AQ87 AQ95 AQ51 AQ71">
    <cfRule type="cellIs" dxfId="12824" priority="273" operator="lessThan">
      <formula>0</formula>
    </cfRule>
  </conditionalFormatting>
  <conditionalFormatting sqref="AQ15 AQ19 AQ23 AQ31 AQ35 AQ43 AQ47 AQ55 AQ59 AQ63 AQ67 AQ75 AQ79 AQ87 AQ95 AQ51 AQ71">
    <cfRule type="cellIs" dxfId="12823" priority="272" operator="lessThan">
      <formula>0</formula>
    </cfRule>
  </conditionalFormatting>
  <conditionalFormatting sqref="AQ15 AQ19 AQ23 AQ31 AQ35 AQ43 AQ47 AQ55 AQ59 AQ63 AQ67 AQ75 AQ79 AQ87 AQ95 AQ51 AQ71">
    <cfRule type="cellIs" dxfId="12822" priority="271" operator="lessThan">
      <formula>0</formula>
    </cfRule>
  </conditionalFormatting>
  <conditionalFormatting sqref="AQ15 AQ19 AQ23 AQ31 AQ35 AQ43 AQ47 AQ55 AQ59 AQ63 AQ67 AQ75 AQ79 AQ87 AQ95 AQ51 AQ71">
    <cfRule type="cellIs" dxfId="12821" priority="270" operator="lessThan">
      <formula>0</formula>
    </cfRule>
  </conditionalFormatting>
  <conditionalFormatting sqref="AQ15 AQ19 AQ23 AQ31 AQ35 AQ43 AQ47 AQ55 AQ59 AQ63 AQ67 AQ75 AQ79 AQ87 AQ95 AQ51 AQ71">
    <cfRule type="cellIs" dxfId="12820" priority="269" operator="lessThan">
      <formula>0</formula>
    </cfRule>
  </conditionalFormatting>
  <conditionalFormatting sqref="AQ15 AQ19 AQ23 AQ31 AQ35 AQ43 AQ47 AQ55 AQ59 AQ63 AQ67 AQ75 AQ79 AQ87 AQ95 AQ51 AQ71">
    <cfRule type="cellIs" dxfId="12819" priority="268" operator="lessThan">
      <formula>0</formula>
    </cfRule>
  </conditionalFormatting>
  <conditionalFormatting sqref="AQ15 AQ19 AQ23 AQ31 AQ35 AQ43 AQ47 AQ55 AQ59 AQ63 AQ67 AQ75 AQ79 AQ87 AQ95 AQ51 AQ71">
    <cfRule type="cellIs" dxfId="12818" priority="267" operator="lessThan">
      <formula>0</formula>
    </cfRule>
  </conditionalFormatting>
  <conditionalFormatting sqref="AQ10">
    <cfRule type="cellIs" dxfId="12817" priority="266" operator="lessThan">
      <formula>0</formula>
    </cfRule>
  </conditionalFormatting>
  <conditionalFormatting sqref="AQ10 AQ12:AQ13">
    <cfRule type="cellIs" dxfId="12816" priority="265" operator="lessThan">
      <formula>0</formula>
    </cfRule>
  </conditionalFormatting>
  <conditionalFormatting sqref="AM10:AM13">
    <cfRule type="cellIs" dxfId="12815" priority="264" operator="notEqual">
      <formula>0</formula>
    </cfRule>
  </conditionalFormatting>
  <conditionalFormatting sqref="G12">
    <cfRule type="cellIs" dxfId="12814" priority="263" operator="greaterThan">
      <formula>0</formula>
    </cfRule>
  </conditionalFormatting>
  <conditionalFormatting sqref="AQ10 AQ12:AQ13">
    <cfRule type="cellIs" dxfId="12813" priority="262" operator="lessThan">
      <formula>0</formula>
    </cfRule>
  </conditionalFormatting>
  <conditionalFormatting sqref="AQ10 AQ12:AQ13">
    <cfRule type="cellIs" dxfId="12812" priority="261" operator="lessThan">
      <formula>0</formula>
    </cfRule>
  </conditionalFormatting>
  <conditionalFormatting sqref="AQ10 AQ12:AQ13">
    <cfRule type="cellIs" dxfId="12811" priority="260" operator="lessThan">
      <formula>0</formula>
    </cfRule>
  </conditionalFormatting>
  <conditionalFormatting sqref="J12">
    <cfRule type="cellIs" dxfId="12810" priority="259" operator="greaterThan">
      <formula>0</formula>
    </cfRule>
  </conditionalFormatting>
  <conditionalFormatting sqref="AQ12:AQ13">
    <cfRule type="cellIs" dxfId="12809" priority="258" operator="lessThan">
      <formula>0</formula>
    </cfRule>
  </conditionalFormatting>
  <conditionalFormatting sqref="AQ12:AQ13">
    <cfRule type="cellIs" dxfId="12808" priority="257" operator="lessThan">
      <formula>0</formula>
    </cfRule>
  </conditionalFormatting>
  <conditionalFormatting sqref="AQ12:AQ13">
    <cfRule type="cellIs" dxfId="12807" priority="256" operator="lessThan">
      <formula>0</formula>
    </cfRule>
  </conditionalFormatting>
  <conditionalFormatting sqref="AQ12:AQ13">
    <cfRule type="cellIs" dxfId="12806" priority="255" operator="lessThan">
      <formula>0</formula>
    </cfRule>
  </conditionalFormatting>
  <conditionalFormatting sqref="AQ11">
    <cfRule type="cellIs" dxfId="12805" priority="254" operator="lessThan">
      <formula>0</formula>
    </cfRule>
  </conditionalFormatting>
  <conditionalFormatting sqref="AQ11">
    <cfRule type="cellIs" dxfId="12804" priority="253" operator="lessThan">
      <formula>0</formula>
    </cfRule>
  </conditionalFormatting>
  <conditionalFormatting sqref="AQ11">
    <cfRule type="cellIs" dxfId="12803" priority="252" operator="lessThan">
      <formula>0</formula>
    </cfRule>
  </conditionalFormatting>
  <conditionalFormatting sqref="AQ11">
    <cfRule type="cellIs" dxfId="12802" priority="251" operator="lessThan">
      <formula>0</formula>
    </cfRule>
  </conditionalFormatting>
  <conditionalFormatting sqref="AQ11">
    <cfRule type="cellIs" dxfId="12801" priority="250" operator="lessThan">
      <formula>0</formula>
    </cfRule>
  </conditionalFormatting>
  <conditionalFormatting sqref="AQ11">
    <cfRule type="cellIs" dxfId="12800" priority="249" operator="lessThan">
      <formula>0</formula>
    </cfRule>
  </conditionalFormatting>
  <conditionalFormatting sqref="AQ11">
    <cfRule type="cellIs" dxfId="12799" priority="248" operator="lessThan">
      <formula>0</formula>
    </cfRule>
  </conditionalFormatting>
  <conditionalFormatting sqref="AQ11">
    <cfRule type="cellIs" dxfId="12798" priority="247" operator="lessThan">
      <formula>0</formula>
    </cfRule>
  </conditionalFormatting>
  <conditionalFormatting sqref="AQ11">
    <cfRule type="cellIs" dxfId="12797" priority="246" operator="lessThan">
      <formula>0</formula>
    </cfRule>
  </conditionalFormatting>
  <conditionalFormatting sqref="AQ11">
    <cfRule type="cellIs" dxfId="12796" priority="245" operator="lessThan">
      <formula>0</formula>
    </cfRule>
  </conditionalFormatting>
  <conditionalFormatting sqref="AQ11">
    <cfRule type="cellIs" dxfId="12795" priority="244" operator="lessThan">
      <formula>0</formula>
    </cfRule>
  </conditionalFormatting>
  <conditionalFormatting sqref="AQ11">
    <cfRule type="cellIs" dxfId="12794" priority="243" operator="lessThan">
      <formula>0</formula>
    </cfRule>
  </conditionalFormatting>
  <conditionalFormatting sqref="AQ11">
    <cfRule type="cellIs" dxfId="12793" priority="242" operator="lessThan">
      <formula>0</formula>
    </cfRule>
  </conditionalFormatting>
  <conditionalFormatting sqref="AQ11">
    <cfRule type="cellIs" dxfId="12792" priority="241" operator="lessThan">
      <formula>0</formula>
    </cfRule>
  </conditionalFormatting>
  <conditionalFormatting sqref="AQ11">
    <cfRule type="cellIs" dxfId="12791" priority="240" operator="lessThan">
      <formula>0</formula>
    </cfRule>
  </conditionalFormatting>
  <conditionalFormatting sqref="AQ11">
    <cfRule type="cellIs" dxfId="12790" priority="239" operator="lessThan">
      <formula>0</formula>
    </cfRule>
  </conditionalFormatting>
  <conditionalFormatting sqref="AQ11">
    <cfRule type="cellIs" dxfId="12789" priority="223" operator="lessThan">
      <formula>0</formula>
    </cfRule>
  </conditionalFormatting>
  <conditionalFormatting sqref="AQ11">
    <cfRule type="cellIs" dxfId="12788" priority="238" operator="lessThan">
      <formula>0</formula>
    </cfRule>
  </conditionalFormatting>
  <conditionalFormatting sqref="AQ11">
    <cfRule type="cellIs" dxfId="12787" priority="237" operator="lessThan">
      <formula>0</formula>
    </cfRule>
  </conditionalFormatting>
  <conditionalFormatting sqref="AQ11">
    <cfRule type="cellIs" dxfId="12786" priority="236" operator="lessThan">
      <formula>0</formula>
    </cfRule>
  </conditionalFormatting>
  <conditionalFormatting sqref="AQ11">
    <cfRule type="cellIs" dxfId="12785" priority="235" operator="lessThan">
      <formula>0</formula>
    </cfRule>
  </conditionalFormatting>
  <conditionalFormatting sqref="AQ11">
    <cfRule type="cellIs" dxfId="12784" priority="234" operator="lessThan">
      <formula>0</formula>
    </cfRule>
  </conditionalFormatting>
  <conditionalFormatting sqref="AQ11">
    <cfRule type="cellIs" dxfId="12783" priority="233" operator="lessThan">
      <formula>0</formula>
    </cfRule>
  </conditionalFormatting>
  <conditionalFormatting sqref="AQ11">
    <cfRule type="cellIs" dxfId="12782" priority="232" operator="lessThan">
      <formula>0</formula>
    </cfRule>
  </conditionalFormatting>
  <conditionalFormatting sqref="AQ11">
    <cfRule type="cellIs" dxfId="12781" priority="231" operator="lessThan">
      <formula>0</formula>
    </cfRule>
  </conditionalFormatting>
  <conditionalFormatting sqref="AQ11">
    <cfRule type="cellIs" dxfId="12780" priority="230" operator="lessThan">
      <formula>0</formula>
    </cfRule>
  </conditionalFormatting>
  <conditionalFormatting sqref="AQ11">
    <cfRule type="cellIs" dxfId="12779" priority="229" operator="lessThan">
      <formula>0</formula>
    </cfRule>
  </conditionalFormatting>
  <conditionalFormatting sqref="AQ11">
    <cfRule type="cellIs" dxfId="12778" priority="228" operator="lessThan">
      <formula>0</formula>
    </cfRule>
  </conditionalFormatting>
  <conditionalFormatting sqref="AQ11">
    <cfRule type="cellIs" dxfId="12777" priority="227" operator="lessThan">
      <formula>0</formula>
    </cfRule>
  </conditionalFormatting>
  <conditionalFormatting sqref="AQ11">
    <cfRule type="cellIs" dxfId="12776" priority="226" operator="lessThan">
      <formula>0</formula>
    </cfRule>
  </conditionalFormatting>
  <conditionalFormatting sqref="AQ11">
    <cfRule type="cellIs" dxfId="12775" priority="225" operator="lessThan">
      <formula>0</formula>
    </cfRule>
  </conditionalFormatting>
  <conditionalFormatting sqref="AQ11">
    <cfRule type="cellIs" dxfId="12774" priority="224" operator="lessThan">
      <formula>0</formula>
    </cfRule>
  </conditionalFormatting>
  <conditionalFormatting sqref="AM26:AM29">
    <cfRule type="cellIs" dxfId="12773" priority="220" operator="notEqual">
      <formula>0</formula>
    </cfRule>
  </conditionalFormatting>
  <conditionalFormatting sqref="G28">
    <cfRule type="cellIs" dxfId="12772" priority="219" operator="greaterThan">
      <formula>0</formula>
    </cfRule>
  </conditionalFormatting>
  <conditionalFormatting sqref="J28">
    <cfRule type="cellIs" dxfId="12771" priority="218" operator="greaterThan">
      <formula>0</formula>
    </cfRule>
  </conditionalFormatting>
  <conditionalFormatting sqref="AQ26">
    <cfRule type="cellIs" dxfId="12770" priority="217" operator="lessThan">
      <formula>0</formula>
    </cfRule>
  </conditionalFormatting>
  <conditionalFormatting sqref="AQ26 AQ28:AQ29">
    <cfRule type="cellIs" dxfId="12769" priority="216" operator="lessThan">
      <formula>0</formula>
    </cfRule>
  </conditionalFormatting>
  <conditionalFormatting sqref="AQ26 AQ28:AQ29">
    <cfRule type="cellIs" dxfId="12768" priority="215" operator="lessThan">
      <formula>0</formula>
    </cfRule>
  </conditionalFormatting>
  <conditionalFormatting sqref="AQ26 AQ28:AQ29">
    <cfRule type="cellIs" dxfId="12767" priority="214" operator="lessThan">
      <formula>0</formula>
    </cfRule>
  </conditionalFormatting>
  <conditionalFormatting sqref="AQ26 AQ28:AQ29">
    <cfRule type="cellIs" dxfId="12766" priority="213" operator="lessThan">
      <formula>0</formula>
    </cfRule>
  </conditionalFormatting>
  <conditionalFormatting sqref="AQ28:AQ29">
    <cfRule type="cellIs" dxfId="12765" priority="212" operator="lessThan">
      <formula>0</formula>
    </cfRule>
  </conditionalFormatting>
  <conditionalFormatting sqref="AQ28:AQ29">
    <cfRule type="cellIs" dxfId="12764" priority="211" operator="lessThan">
      <formula>0</formula>
    </cfRule>
  </conditionalFormatting>
  <conditionalFormatting sqref="AQ28:AQ29">
    <cfRule type="cellIs" dxfId="12763" priority="210" operator="lessThan">
      <formula>0</formula>
    </cfRule>
  </conditionalFormatting>
  <conditionalFormatting sqref="AQ28:AQ29">
    <cfRule type="cellIs" dxfId="12762" priority="209" operator="lessThan">
      <formula>0</formula>
    </cfRule>
  </conditionalFormatting>
  <conditionalFormatting sqref="AQ27">
    <cfRule type="cellIs" dxfId="12761" priority="208" operator="lessThan">
      <formula>0</formula>
    </cfRule>
  </conditionalFormatting>
  <conditionalFormatting sqref="AQ27">
    <cfRule type="cellIs" dxfId="12760" priority="207" operator="lessThan">
      <formula>0</formula>
    </cfRule>
  </conditionalFormatting>
  <conditionalFormatting sqref="AQ27">
    <cfRule type="cellIs" dxfId="12759" priority="206" operator="lessThan">
      <formula>0</formula>
    </cfRule>
  </conditionalFormatting>
  <conditionalFormatting sqref="AQ27">
    <cfRule type="cellIs" dxfId="12758" priority="205" operator="lessThan">
      <formula>0</formula>
    </cfRule>
  </conditionalFormatting>
  <conditionalFormatting sqref="AQ27">
    <cfRule type="cellIs" dxfId="12757" priority="204" operator="lessThan">
      <formula>0</formula>
    </cfRule>
  </conditionalFormatting>
  <conditionalFormatting sqref="AQ27">
    <cfRule type="cellIs" dxfId="12756" priority="203" operator="lessThan">
      <formula>0</formula>
    </cfRule>
  </conditionalFormatting>
  <conditionalFormatting sqref="AQ27">
    <cfRule type="cellIs" dxfId="12755" priority="202" operator="lessThan">
      <formula>0</formula>
    </cfRule>
  </conditionalFormatting>
  <conditionalFormatting sqref="AQ27">
    <cfRule type="cellIs" dxfId="12754" priority="201" operator="lessThan">
      <formula>0</formula>
    </cfRule>
  </conditionalFormatting>
  <conditionalFormatting sqref="AQ27">
    <cfRule type="cellIs" dxfId="12753" priority="200" operator="lessThan">
      <formula>0</formula>
    </cfRule>
  </conditionalFormatting>
  <conditionalFormatting sqref="AQ27">
    <cfRule type="cellIs" dxfId="12752" priority="199" operator="lessThan">
      <formula>0</formula>
    </cfRule>
  </conditionalFormatting>
  <conditionalFormatting sqref="AQ27">
    <cfRule type="cellIs" dxfId="12751" priority="198" operator="lessThan">
      <formula>0</formula>
    </cfRule>
  </conditionalFormatting>
  <conditionalFormatting sqref="AQ27">
    <cfRule type="cellIs" dxfId="12750" priority="197" operator="lessThan">
      <formula>0</formula>
    </cfRule>
  </conditionalFormatting>
  <conditionalFormatting sqref="AQ27">
    <cfRule type="cellIs" dxfId="12749" priority="196" operator="lessThan">
      <formula>0</formula>
    </cfRule>
  </conditionalFormatting>
  <conditionalFormatting sqref="AQ27">
    <cfRule type="cellIs" dxfId="12748" priority="195" operator="lessThan">
      <formula>0</formula>
    </cfRule>
  </conditionalFormatting>
  <conditionalFormatting sqref="AQ27">
    <cfRule type="cellIs" dxfId="12747" priority="194" operator="lessThan">
      <formula>0</formula>
    </cfRule>
  </conditionalFormatting>
  <conditionalFormatting sqref="AQ27">
    <cfRule type="cellIs" dxfId="12746" priority="193" operator="lessThan">
      <formula>0</formula>
    </cfRule>
  </conditionalFormatting>
  <conditionalFormatting sqref="AQ27">
    <cfRule type="cellIs" dxfId="12745" priority="192" operator="lessThan">
      <formula>0</formula>
    </cfRule>
  </conditionalFormatting>
  <conditionalFormatting sqref="AQ27">
    <cfRule type="cellIs" dxfId="12744" priority="191" operator="lessThan">
      <formula>0</formula>
    </cfRule>
  </conditionalFormatting>
  <conditionalFormatting sqref="AQ27">
    <cfRule type="cellIs" dxfId="12743" priority="190" operator="lessThan">
      <formula>0</formula>
    </cfRule>
  </conditionalFormatting>
  <conditionalFormatting sqref="AQ27">
    <cfRule type="cellIs" dxfId="12742" priority="189" operator="lessThan">
      <formula>0</formula>
    </cfRule>
  </conditionalFormatting>
  <conditionalFormatting sqref="AQ27">
    <cfRule type="cellIs" dxfId="12741" priority="188" operator="lessThan">
      <formula>0</formula>
    </cfRule>
  </conditionalFormatting>
  <conditionalFormatting sqref="AQ27">
    <cfRule type="cellIs" dxfId="12740" priority="187" operator="lessThan">
      <formula>0</formula>
    </cfRule>
  </conditionalFormatting>
  <conditionalFormatting sqref="AQ27">
    <cfRule type="cellIs" dxfId="12739" priority="186" operator="lessThan">
      <formula>0</formula>
    </cfRule>
  </conditionalFormatting>
  <conditionalFormatting sqref="AQ27">
    <cfRule type="cellIs" dxfId="12738" priority="185" operator="lessThan">
      <formula>0</formula>
    </cfRule>
  </conditionalFormatting>
  <conditionalFormatting sqref="AQ27">
    <cfRule type="cellIs" dxfId="12737" priority="184" operator="lessThan">
      <formula>0</formula>
    </cfRule>
  </conditionalFormatting>
  <conditionalFormatting sqref="AQ27">
    <cfRule type="cellIs" dxfId="12736" priority="183" operator="lessThan">
      <formula>0</formula>
    </cfRule>
  </conditionalFormatting>
  <conditionalFormatting sqref="AQ27">
    <cfRule type="cellIs" dxfId="12735" priority="182" operator="lessThan">
      <formula>0</formula>
    </cfRule>
  </conditionalFormatting>
  <conditionalFormatting sqref="AQ27">
    <cfRule type="cellIs" dxfId="12734" priority="181" operator="lessThan">
      <formula>0</formula>
    </cfRule>
  </conditionalFormatting>
  <conditionalFormatting sqref="AQ27">
    <cfRule type="cellIs" dxfId="12733" priority="180" operator="lessThan">
      <formula>0</formula>
    </cfRule>
  </conditionalFormatting>
  <conditionalFormatting sqref="AQ27">
    <cfRule type="cellIs" dxfId="12732" priority="179" operator="lessThan">
      <formula>0</formula>
    </cfRule>
  </conditionalFormatting>
  <conditionalFormatting sqref="AQ27">
    <cfRule type="cellIs" dxfId="12731" priority="178" operator="lessThan">
      <formula>0</formula>
    </cfRule>
  </conditionalFormatting>
  <conditionalFormatting sqref="AQ27">
    <cfRule type="cellIs" dxfId="12730" priority="177" operator="lessThan">
      <formula>0</formula>
    </cfRule>
  </conditionalFormatting>
  <conditionalFormatting sqref="AM90:AM93">
    <cfRule type="cellIs" dxfId="12729" priority="175" operator="notEqual">
      <formula>0</formula>
    </cfRule>
  </conditionalFormatting>
  <conditionalFormatting sqref="G92">
    <cfRule type="cellIs" dxfId="12728" priority="174" operator="greaterThan">
      <formula>0</formula>
    </cfRule>
  </conditionalFormatting>
  <conditionalFormatting sqref="J92">
    <cfRule type="cellIs" dxfId="12727" priority="173" operator="greaterThan">
      <formula>0</formula>
    </cfRule>
  </conditionalFormatting>
  <conditionalFormatting sqref="AQ90">
    <cfRule type="cellIs" dxfId="12726" priority="172" operator="lessThan">
      <formula>0</formula>
    </cfRule>
  </conditionalFormatting>
  <conditionalFormatting sqref="AQ90 AQ92:AQ93">
    <cfRule type="cellIs" dxfId="12725" priority="171" operator="lessThan">
      <formula>0</formula>
    </cfRule>
  </conditionalFormatting>
  <conditionalFormatting sqref="AQ90 AQ92:AQ93">
    <cfRule type="cellIs" dxfId="12724" priority="170" operator="lessThan">
      <formula>0</formula>
    </cfRule>
  </conditionalFormatting>
  <conditionalFormatting sqref="AQ90 AQ92:AQ93">
    <cfRule type="cellIs" dxfId="12723" priority="169" operator="lessThan">
      <formula>0</formula>
    </cfRule>
  </conditionalFormatting>
  <conditionalFormatting sqref="AQ90 AQ92:AQ93">
    <cfRule type="cellIs" dxfId="12722" priority="168" operator="lessThan">
      <formula>0</formula>
    </cfRule>
  </conditionalFormatting>
  <conditionalFormatting sqref="AQ92:AQ93">
    <cfRule type="cellIs" dxfId="12721" priority="167" operator="lessThan">
      <formula>0</formula>
    </cfRule>
  </conditionalFormatting>
  <conditionalFormatting sqref="AQ92:AQ93">
    <cfRule type="cellIs" dxfId="12720" priority="166" operator="lessThan">
      <formula>0</formula>
    </cfRule>
  </conditionalFormatting>
  <conditionalFormatting sqref="AQ92:AQ93">
    <cfRule type="cellIs" dxfId="12719" priority="165" operator="lessThan">
      <formula>0</formula>
    </cfRule>
  </conditionalFormatting>
  <conditionalFormatting sqref="AQ92:AQ93">
    <cfRule type="cellIs" dxfId="12718" priority="164" operator="lessThan">
      <formula>0</formula>
    </cfRule>
  </conditionalFormatting>
  <conditionalFormatting sqref="AQ91">
    <cfRule type="cellIs" dxfId="12717" priority="163" operator="lessThan">
      <formula>0</formula>
    </cfRule>
  </conditionalFormatting>
  <conditionalFormatting sqref="AQ91">
    <cfRule type="cellIs" dxfId="12716" priority="162" operator="lessThan">
      <formula>0</formula>
    </cfRule>
  </conditionalFormatting>
  <conditionalFormatting sqref="AQ91">
    <cfRule type="cellIs" dxfId="12715" priority="161" operator="lessThan">
      <formula>0</formula>
    </cfRule>
  </conditionalFormatting>
  <conditionalFormatting sqref="AQ91">
    <cfRule type="cellIs" dxfId="12714" priority="160" operator="lessThan">
      <formula>0</formula>
    </cfRule>
  </conditionalFormatting>
  <conditionalFormatting sqref="AQ91">
    <cfRule type="cellIs" dxfId="12713" priority="159" operator="lessThan">
      <formula>0</formula>
    </cfRule>
  </conditionalFormatting>
  <conditionalFormatting sqref="AQ91">
    <cfRule type="cellIs" dxfId="12712" priority="158" operator="lessThan">
      <formula>0</formula>
    </cfRule>
  </conditionalFormatting>
  <conditionalFormatting sqref="AQ91">
    <cfRule type="cellIs" dxfId="12711" priority="157" operator="lessThan">
      <formula>0</formula>
    </cfRule>
  </conditionalFormatting>
  <conditionalFormatting sqref="AQ91">
    <cfRule type="cellIs" dxfId="12710" priority="156" operator="lessThan">
      <formula>0</formula>
    </cfRule>
  </conditionalFormatting>
  <conditionalFormatting sqref="AQ91">
    <cfRule type="cellIs" dxfId="12709" priority="155" operator="lessThan">
      <formula>0</formula>
    </cfRule>
  </conditionalFormatting>
  <conditionalFormatting sqref="AQ91">
    <cfRule type="cellIs" dxfId="12708" priority="154" operator="lessThan">
      <formula>0</formula>
    </cfRule>
  </conditionalFormatting>
  <conditionalFormatting sqref="AQ91">
    <cfRule type="cellIs" dxfId="12707" priority="153" operator="lessThan">
      <formula>0</formula>
    </cfRule>
  </conditionalFormatting>
  <conditionalFormatting sqref="AQ91">
    <cfRule type="cellIs" dxfId="12706" priority="152" operator="lessThan">
      <formula>0</formula>
    </cfRule>
  </conditionalFormatting>
  <conditionalFormatting sqref="AQ91">
    <cfRule type="cellIs" dxfId="12705" priority="151" operator="lessThan">
      <formula>0</formula>
    </cfRule>
  </conditionalFormatting>
  <conditionalFormatting sqref="AQ91">
    <cfRule type="cellIs" dxfId="12704" priority="150" operator="lessThan">
      <formula>0</formula>
    </cfRule>
  </conditionalFormatting>
  <conditionalFormatting sqref="AQ91">
    <cfRule type="cellIs" dxfId="12703" priority="149" operator="lessThan">
      <formula>0</formula>
    </cfRule>
  </conditionalFormatting>
  <conditionalFormatting sqref="AQ91">
    <cfRule type="cellIs" dxfId="12702" priority="148" operator="lessThan">
      <formula>0</formula>
    </cfRule>
  </conditionalFormatting>
  <conditionalFormatting sqref="AQ91">
    <cfRule type="cellIs" dxfId="12701" priority="147" operator="lessThan">
      <formula>0</formula>
    </cfRule>
  </conditionalFormatting>
  <conditionalFormatting sqref="AQ91">
    <cfRule type="cellIs" dxfId="12700" priority="146" operator="lessThan">
      <formula>0</formula>
    </cfRule>
  </conditionalFormatting>
  <conditionalFormatting sqref="AQ91">
    <cfRule type="cellIs" dxfId="12699" priority="145" operator="lessThan">
      <formula>0</formula>
    </cfRule>
  </conditionalFormatting>
  <conditionalFormatting sqref="AQ91">
    <cfRule type="cellIs" dxfId="12698" priority="144" operator="lessThan">
      <formula>0</formula>
    </cfRule>
  </conditionalFormatting>
  <conditionalFormatting sqref="AQ91">
    <cfRule type="cellIs" dxfId="12697" priority="143" operator="lessThan">
      <formula>0</formula>
    </cfRule>
  </conditionalFormatting>
  <conditionalFormatting sqref="AQ91">
    <cfRule type="cellIs" dxfId="12696" priority="142" operator="lessThan">
      <formula>0</formula>
    </cfRule>
  </conditionalFormatting>
  <conditionalFormatting sqref="AQ91">
    <cfRule type="cellIs" dxfId="12695" priority="141" operator="lessThan">
      <formula>0</formula>
    </cfRule>
  </conditionalFormatting>
  <conditionalFormatting sqref="AQ91">
    <cfRule type="cellIs" dxfId="12694" priority="140" operator="lessThan">
      <formula>0</formula>
    </cfRule>
  </conditionalFormatting>
  <conditionalFormatting sqref="AQ91">
    <cfRule type="cellIs" dxfId="12693" priority="139" operator="lessThan">
      <formula>0</formula>
    </cfRule>
  </conditionalFormatting>
  <conditionalFormatting sqref="AQ91">
    <cfRule type="cellIs" dxfId="12692" priority="138" operator="lessThan">
      <formula>0</formula>
    </cfRule>
  </conditionalFormatting>
  <conditionalFormatting sqref="AQ91">
    <cfRule type="cellIs" dxfId="12691" priority="137" operator="lessThan">
      <formula>0</formula>
    </cfRule>
  </conditionalFormatting>
  <conditionalFormatting sqref="AQ91">
    <cfRule type="cellIs" dxfId="12690" priority="136" operator="lessThan">
      <formula>0</formula>
    </cfRule>
  </conditionalFormatting>
  <conditionalFormatting sqref="AQ91">
    <cfRule type="cellIs" dxfId="12689" priority="135" operator="lessThan">
      <formula>0</formula>
    </cfRule>
  </conditionalFormatting>
  <conditionalFormatting sqref="AQ91">
    <cfRule type="cellIs" dxfId="12688" priority="134" operator="lessThan">
      <formula>0</formula>
    </cfRule>
  </conditionalFormatting>
  <conditionalFormatting sqref="AQ91">
    <cfRule type="cellIs" dxfId="12687" priority="133" operator="lessThan">
      <formula>0</formula>
    </cfRule>
  </conditionalFormatting>
  <conditionalFormatting sqref="AQ91">
    <cfRule type="cellIs" dxfId="12686" priority="132" operator="lessThan">
      <formula>0</formula>
    </cfRule>
  </conditionalFormatting>
  <conditionalFormatting sqref="Y7">
    <cfRule type="iconSet" priority="130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12685" priority="129" operator="lessThan">
      <formula>0</formula>
    </cfRule>
  </conditionalFormatting>
  <conditionalFormatting sqref="Y6:Y8">
    <cfRule type="cellIs" dxfId="12684" priority="128" operator="lessThan">
      <formula>0</formula>
    </cfRule>
  </conditionalFormatting>
  <conditionalFormatting sqref="AM82:AM85">
    <cfRule type="cellIs" dxfId="12683" priority="123" operator="notEqual">
      <formula>0</formula>
    </cfRule>
  </conditionalFormatting>
  <conditionalFormatting sqref="G84">
    <cfRule type="cellIs" dxfId="12682" priority="122" operator="greaterThan">
      <formula>0</formula>
    </cfRule>
  </conditionalFormatting>
  <conditionalFormatting sqref="J84">
    <cfRule type="cellIs" dxfId="12681" priority="121" operator="greaterThan">
      <formula>0</formula>
    </cfRule>
  </conditionalFormatting>
  <conditionalFormatting sqref="AQ82">
    <cfRule type="cellIs" dxfId="12680" priority="120" operator="lessThan">
      <formula>0</formula>
    </cfRule>
  </conditionalFormatting>
  <conditionalFormatting sqref="AQ82 AQ84:AQ85">
    <cfRule type="cellIs" dxfId="12679" priority="119" operator="lessThan">
      <formula>0</formula>
    </cfRule>
  </conditionalFormatting>
  <conditionalFormatting sqref="AQ82 AQ84:AQ85">
    <cfRule type="cellIs" dxfId="12678" priority="118" operator="lessThan">
      <formula>0</formula>
    </cfRule>
  </conditionalFormatting>
  <conditionalFormatting sqref="AQ82 AQ84:AQ85">
    <cfRule type="cellIs" dxfId="12677" priority="117" operator="lessThan">
      <formula>0</formula>
    </cfRule>
  </conditionalFormatting>
  <conditionalFormatting sqref="AQ82 AQ84:AQ85">
    <cfRule type="cellIs" dxfId="12676" priority="116" operator="lessThan">
      <formula>0</formula>
    </cfRule>
  </conditionalFormatting>
  <conditionalFormatting sqref="AQ84:AQ85">
    <cfRule type="cellIs" dxfId="12675" priority="115" operator="lessThan">
      <formula>0</formula>
    </cfRule>
  </conditionalFormatting>
  <conditionalFormatting sqref="AQ84:AQ85">
    <cfRule type="cellIs" dxfId="12674" priority="114" operator="lessThan">
      <formula>0</formula>
    </cfRule>
  </conditionalFormatting>
  <conditionalFormatting sqref="AQ84:AQ85">
    <cfRule type="cellIs" dxfId="12673" priority="113" operator="lessThan">
      <formula>0</formula>
    </cfRule>
  </conditionalFormatting>
  <conditionalFormatting sqref="AQ84:AQ85">
    <cfRule type="cellIs" dxfId="12672" priority="112" operator="lessThan">
      <formula>0</formula>
    </cfRule>
  </conditionalFormatting>
  <conditionalFormatting sqref="AQ83">
    <cfRule type="cellIs" dxfId="12671" priority="108" operator="lessThan">
      <formula>0</formula>
    </cfRule>
  </conditionalFormatting>
  <conditionalFormatting sqref="AQ83">
    <cfRule type="cellIs" dxfId="12670" priority="107" operator="lessThan">
      <formula>0</formula>
    </cfRule>
  </conditionalFormatting>
  <conditionalFormatting sqref="AQ83">
    <cfRule type="cellIs" dxfId="12669" priority="106" operator="lessThan">
      <formula>0</formula>
    </cfRule>
  </conditionalFormatting>
  <conditionalFormatting sqref="AQ83">
    <cfRule type="cellIs" dxfId="12668" priority="105" operator="lessThan">
      <formula>0</formula>
    </cfRule>
  </conditionalFormatting>
  <conditionalFormatting sqref="AQ83">
    <cfRule type="cellIs" dxfId="12667" priority="104" operator="lessThan">
      <formula>0</formula>
    </cfRule>
  </conditionalFormatting>
  <conditionalFormatting sqref="AQ83">
    <cfRule type="cellIs" dxfId="12666" priority="103" operator="lessThan">
      <formula>0</formula>
    </cfRule>
  </conditionalFormatting>
  <conditionalFormatting sqref="AQ83">
    <cfRule type="cellIs" dxfId="12665" priority="102" operator="lessThan">
      <formula>0</formula>
    </cfRule>
  </conditionalFormatting>
  <conditionalFormatting sqref="AQ83">
    <cfRule type="cellIs" dxfId="12664" priority="101" operator="lessThan">
      <formula>0</formula>
    </cfRule>
  </conditionalFormatting>
  <conditionalFormatting sqref="AQ83">
    <cfRule type="cellIs" dxfId="12663" priority="100" operator="lessThan">
      <formula>0</formula>
    </cfRule>
  </conditionalFormatting>
  <conditionalFormatting sqref="AQ83">
    <cfRule type="cellIs" dxfId="12662" priority="99" operator="lessThan">
      <formula>0</formula>
    </cfRule>
  </conditionalFormatting>
  <conditionalFormatting sqref="AQ83">
    <cfRule type="cellIs" dxfId="12661" priority="98" operator="lessThan">
      <formula>0</formula>
    </cfRule>
  </conditionalFormatting>
  <conditionalFormatting sqref="AQ83">
    <cfRule type="cellIs" dxfId="12660" priority="97" operator="lessThan">
      <formula>0</formula>
    </cfRule>
  </conditionalFormatting>
  <conditionalFormatting sqref="AQ83">
    <cfRule type="cellIs" dxfId="12659" priority="96" operator="lessThan">
      <formula>0</formula>
    </cfRule>
  </conditionalFormatting>
  <conditionalFormatting sqref="AQ83">
    <cfRule type="cellIs" dxfId="12658" priority="95" operator="lessThan">
      <formula>0</formula>
    </cfRule>
  </conditionalFormatting>
  <conditionalFormatting sqref="AQ83">
    <cfRule type="cellIs" dxfId="12657" priority="94" operator="lessThan">
      <formula>0</formula>
    </cfRule>
  </conditionalFormatting>
  <conditionalFormatting sqref="AQ83">
    <cfRule type="cellIs" dxfId="12656" priority="93" operator="lessThan">
      <formula>0</formula>
    </cfRule>
  </conditionalFormatting>
  <conditionalFormatting sqref="AQ83">
    <cfRule type="cellIs" dxfId="12655" priority="92" operator="lessThan">
      <formula>0</formula>
    </cfRule>
  </conditionalFormatting>
  <conditionalFormatting sqref="AQ83">
    <cfRule type="cellIs" dxfId="12654" priority="91" operator="lessThan">
      <formula>0</formula>
    </cfRule>
  </conditionalFormatting>
  <conditionalFormatting sqref="AQ83">
    <cfRule type="cellIs" dxfId="12653" priority="90" operator="lessThan">
      <formula>0</formula>
    </cfRule>
  </conditionalFormatting>
  <conditionalFormatting sqref="AQ83">
    <cfRule type="cellIs" dxfId="12652" priority="89" operator="lessThan">
      <formula>0</formula>
    </cfRule>
  </conditionalFormatting>
  <conditionalFormatting sqref="AQ83">
    <cfRule type="cellIs" dxfId="12651" priority="88" operator="lessThan">
      <formula>0</formula>
    </cfRule>
  </conditionalFormatting>
  <conditionalFormatting sqref="AQ83">
    <cfRule type="cellIs" dxfId="12650" priority="87" operator="lessThan">
      <formula>0</formula>
    </cfRule>
  </conditionalFormatting>
  <conditionalFormatting sqref="AQ83">
    <cfRule type="cellIs" dxfId="12649" priority="86" operator="lessThan">
      <formula>0</formula>
    </cfRule>
  </conditionalFormatting>
  <conditionalFormatting sqref="AQ83">
    <cfRule type="cellIs" dxfId="12648" priority="85" operator="lessThan">
      <formula>0</formula>
    </cfRule>
  </conditionalFormatting>
  <conditionalFormatting sqref="AQ83">
    <cfRule type="cellIs" dxfId="12647" priority="84" operator="lessThan">
      <formula>0</formula>
    </cfRule>
  </conditionalFormatting>
  <conditionalFormatting sqref="AQ83">
    <cfRule type="cellIs" dxfId="12646" priority="83" operator="lessThan">
      <formula>0</formula>
    </cfRule>
  </conditionalFormatting>
  <conditionalFormatting sqref="AQ83">
    <cfRule type="cellIs" dxfId="12645" priority="82" operator="lessThan">
      <formula>0</formula>
    </cfRule>
  </conditionalFormatting>
  <conditionalFormatting sqref="AQ83">
    <cfRule type="cellIs" dxfId="12644" priority="81" operator="lessThan">
      <formula>0</formula>
    </cfRule>
  </conditionalFormatting>
  <conditionalFormatting sqref="AQ83">
    <cfRule type="cellIs" dxfId="12643" priority="80" operator="lessThan">
      <formula>0</formula>
    </cfRule>
  </conditionalFormatting>
  <conditionalFormatting sqref="AQ83">
    <cfRule type="cellIs" dxfId="12642" priority="79" operator="lessThan">
      <formula>0</formula>
    </cfRule>
  </conditionalFormatting>
  <conditionalFormatting sqref="AQ83">
    <cfRule type="cellIs" dxfId="12641" priority="78" operator="lessThan">
      <formula>0</formula>
    </cfRule>
  </conditionalFormatting>
  <conditionalFormatting sqref="AQ83">
    <cfRule type="cellIs" dxfId="12640" priority="77" operator="lessThan">
      <formula>0</formula>
    </cfRule>
  </conditionalFormatting>
  <conditionalFormatting sqref="Y9">
    <cfRule type="cellIs" dxfId="12639" priority="76" operator="lessThan">
      <formula>0</formula>
    </cfRule>
  </conditionalFormatting>
  <conditionalFormatting sqref="Y11 Y15 Y19 Y23 Y27 Y31 Y35 Y43 Y47 Y51 Y55 Y59 Y63 Y67 Y71 Y75 Y79 Y83 Y87 Y91 Y95">
    <cfRule type="iconSet" priority="75">
      <iconSet>
        <cfvo type="percent" val="0"/>
        <cfvo type="percent" val="&quot;$I$6&quot;"/>
        <cfvo type="percent" val="#REF!"/>
      </iconSet>
    </cfRule>
  </conditionalFormatting>
  <conditionalFormatting sqref="Y12 Y16 Y20 Y24 Y28 Y32 Y36 Y44 Y48 Y52 Y56 Y60 Y64 Y68 Y72 Y76 Y80 Y84 Y88 Y92 Y96">
    <cfRule type="cellIs" dxfId="12638" priority="74" operator="lessThan">
      <formula>0</formula>
    </cfRule>
  </conditionalFormatting>
  <conditionalFormatting sqref="Y10:Y12 Y14:Y16 Y18:Y20 Y22:Y24 Y26:Y28 Y30:Y32 Y34:Y36 Y42:Y44 Y46:Y48 Y50:Y52 Y54:Y56 Y58:Y60 Y62:Y64 Y66:Y68 Y70:Y72 Y74:Y76 Y78:Y80 Y82:Y84 Y86:Y88 Y90:Y92 Y94:Y96">
    <cfRule type="cellIs" dxfId="12637" priority="73" operator="lessThan">
      <formula>0</formula>
    </cfRule>
  </conditionalFormatting>
  <conditionalFormatting sqref="Y13 Y17 Y21 Y25 Y29 Y33 Y37 Y45 Y49 Y53 Y57 Y61 Y65 Y69 Y73 Y77 Y81 Y85 Y89 Y93 Y97">
    <cfRule type="cellIs" dxfId="12636" priority="72" operator="lessThan">
      <formula>0</formula>
    </cfRule>
  </conditionalFormatting>
  <conditionalFormatting sqref="X7">
    <cfRule type="iconSet" priority="62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2635" priority="61" operator="lessThan">
      <formula>0</formula>
    </cfRule>
  </conditionalFormatting>
  <conditionalFormatting sqref="X6:X9">
    <cfRule type="cellIs" dxfId="12634" priority="60" operator="lessThan">
      <formula>0</formula>
    </cfRule>
  </conditionalFormatting>
  <conditionalFormatting sqref="X11 X15 X19 X23 X27 X31 X35 X43 X47 X51 X55 X59 X63 X67 X71 X75 X79 X83 X87 X91 X95">
    <cfRule type="iconSet" priority="56">
      <iconSet>
        <cfvo type="percent" val="0"/>
        <cfvo type="percent" val="&quot;$I$6&quot;"/>
        <cfvo type="percent" val="#REF!"/>
      </iconSet>
    </cfRule>
  </conditionalFormatting>
  <conditionalFormatting sqref="X12 X16 X20 X24 X28 X32 X36 X44 X48 X52 X56 X60 X64 X68 X72 X76 X80 X84 X88 X92 X96">
    <cfRule type="cellIs" dxfId="12633" priority="55" operator="lessThan">
      <formula>0</formula>
    </cfRule>
  </conditionalFormatting>
  <conditionalFormatting sqref="X10:X37 X42:X97">
    <cfRule type="cellIs" dxfId="12632" priority="54" operator="lessThan">
      <formula>0</formula>
    </cfRule>
  </conditionalFormatting>
  <conditionalFormatting sqref="J48">
    <cfRule type="cellIs" dxfId="12631" priority="53" operator="greaterThan">
      <formula>0</formula>
    </cfRule>
  </conditionalFormatting>
  <conditionalFormatting sqref="AM38:AM41">
    <cfRule type="cellIs" dxfId="12630" priority="51" operator="notEqual">
      <formula>0</formula>
    </cfRule>
  </conditionalFormatting>
  <conditionalFormatting sqref="G40">
    <cfRule type="cellIs" dxfId="12629" priority="50" operator="greaterThan">
      <formula>0</formula>
    </cfRule>
  </conditionalFormatting>
  <conditionalFormatting sqref="J40">
    <cfRule type="cellIs" dxfId="12628" priority="49" operator="greaterThan">
      <formula>0</formula>
    </cfRule>
  </conditionalFormatting>
  <conditionalFormatting sqref="AQ38">
    <cfRule type="cellIs" dxfId="12627" priority="48" operator="lessThan">
      <formula>0</formula>
    </cfRule>
  </conditionalFormatting>
  <conditionalFormatting sqref="AQ38 AQ40:AQ41">
    <cfRule type="cellIs" dxfId="12626" priority="47" operator="lessThan">
      <formula>0</formula>
    </cfRule>
  </conditionalFormatting>
  <conditionalFormatting sqref="AQ38 AQ40:AQ41">
    <cfRule type="cellIs" dxfId="12625" priority="46" operator="lessThan">
      <formula>0</formula>
    </cfRule>
  </conditionalFormatting>
  <conditionalFormatting sqref="AQ38 AQ40:AQ41">
    <cfRule type="cellIs" dxfId="12624" priority="45" operator="lessThan">
      <formula>0</formula>
    </cfRule>
  </conditionalFormatting>
  <conditionalFormatting sqref="AQ38 AQ40:AQ41">
    <cfRule type="cellIs" dxfId="12623" priority="44" operator="lessThan">
      <formula>0</formula>
    </cfRule>
  </conditionalFormatting>
  <conditionalFormatting sqref="AQ40:AQ41">
    <cfRule type="cellIs" dxfId="12622" priority="43" operator="lessThan">
      <formula>0</formula>
    </cfRule>
  </conditionalFormatting>
  <conditionalFormatting sqref="AQ40:AQ41">
    <cfRule type="cellIs" dxfId="12621" priority="42" operator="lessThan">
      <formula>0</formula>
    </cfRule>
  </conditionalFormatting>
  <conditionalFormatting sqref="AQ40:AQ41">
    <cfRule type="cellIs" dxfId="12620" priority="41" operator="lessThan">
      <formula>0</formula>
    </cfRule>
  </conditionalFormatting>
  <conditionalFormatting sqref="AQ40:AQ41">
    <cfRule type="cellIs" dxfId="12619" priority="40" operator="lessThan">
      <formula>0</formula>
    </cfRule>
  </conditionalFormatting>
  <conditionalFormatting sqref="AQ39">
    <cfRule type="cellIs" dxfId="12618" priority="39" operator="lessThan">
      <formula>0</formula>
    </cfRule>
  </conditionalFormatting>
  <conditionalFormatting sqref="AQ39">
    <cfRule type="cellIs" dxfId="12617" priority="38" operator="lessThan">
      <formula>0</formula>
    </cfRule>
  </conditionalFormatting>
  <conditionalFormatting sqref="AQ39">
    <cfRule type="cellIs" dxfId="12616" priority="37" operator="lessThan">
      <formula>0</formula>
    </cfRule>
  </conditionalFormatting>
  <conditionalFormatting sqref="AQ39">
    <cfRule type="cellIs" dxfId="12615" priority="36" operator="lessThan">
      <formula>0</formula>
    </cfRule>
  </conditionalFormatting>
  <conditionalFormatting sqref="AQ39">
    <cfRule type="cellIs" dxfId="12614" priority="35" operator="lessThan">
      <formula>0</formula>
    </cfRule>
  </conditionalFormatting>
  <conditionalFormatting sqref="AQ39">
    <cfRule type="cellIs" dxfId="12613" priority="34" operator="lessThan">
      <formula>0</formula>
    </cfRule>
  </conditionalFormatting>
  <conditionalFormatting sqref="AQ39">
    <cfRule type="cellIs" dxfId="12612" priority="33" operator="lessThan">
      <formula>0</formula>
    </cfRule>
  </conditionalFormatting>
  <conditionalFormatting sqref="AQ39">
    <cfRule type="cellIs" dxfId="12611" priority="32" operator="lessThan">
      <formula>0</formula>
    </cfRule>
  </conditionalFormatting>
  <conditionalFormatting sqref="AQ39">
    <cfRule type="cellIs" dxfId="12610" priority="31" operator="lessThan">
      <formula>0</formula>
    </cfRule>
  </conditionalFormatting>
  <conditionalFormatting sqref="AQ39">
    <cfRule type="cellIs" dxfId="12609" priority="30" operator="lessThan">
      <formula>0</formula>
    </cfRule>
  </conditionalFormatting>
  <conditionalFormatting sqref="AQ39">
    <cfRule type="cellIs" dxfId="12608" priority="29" operator="lessThan">
      <formula>0</formula>
    </cfRule>
  </conditionalFormatting>
  <conditionalFormatting sqref="AQ39">
    <cfRule type="cellIs" dxfId="12607" priority="28" operator="lessThan">
      <formula>0</formula>
    </cfRule>
  </conditionalFormatting>
  <conditionalFormatting sqref="AQ39">
    <cfRule type="cellIs" dxfId="12606" priority="27" operator="lessThan">
      <formula>0</formula>
    </cfRule>
  </conditionalFormatting>
  <conditionalFormatting sqref="AQ39">
    <cfRule type="cellIs" dxfId="12605" priority="26" operator="lessThan">
      <formula>0</formula>
    </cfRule>
  </conditionalFormatting>
  <conditionalFormatting sqref="AQ39">
    <cfRule type="cellIs" dxfId="12604" priority="25" operator="lessThan">
      <formula>0</formula>
    </cfRule>
  </conditionalFormatting>
  <conditionalFormatting sqref="AQ39">
    <cfRule type="cellIs" dxfId="12603" priority="24" operator="lessThan">
      <formula>0</formula>
    </cfRule>
  </conditionalFormatting>
  <conditionalFormatting sqref="AQ39">
    <cfRule type="cellIs" dxfId="12602" priority="23" operator="lessThan">
      <formula>0</formula>
    </cfRule>
  </conditionalFormatting>
  <conditionalFormatting sqref="AQ39">
    <cfRule type="cellIs" dxfId="12601" priority="22" operator="lessThan">
      <formula>0</formula>
    </cfRule>
  </conditionalFormatting>
  <conditionalFormatting sqref="AQ39">
    <cfRule type="cellIs" dxfId="12600" priority="21" operator="lessThan">
      <formula>0</formula>
    </cfRule>
  </conditionalFormatting>
  <conditionalFormatting sqref="AQ39">
    <cfRule type="cellIs" dxfId="12599" priority="20" operator="lessThan">
      <formula>0</formula>
    </cfRule>
  </conditionalFormatting>
  <conditionalFormatting sqref="AQ39">
    <cfRule type="cellIs" dxfId="12598" priority="19" operator="lessThan">
      <formula>0</formula>
    </cfRule>
  </conditionalFormatting>
  <conditionalFormatting sqref="AQ39">
    <cfRule type="cellIs" dxfId="12597" priority="18" operator="lessThan">
      <formula>0</formula>
    </cfRule>
  </conditionalFormatting>
  <conditionalFormatting sqref="AQ39">
    <cfRule type="cellIs" dxfId="12596" priority="17" operator="lessThan">
      <formula>0</formula>
    </cfRule>
  </conditionalFormatting>
  <conditionalFormatting sqref="AQ39">
    <cfRule type="cellIs" dxfId="12595" priority="16" operator="lessThan">
      <formula>0</formula>
    </cfRule>
  </conditionalFormatting>
  <conditionalFormatting sqref="AQ39">
    <cfRule type="cellIs" dxfId="12594" priority="15" operator="lessThan">
      <formula>0</formula>
    </cfRule>
  </conditionalFormatting>
  <conditionalFormatting sqref="AQ39">
    <cfRule type="cellIs" dxfId="12593" priority="14" operator="lessThan">
      <formula>0</formula>
    </cfRule>
  </conditionalFormatting>
  <conditionalFormatting sqref="AQ39">
    <cfRule type="cellIs" dxfId="12592" priority="13" operator="lessThan">
      <formula>0</formula>
    </cfRule>
  </conditionalFormatting>
  <conditionalFormatting sqref="AQ39">
    <cfRule type="cellIs" dxfId="12591" priority="12" operator="lessThan">
      <formula>0</formula>
    </cfRule>
  </conditionalFormatting>
  <conditionalFormatting sqref="AQ39">
    <cfRule type="cellIs" dxfId="12590" priority="11" operator="lessThan">
      <formula>0</formula>
    </cfRule>
  </conditionalFormatting>
  <conditionalFormatting sqref="AQ39">
    <cfRule type="cellIs" dxfId="12589" priority="10" operator="lessThan">
      <formula>0</formula>
    </cfRule>
  </conditionalFormatting>
  <conditionalFormatting sqref="AQ39">
    <cfRule type="cellIs" dxfId="12588" priority="9" operator="lessThan">
      <formula>0</formula>
    </cfRule>
  </conditionalFormatting>
  <conditionalFormatting sqref="AQ39">
    <cfRule type="cellIs" dxfId="12587" priority="8" operator="lessThan">
      <formula>0</formula>
    </cfRule>
  </conditionalFormatting>
  <conditionalFormatting sqref="Y39">
    <cfRule type="iconSet" priority="7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12586" priority="6" operator="lessThan">
      <formula>0</formula>
    </cfRule>
  </conditionalFormatting>
  <conditionalFormatting sqref="Y38:Y40">
    <cfRule type="cellIs" dxfId="12585" priority="5" operator="lessThan">
      <formula>0</formula>
    </cfRule>
  </conditionalFormatting>
  <conditionalFormatting sqref="Y41">
    <cfRule type="cellIs" dxfId="12584" priority="4" operator="lessThan">
      <formula>0</formula>
    </cfRule>
  </conditionalFormatting>
  <conditionalFormatting sqref="X39">
    <cfRule type="iconSet" priority="3">
      <iconSet>
        <cfvo type="percent" val="0"/>
        <cfvo type="percent" val="&quot;$I$6&quot;"/>
        <cfvo type="percent" val="#REF!"/>
      </iconSet>
    </cfRule>
  </conditionalFormatting>
  <conditionalFormatting sqref="X40">
    <cfRule type="cellIs" dxfId="12583" priority="2" operator="lessThan">
      <formula>0</formula>
    </cfRule>
  </conditionalFormatting>
  <conditionalFormatting sqref="X38:X41">
    <cfRule type="cellIs" dxfId="12582" priority="1" operator="less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18" id="{3DBF5C87-5246-4A48-A183-7CD26B86EC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413" id="{42E575B4-67D7-4A9C-A462-2AF087E65D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410" id="{55F1FDFD-1ECC-4C5C-91FD-A65FEB0FF62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407" id="{E647EA3B-6A33-4344-8C8D-B18920DB334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400" id="{9996F1EE-530D-4DD9-B4F1-91E4168260A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397" id="{80EAE179-E4C7-4719-912E-FAB6A41B1D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394" id="{4BF6E786-741E-4730-A2E3-98E5BE8B88E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391" id="{F528E41B-9127-4A90-99EB-E2F434D54EA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382" id="{007AB12F-4D32-40BF-81DF-4A42A705878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378" id="{86347CC7-F008-4DDE-8B09-D3A38995E97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375" id="{551C7ABA-1D83-4C89-94CF-87C27A0E382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372" id="{1305E4B1-0975-4F24-9E7B-9AA7542D7F4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Z94</xm:sqref>
        </x14:conditionalFormatting>
        <x14:conditionalFormatting xmlns:xm="http://schemas.microsoft.com/office/excel/2006/main">
          <x14:cfRule type="iconSet" priority="366" id="{F599A559-69BF-485C-A3C0-8B5617F5E4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361" id="{73FB5DE2-96FC-4C1D-AB2E-2B8565716E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357" id="{CD135909-9F94-48CD-B801-D0D142A192A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354" id="{8D35A563-C963-4531-B04B-B748627CA53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327" id="{A220F351-3600-428F-B125-EB0AC6EDC84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222" id="{5CA8EB86-5C21-4E9A-9ECE-31E2A9D996E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221" id="{A302679C-F7EB-4EAC-B1E6-A9856D31246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176" id="{012F6D2B-0E90-4942-8697-D51568FA3FA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131" id="{D5DF46DE-185C-414F-9ADA-150C469C6CD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124" id="{B39E01C4-C7FB-4B68-A15A-01794412A48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52" id="{437CB5F8-FC74-4327-9E20-B72888C2098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97"/>
  <sheetViews>
    <sheetView zoomScale="18" zoomScaleNormal="18" zoomScaleSheetLayoutView="10" workbookViewId="0">
      <pane xSplit="11" ySplit="5" topLeftCell="L81" activePane="bottomRight" state="frozen"/>
      <selection pane="topRight" activeCell="L1" sqref="L1"/>
      <selection pane="bottomLeft" activeCell="A6" sqref="A6"/>
      <selection pane="bottomRight" activeCell="Z89" sqref="Z89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0.57726104653349875</v>
      </c>
      <c r="AE2" s="520"/>
      <c r="AH2" s="183">
        <f>+SUBTOTAL(9,AH6:AH119)</f>
        <v>332287.5</v>
      </c>
      <c r="AI2" s="183">
        <f>+SUBTOTAL(9,AI6:AI119)</f>
        <v>191816.62999999998</v>
      </c>
      <c r="AT2" s="91">
        <v>0.59793648334624327</v>
      </c>
    </row>
    <row r="3" spans="2:58" ht="94.5" customHeight="1" x14ac:dyDescent="0.9">
      <c r="B3" s="470"/>
      <c r="C3" s="470"/>
      <c r="D3" s="470"/>
      <c r="E3" s="470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70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+SUMIF($L$6:$L$102,AA3,$AA$6:$AA$102)</f>
        <v>4232</v>
      </c>
      <c r="AB4" s="144" t="s">
        <v>28</v>
      </c>
      <c r="AC4" s="145"/>
      <c r="AD4" s="524" t="str">
        <f ca="1">RIGHT(CELL("filename",A1),LEN(CELL("filename",A1))-FIND("]",CELL("filename",A1)))</f>
        <v>06-01-2026</v>
      </c>
      <c r="AE4" s="524"/>
      <c r="AF4" s="397">
        <f>+SUM(AF6:AF107)</f>
        <v>5538.125</v>
      </c>
      <c r="AG4" s="397"/>
      <c r="AH4" s="98"/>
      <c r="AI4" s="98"/>
      <c r="AJ4" s="398">
        <v>8.75</v>
      </c>
      <c r="AQ4" s="437">
        <f>+SUBTOTAL(9,AQ6:AQ103)</f>
        <v>-569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39" t="s">
        <v>429</v>
      </c>
      <c r="H6" s="106"/>
      <c r="I6" s="106"/>
      <c r="J6" s="107" t="s">
        <v>20</v>
      </c>
      <c r="K6" s="108" t="s">
        <v>23</v>
      </c>
      <c r="L6" s="100" t="s">
        <v>21</v>
      </c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7" t="str">
        <f>IF(AQ7="","",SUM(M6:W6)-(-(AQ7-SUM(M6:W6))/$AQ$3)*SUM($M$2:$W$2))</f>
        <v/>
      </c>
      <c r="Y6" s="466"/>
      <c r="Z6" s="533">
        <f>+X8</f>
        <v>0</v>
      </c>
      <c r="AA6" s="447">
        <f t="shared" ref="AA6:AA71" si="0">+SUM(L6:W6)</f>
        <v>0</v>
      </c>
      <c r="AB6" s="343">
        <f>+AC6+AA6</f>
        <v>6024</v>
      </c>
      <c r="AC6" s="343">
        <v>6024</v>
      </c>
      <c r="AD6" s="344"/>
      <c r="AE6" s="345"/>
      <c r="AF6" s="346"/>
      <c r="AG6" s="347">
        <f t="shared" ref="AG6:AG93" si="1">TRUNC(AF6)+(AF6-TRUNC(AF6))*60/100</f>
        <v>0</v>
      </c>
      <c r="AH6" s="341">
        <f t="shared" ref="AH6:AH93" si="2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427</v>
      </c>
      <c r="E7" s="111"/>
      <c r="F7" s="111" t="s">
        <v>428</v>
      </c>
      <c r="G7" s="539" t="str">
        <f t="shared" ref="G7:G9" si="3">+G6</f>
        <v>NEGRONI-202942</v>
      </c>
      <c r="H7" s="111"/>
      <c r="I7" s="111" t="s">
        <v>430</v>
      </c>
      <c r="J7" s="113">
        <v>48.06</v>
      </c>
      <c r="K7" s="130">
        <v>60</v>
      </c>
      <c r="L7" s="101" t="s">
        <v>17</v>
      </c>
      <c r="M7" s="214"/>
      <c r="N7" s="214"/>
      <c r="O7" s="214"/>
      <c r="P7" s="214"/>
      <c r="Q7" s="214"/>
      <c r="R7" s="214"/>
      <c r="S7" s="214"/>
      <c r="T7" s="214"/>
      <c r="U7" s="214"/>
      <c r="V7" s="214"/>
      <c r="W7" s="214"/>
      <c r="X7" s="123">
        <f>+IF(H8="s",0,IF(AA7=0,0,IF(COUNTA(M7:W7)=AK9+0.25,SUMIF($C:$C,B7,$AA:$AA)/AK9,SUMIF($C:$C,B7,$AA:$AA)/(COUNTA(M7:W7)))))</f>
        <v>0</v>
      </c>
      <c r="Y7" s="466"/>
      <c r="Z7" s="534"/>
      <c r="AA7" s="134">
        <f>+SUM(L7:W7)</f>
        <v>0</v>
      </c>
      <c r="AB7" s="354">
        <f>+AA7+AC7</f>
        <v>6017</v>
      </c>
      <c r="AC7" s="354">
        <v>6017</v>
      </c>
      <c r="AD7" s="355">
        <f>+AB6-AB7</f>
        <v>7</v>
      </c>
      <c r="AE7" s="131" t="str">
        <f>+IF(((AA8+(AA9/2))*60)=0,"",(J7*AA7)/((AA8+(AA9/2))*60))</f>
        <v/>
      </c>
      <c r="AF7" s="347">
        <f>+AA8+AA9/2</f>
        <v>0</v>
      </c>
      <c r="AG7" s="347">
        <f t="shared" si="1"/>
        <v>0</v>
      </c>
      <c r="AH7" s="341">
        <f>+AF7*60</f>
        <v>0</v>
      </c>
      <c r="AI7" s="341">
        <f>+AA7*J7</f>
        <v>0</v>
      </c>
      <c r="AJ7" s="356">
        <f>+AA7-(AF7*K7/K9)</f>
        <v>0</v>
      </c>
      <c r="AK7" s="348"/>
      <c r="AL7" s="349"/>
      <c r="AM7" s="341"/>
      <c r="AN7" s="341"/>
      <c r="AO7" s="341"/>
      <c r="AP7" s="341"/>
      <c r="AQ7" s="339" t="str">
        <f t="shared" ref="AQ7:AQ67" si="4">IF(AR7=0,"",AT7-(($AQ$3*K7)+($AQ$3*K7)*AR7)+AA6)</f>
        <v/>
      </c>
      <c r="AR7" s="434"/>
      <c r="AT7" s="390">
        <v>7</v>
      </c>
      <c r="AV7" s="390">
        <f>+AT7-AD7</f>
        <v>0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39" t="str">
        <f t="shared" si="3"/>
        <v>NEGRONI-202942</v>
      </c>
      <c r="H8" s="411" t="s">
        <v>479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448"/>
      <c r="N8" s="448"/>
      <c r="O8" s="448"/>
      <c r="P8" s="448"/>
      <c r="Q8" s="448"/>
      <c r="R8" s="448"/>
      <c r="S8" s="448"/>
      <c r="T8" s="448"/>
      <c r="U8" s="448"/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0</v>
      </c>
      <c r="Y8" s="466"/>
      <c r="Z8" s="534"/>
      <c r="AA8" s="462">
        <f>+SUM(M8:W8)-U8*0.25</f>
        <v>0</v>
      </c>
      <c r="AB8" s="360"/>
      <c r="AC8" s="360"/>
      <c r="AD8" s="362"/>
      <c r="AE8" s="363"/>
      <c r="AF8" s="346"/>
      <c r="AG8" s="347">
        <f t="shared" si="1"/>
        <v>0</v>
      </c>
      <c r="AH8" s="341">
        <f t="shared" si="2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0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39" t="str">
        <f t="shared" si="3"/>
        <v>NEGRONI-202942</v>
      </c>
      <c r="H9" s="117"/>
      <c r="I9" s="442"/>
      <c r="J9" s="165">
        <f>+IF(K9="","",IF(K7=0,"",(K7*J7)/(K9*60)))</f>
        <v>0.87381818181818194</v>
      </c>
      <c r="K9" s="118">
        <v>55</v>
      </c>
      <c r="L9" s="104" t="s">
        <v>19</v>
      </c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173"/>
      <c r="Y9" s="467">
        <v>36.08</v>
      </c>
      <c r="Z9" s="365">
        <v>36.08</v>
      </c>
      <c r="AA9" s="465">
        <f>+SUM(M9:W9)-U9*0.25</f>
        <v>0</v>
      </c>
      <c r="AB9" s="367"/>
      <c r="AC9" s="367"/>
      <c r="AD9" s="368">
        <f>+IFERROR(AD7/(K7*$AQ$3),"")</f>
        <v>1.3333333333333334E-2</v>
      </c>
      <c r="AE9" s="369"/>
      <c r="AF9" s="347"/>
      <c r="AG9" s="347">
        <f t="shared" si="1"/>
        <v>0</v>
      </c>
      <c r="AH9" s="341">
        <f t="shared" si="2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0</v>
      </c>
      <c r="AM9" s="341">
        <f>+AL9-AA9</f>
        <v>0</v>
      </c>
      <c r="AN9" s="341"/>
      <c r="AO9" s="341"/>
      <c r="AP9" s="341"/>
      <c r="AQ9" s="369"/>
      <c r="AR9" s="434"/>
      <c r="AT9" s="390">
        <v>1.3333333333333334E-2</v>
      </c>
      <c r="AV9" s="390"/>
    </row>
    <row r="10" spans="2:58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540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100</v>
      </c>
      <c r="N10" s="448">
        <v>100</v>
      </c>
      <c r="O10" s="448">
        <v>50</v>
      </c>
      <c r="P10" s="448"/>
      <c r="Q10" s="448"/>
      <c r="R10" s="448">
        <v>100</v>
      </c>
      <c r="S10" s="448">
        <v>50</v>
      </c>
      <c r="T10" s="448"/>
      <c r="U10" s="448"/>
      <c r="V10" s="448"/>
      <c r="W10" s="448"/>
      <c r="X10" s="447">
        <f t="shared" ref="X10" si="5">IF(AQ11="","",SUM(M10:W10)-(-(AQ11-SUM(M10:W10))/$AQ$3)*SUM($M$2:$W$2))</f>
        <v>400</v>
      </c>
      <c r="Y10" s="466"/>
      <c r="Z10" s="533">
        <f>+X12</f>
        <v>-214.25</v>
      </c>
      <c r="AA10" s="447">
        <f t="shared" si="0"/>
        <v>400</v>
      </c>
      <c r="AB10" s="343">
        <f>+AC10+AA10</f>
        <v>1004</v>
      </c>
      <c r="AC10" s="343">
        <v>604</v>
      </c>
      <c r="AD10" s="344"/>
      <c r="AE10" s="345"/>
      <c r="AF10" s="346"/>
      <c r="AG10" s="347">
        <f t="shared" si="1"/>
        <v>0</v>
      </c>
      <c r="AH10" s="341">
        <f t="shared" si="2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1</v>
      </c>
      <c r="C11" s="406">
        <f>+B11</f>
        <v>1</v>
      </c>
      <c r="D11" s="407" t="s">
        <v>439</v>
      </c>
      <c r="E11" s="111"/>
      <c r="F11" s="111" t="s">
        <v>35</v>
      </c>
      <c r="G11" s="541" t="str">
        <f t="shared" ref="G11:G13" si="6">+G10</f>
        <v>7394-595-401</v>
      </c>
      <c r="H11" s="111"/>
      <c r="I11" s="111" t="s">
        <v>33</v>
      </c>
      <c r="J11" s="113">
        <v>43.2</v>
      </c>
      <c r="K11" s="130">
        <v>59</v>
      </c>
      <c r="L11" s="101" t="s">
        <v>17</v>
      </c>
      <c r="M11" s="214">
        <v>20</v>
      </c>
      <c r="N11" s="214">
        <v>30</v>
      </c>
      <c r="O11" s="214">
        <v>30</v>
      </c>
      <c r="P11" s="214">
        <v>35</v>
      </c>
      <c r="Q11" s="214">
        <v>37</v>
      </c>
      <c r="R11" s="214">
        <v>40</v>
      </c>
      <c r="S11" s="214">
        <v>40</v>
      </c>
      <c r="T11" s="214">
        <v>40</v>
      </c>
      <c r="U11" s="214">
        <v>30</v>
      </c>
      <c r="V11" s="214"/>
      <c r="W11" s="214"/>
      <c r="X11" s="123">
        <f>+IF(H12="s",0,IF(AA11=0,0,IF(COUNTA(M11:W11)=AK13+0.25,SUMIF($C:$C,B11,$AA:$AA)/AK13,SUMIF($C:$C,B11,$AA:$AA)/(COUNTA(M11:W11)))))</f>
        <v>34.514285714285712</v>
      </c>
      <c r="Y11" s="466"/>
      <c r="Z11" s="534"/>
      <c r="AA11" s="134">
        <f t="shared" si="0"/>
        <v>302</v>
      </c>
      <c r="AB11" s="354">
        <f>+AA11+AC11</f>
        <v>302</v>
      </c>
      <c r="AC11" s="354">
        <v>0</v>
      </c>
      <c r="AD11" s="355">
        <f>+AB10-AB11</f>
        <v>702</v>
      </c>
      <c r="AE11" s="131">
        <f>+IF(((AA12+(AA13/2))*60)=0,"",(J11*AA11)/((AA12+(AA13/2))*60))</f>
        <v>0.47789010989010994</v>
      </c>
      <c r="AF11" s="347">
        <f>+AA12+AA13/2</f>
        <v>455</v>
      </c>
      <c r="AG11" s="347">
        <f t="shared" si="1"/>
        <v>455</v>
      </c>
      <c r="AH11" s="341">
        <f t="shared" si="2"/>
        <v>27300</v>
      </c>
      <c r="AI11" s="341">
        <f>+AA11*J11</f>
        <v>13046.400000000001</v>
      </c>
      <c r="AJ11" s="356">
        <f>+AA11-(AF11*K11/K13)</f>
        <v>-214.25</v>
      </c>
      <c r="AK11" s="348"/>
      <c r="AL11" s="349"/>
      <c r="AM11" s="341"/>
      <c r="AN11" s="341"/>
      <c r="AO11" s="341"/>
      <c r="AP11" s="341"/>
      <c r="AQ11" s="339">
        <f>-360+AA10</f>
        <v>40</v>
      </c>
      <c r="AR11" s="434">
        <v>1.5</v>
      </c>
      <c r="AT11" s="390">
        <v>604</v>
      </c>
      <c r="AV11" s="390">
        <f>+AT11-AD11</f>
        <v>-98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541" t="str">
        <f t="shared" si="6"/>
        <v>7394-595-401</v>
      </c>
      <c r="H12" s="411" t="s">
        <v>412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448">
        <v>52</v>
      </c>
      <c r="N12" s="448">
        <v>52</v>
      </c>
      <c r="O12" s="448">
        <v>52</v>
      </c>
      <c r="P12" s="448">
        <v>52</v>
      </c>
      <c r="Q12" s="448">
        <v>52</v>
      </c>
      <c r="R12" s="448">
        <v>52</v>
      </c>
      <c r="S12" s="448">
        <v>52</v>
      </c>
      <c r="T12" s="448">
        <v>52</v>
      </c>
      <c r="U12" s="448">
        <v>52</v>
      </c>
      <c r="V12" s="448"/>
      <c r="W12" s="448"/>
      <c r="X12" s="160">
        <f>+IF(H12="l",IF(COUNTA(M11:W11)=AK13+0.25,AA11-K11*AK13,AA11-(K11*COUNTA(M11:W11))),IF(H12="s",0,IF(COUNTA(M11:W11)=AK13+0.25,SUMIF($C:$C,B11,$AA:$AA)-K11*AK13,SUMIF($C:$C,B11,$AA:$AA)-K11*COUNTA(M11:W11))))</f>
        <v>-214.25</v>
      </c>
      <c r="Y12" s="466"/>
      <c r="Z12" s="534"/>
      <c r="AA12" s="462">
        <f t="shared" ref="AA12:AA13" si="7">+SUM(M12:W12)-U12*0.25</f>
        <v>455</v>
      </c>
      <c r="AB12" s="360"/>
      <c r="AC12" s="360"/>
      <c r="AD12" s="362"/>
      <c r="AE12" s="363"/>
      <c r="AF12" s="346"/>
      <c r="AG12" s="347">
        <f t="shared" si="1"/>
        <v>0</v>
      </c>
      <c r="AH12" s="341">
        <f t="shared" si="2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455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542" t="str">
        <f t="shared" si="6"/>
        <v>7394-595-401</v>
      </c>
      <c r="H13" s="117"/>
      <c r="I13" s="442"/>
      <c r="J13" s="165">
        <f>+IF(K13="","",IF(K11=0,"",(K11*J11)/(K13*60)))</f>
        <v>0.81692307692307697</v>
      </c>
      <c r="K13" s="118">
        <v>52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7.7332999999999998</v>
      </c>
      <c r="Z13" s="371">
        <f>+IF(COUNTA(M11:W11)=$AJ$4+0.25,$AJ$4-(AA11/K11),COUNTA(M11:W11)-(AA11/K11))+Y13</f>
        <v>11.364655932203391</v>
      </c>
      <c r="AA13" s="465">
        <f t="shared" si="7"/>
        <v>0</v>
      </c>
      <c r="AB13" s="367"/>
      <c r="AC13" s="367"/>
      <c r="AD13" s="368">
        <f>+IFERROR(AD11/(K11*$AQ$3),"")</f>
        <v>1.3598062953995158</v>
      </c>
      <c r="AE13" s="369"/>
      <c r="AF13" s="347"/>
      <c r="AG13" s="347">
        <f t="shared" si="1"/>
        <v>0</v>
      </c>
      <c r="AH13" s="341">
        <f t="shared" si="2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1.1699757869249394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39" t="s">
        <v>429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50</v>
      </c>
      <c r="N14" s="448">
        <v>50</v>
      </c>
      <c r="O14" s="448">
        <v>68</v>
      </c>
      <c r="P14" s="448">
        <v>50</v>
      </c>
      <c r="Q14" s="448">
        <v>50</v>
      </c>
      <c r="R14" s="448">
        <v>50</v>
      </c>
      <c r="S14" s="448">
        <v>50</v>
      </c>
      <c r="T14" s="448"/>
      <c r="U14" s="448"/>
      <c r="V14" s="448"/>
      <c r="W14" s="448"/>
      <c r="X14" s="447">
        <f t="shared" ref="X14" si="8">IF(AQ15="","",SUM(M14:W14)-(-(AQ15-SUM(M14:W14))/$AQ$3)*SUM($M$2:$W$2))</f>
        <v>368</v>
      </c>
      <c r="Y14" s="466"/>
      <c r="Z14" s="533">
        <f>+X16</f>
        <v>-160</v>
      </c>
      <c r="AA14" s="447">
        <f t="shared" si="0"/>
        <v>368</v>
      </c>
      <c r="AB14" s="343">
        <f>+AC14+AA14</f>
        <v>6629</v>
      </c>
      <c r="AC14" s="343">
        <v>6261</v>
      </c>
      <c r="AD14" s="344"/>
      <c r="AE14" s="345"/>
      <c r="AF14" s="346"/>
      <c r="AG14" s="347">
        <f t="shared" si="1"/>
        <v>0</v>
      </c>
      <c r="AH14" s="341">
        <f t="shared" si="2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427</v>
      </c>
      <c r="E15" s="111"/>
      <c r="F15" s="111" t="s">
        <v>428</v>
      </c>
      <c r="G15" s="539" t="str">
        <f t="shared" ref="G15:G21" si="9">+G14</f>
        <v>NEGRONI-202942</v>
      </c>
      <c r="H15" s="111"/>
      <c r="I15" s="111" t="s">
        <v>430</v>
      </c>
      <c r="J15" s="113">
        <v>48.06</v>
      </c>
      <c r="K15" s="130">
        <v>60</v>
      </c>
      <c r="L15" s="101" t="s">
        <v>17</v>
      </c>
      <c r="M15" s="214">
        <v>50</v>
      </c>
      <c r="N15" s="214">
        <v>35</v>
      </c>
      <c r="O15" s="214">
        <v>37</v>
      </c>
      <c r="P15" s="214">
        <v>50</v>
      </c>
      <c r="Q15" s="214">
        <v>41</v>
      </c>
      <c r="R15" s="214">
        <v>36</v>
      </c>
      <c r="S15" s="214">
        <v>35</v>
      </c>
      <c r="T15" s="214">
        <v>50</v>
      </c>
      <c r="U15" s="214">
        <v>31</v>
      </c>
      <c r="V15" s="214"/>
      <c r="W15" s="214"/>
      <c r="X15" s="123">
        <f>+IF(H16="s",0,IF(AA15=0,0,IF(COUNTA(M15:W15)=AK17+0.25,SUMIF($C:$C,B15,$AA:$AA)/AK17,SUMIF($C:$C,B15,$AA:$AA)/(COUNTA(M15:W15)))))</f>
        <v>41.714285714285715</v>
      </c>
      <c r="Y15" s="466"/>
      <c r="Z15" s="534"/>
      <c r="AA15" s="134">
        <f t="shared" si="0"/>
        <v>365</v>
      </c>
      <c r="AB15" s="354">
        <f>+AA15+AC15</f>
        <v>5678</v>
      </c>
      <c r="AC15" s="354">
        <v>5313</v>
      </c>
      <c r="AD15" s="355">
        <f>+AB14-AB15</f>
        <v>951</v>
      </c>
      <c r="AE15" s="131">
        <f>+IF(((AA16+(AA17/2))*60)=0,"",(J15*AA15)/((AA16+(AA17/2))*60))</f>
        <v>0.60203861003861003</v>
      </c>
      <c r="AF15" s="347">
        <f>+AA16+AA17/2</f>
        <v>485.625</v>
      </c>
      <c r="AG15" s="347">
        <f t="shared" si="1"/>
        <v>485.375</v>
      </c>
      <c r="AH15" s="341">
        <f t="shared" si="2"/>
        <v>29137.5</v>
      </c>
      <c r="AI15" s="341">
        <f>+AA15*J15</f>
        <v>17541.900000000001</v>
      </c>
      <c r="AJ15" s="356">
        <f>+AA15-(AF15*K15/K17)</f>
        <v>-164.77272727272725</v>
      </c>
      <c r="AK15" s="348"/>
      <c r="AL15" s="349"/>
      <c r="AM15" s="341"/>
      <c r="AN15" s="341"/>
      <c r="AO15" s="341"/>
      <c r="AP15" s="341"/>
      <c r="AQ15" s="339">
        <f>-368+AA14</f>
        <v>0</v>
      </c>
      <c r="AR15" s="434">
        <v>1.5</v>
      </c>
      <c r="AT15" s="390">
        <v>948</v>
      </c>
      <c r="AV15" s="390">
        <f>+AT15-AD15</f>
        <v>-3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>
        <f>+B15</f>
        <v>2</v>
      </c>
      <c r="F16" s="409"/>
      <c r="G16" s="539" t="str">
        <f t="shared" si="9"/>
        <v>NEGRONI-202942</v>
      </c>
      <c r="H16" s="411"/>
      <c r="I16" s="113">
        <f>+IFERROR(IF(K17=0,0,IF((LOOKUP(2,1/(M16:W16&lt;&gt;""),M16:W16)-K17)&lt;0,0,IF(K17=0,"",LOOKUP(2,1/(M16:W16&lt;&gt;""),M16:W16)-K17))),0)</f>
        <v>0</v>
      </c>
      <c r="J16" s="113">
        <v>0</v>
      </c>
      <c r="K16" s="114" t="s">
        <v>22</v>
      </c>
      <c r="L16" s="102" t="s">
        <v>18</v>
      </c>
      <c r="M16" s="448">
        <v>55</v>
      </c>
      <c r="N16" s="448">
        <v>55</v>
      </c>
      <c r="O16" s="448">
        <v>55</v>
      </c>
      <c r="P16" s="448">
        <v>55</v>
      </c>
      <c r="Q16" s="448">
        <v>55</v>
      </c>
      <c r="R16" s="448">
        <v>55</v>
      </c>
      <c r="S16" s="448">
        <v>55</v>
      </c>
      <c r="T16" s="448">
        <v>55</v>
      </c>
      <c r="U16" s="448">
        <v>55</v>
      </c>
      <c r="V16" s="448"/>
      <c r="W16" s="448"/>
      <c r="X16" s="160">
        <f>+IF(H16="l",IF(COUNTA(M15:W15)=AK17+0.25,AA15-K15*AK17,AA15-(K15*COUNTA(M15:W15))),IF(H16="s",0,IF(COUNTA(M15:W15)=AK17+0.25,SUMIF($C:$C,B15,$AA:$AA)-K15*AK17,SUMIF($C:$C,B15,$AA:$AA)-K15*COUNTA(M15:W15))))</f>
        <v>-160</v>
      </c>
      <c r="Y16" s="466"/>
      <c r="Z16" s="534"/>
      <c r="AA16" s="462">
        <f t="shared" ref="AA16:AA17" si="10">+SUM(M16:W16)-U16*0.25</f>
        <v>481.25</v>
      </c>
      <c r="AB16" s="360"/>
      <c r="AC16" s="360"/>
      <c r="AD16" s="362"/>
      <c r="AE16" s="363"/>
      <c r="AF16" s="346"/>
      <c r="AG16" s="347">
        <f t="shared" si="1"/>
        <v>0</v>
      </c>
      <c r="AH16" s="341">
        <f t="shared" si="2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481.25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>
        <f>+E16+100</f>
        <v>102</v>
      </c>
      <c r="F17" s="175"/>
      <c r="G17" s="539" t="str">
        <f t="shared" si="9"/>
        <v>NEGRONI-202942</v>
      </c>
      <c r="H17" s="117"/>
      <c r="I17" s="442"/>
      <c r="J17" s="165">
        <f>+IF(K17="","",IF(K15=0,"",(K15*J15)/(K17*60)))</f>
        <v>0.87381818181818194</v>
      </c>
      <c r="K17" s="118">
        <v>55</v>
      </c>
      <c r="L17" s="104" t="s">
        <v>19</v>
      </c>
      <c r="M17" s="216">
        <v>1</v>
      </c>
      <c r="N17" s="216">
        <v>1</v>
      </c>
      <c r="O17" s="216">
        <v>1</v>
      </c>
      <c r="P17" s="216">
        <v>1</v>
      </c>
      <c r="Q17" s="216">
        <v>1</v>
      </c>
      <c r="R17" s="216">
        <v>1</v>
      </c>
      <c r="S17" s="216">
        <v>1</v>
      </c>
      <c r="T17" s="216">
        <v>1</v>
      </c>
      <c r="U17" s="216">
        <v>1</v>
      </c>
      <c r="V17" s="216"/>
      <c r="W17" s="216"/>
      <c r="X17" s="173"/>
      <c r="Y17" s="467">
        <v>36.14</v>
      </c>
      <c r="Z17" s="365">
        <v>36.14</v>
      </c>
      <c r="AA17" s="465">
        <f t="shared" si="10"/>
        <v>8.75</v>
      </c>
      <c r="AB17" s="367"/>
      <c r="AC17" s="367"/>
      <c r="AD17" s="368">
        <f>+IFERROR(AD15/(K15*$AQ$3),"")</f>
        <v>1.8114285714285714</v>
      </c>
      <c r="AE17" s="369"/>
      <c r="AF17" s="347"/>
      <c r="AG17" s="347">
        <f t="shared" si="1"/>
        <v>0</v>
      </c>
      <c r="AH17" s="341">
        <f t="shared" si="2"/>
        <v>0</v>
      </c>
      <c r="AI17" s="341"/>
      <c r="AJ17" s="356"/>
      <c r="AK17" s="370">
        <f>+$AJ$4</f>
        <v>8.75</v>
      </c>
      <c r="AL17" s="349">
        <f>+IF(AK17=7.75,SUM(M17:S17)+T17*0.75,IF(AK17=8,SUM(M17:T17),IF(AK17=7.25,SUM(M17:S17)+T17*0.25,IF(AK17=8.25,SUM(M17:T17)+U17*0.25,IF(AK17=8.75,SUM(M17:T17)+U17*0.75,0)))))</f>
        <v>8.75</v>
      </c>
      <c r="AM17" s="341">
        <f>+AL17-AA17</f>
        <v>0</v>
      </c>
      <c r="AN17" s="341"/>
      <c r="AO17" s="341"/>
      <c r="AP17" s="341"/>
      <c r="AQ17" s="369"/>
      <c r="AR17" s="434"/>
      <c r="AT17" s="390">
        <v>1.8057142857142856</v>
      </c>
      <c r="AV17" s="390"/>
    </row>
    <row r="18" spans="2:58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540" t="str">
        <f t="shared" si="9"/>
        <v>NEGRONI-202942</v>
      </c>
      <c r="H18" s="106"/>
      <c r="I18" s="106"/>
      <c r="J18" s="107" t="s">
        <v>20</v>
      </c>
      <c r="K18" s="108" t="s">
        <v>23</v>
      </c>
      <c r="L18" s="100" t="s">
        <v>21</v>
      </c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47" t="str">
        <f t="shared" ref="X18" si="11">IF(AQ19="","",SUM(M18:W18)-(-(AQ19-SUM(M18:W18))/$AQ$3)*SUM($M$2:$W$2))</f>
        <v/>
      </c>
      <c r="Y18" s="466"/>
      <c r="Z18" s="533">
        <f>+X20</f>
        <v>0</v>
      </c>
      <c r="AA18" s="447">
        <f t="shared" si="0"/>
        <v>0</v>
      </c>
      <c r="AB18" s="343">
        <f>+AC18+AA18</f>
        <v>0</v>
      </c>
      <c r="AC18" s="343">
        <v>0</v>
      </c>
      <c r="AD18" s="344"/>
      <c r="AE18" s="345"/>
      <c r="AF18" s="346"/>
      <c r="AG18" s="347"/>
      <c r="AH18" s="341"/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3</v>
      </c>
      <c r="C19" s="406">
        <v>3</v>
      </c>
      <c r="D19" s="407"/>
      <c r="E19" s="111"/>
      <c r="F19" s="111"/>
      <c r="G19" s="541" t="str">
        <f t="shared" si="9"/>
        <v>NEGRONI-202942</v>
      </c>
      <c r="H19" s="111"/>
      <c r="I19" s="111"/>
      <c r="J19" s="113"/>
      <c r="K19" s="130"/>
      <c r="L19" s="101" t="s">
        <v>17</v>
      </c>
      <c r="M19" s="454"/>
      <c r="N19" s="454"/>
      <c r="O19" s="454"/>
      <c r="P19" s="454"/>
      <c r="Q19" s="454"/>
      <c r="R19" s="454"/>
      <c r="S19" s="454"/>
      <c r="T19" s="454"/>
      <c r="U19" s="454"/>
      <c r="V19" s="454"/>
      <c r="W19" s="454"/>
      <c r="X19" s="123">
        <f>+IF(H20="s",0,IF(AA19=0,0,IF(COUNTA(M19:W19)=AK21+0.25,SUMIF($C:$C,B19,$AA:$AA)/AK21,SUMIF($C:$C,B19,$AA:$AA)/(COUNTA(M19:W19)))))</f>
        <v>0</v>
      </c>
      <c r="Y19" s="466"/>
      <c r="Z19" s="534"/>
      <c r="AA19" s="134">
        <f t="shared" si="0"/>
        <v>0</v>
      </c>
      <c r="AB19" s="354">
        <f>+AA19+AC19</f>
        <v>0</v>
      </c>
      <c r="AC19" s="354">
        <v>0</v>
      </c>
      <c r="AD19" s="355">
        <f>+AB18-AB19</f>
        <v>0</v>
      </c>
      <c r="AE19" s="131" t="str">
        <f>+IF(((AA20+(AA21/2))*60)=0,"",(J19*AA19)/((AA20+(AA21/2))*60))</f>
        <v/>
      </c>
      <c r="AF19" s="347"/>
      <c r="AG19" s="347"/>
      <c r="AH19" s="341"/>
      <c r="AI19" s="341"/>
      <c r="AJ19" s="356"/>
      <c r="AK19" s="348"/>
      <c r="AL19" s="349"/>
      <c r="AM19" s="341"/>
      <c r="AN19" s="341"/>
      <c r="AO19" s="341"/>
      <c r="AP19" s="341"/>
      <c r="AQ19" s="339" t="str">
        <f t="shared" si="4"/>
        <v/>
      </c>
      <c r="AR19" s="434"/>
      <c r="AT19" s="390">
        <v>0</v>
      </c>
      <c r="AV19" s="390">
        <f t="shared" ref="AV19" si="12">+AT19-AD19</f>
        <v>0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541" t="str">
        <f t="shared" si="9"/>
        <v>NEGRONI-202942</v>
      </c>
      <c r="H20" s="411" t="s">
        <v>414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53"/>
      <c r="N20" s="453"/>
      <c r="O20" s="453"/>
      <c r="P20" s="453"/>
      <c r="Q20" s="453"/>
      <c r="R20" s="453"/>
      <c r="S20" s="453"/>
      <c r="T20" s="453"/>
      <c r="U20" s="453"/>
      <c r="V20" s="453"/>
      <c r="W20" s="453"/>
      <c r="X20" s="160">
        <f>+IF(H20="l",IF(COUNTA(M19:W19)=AK21+0.25,AA19-K19*AK21,AA19-(K19*COUNTA(M19:W19))),IF(H20="s",0,IF(COUNTA(M19:W19)=AK21+0.25,SUMIF($C:$C,B19,$AA:$AA)-K19*AK21,SUMIF($C:$C,B19,$AA:$AA)-K19*COUNTA(M19:W19))))</f>
        <v>0</v>
      </c>
      <c r="Y20" s="466"/>
      <c r="Z20" s="534"/>
      <c r="AA20" s="462">
        <f t="shared" ref="AA20:AA21" si="13">+SUM(M20:W20)-U20*0.25</f>
        <v>0</v>
      </c>
      <c r="AB20" s="360"/>
      <c r="AC20" s="360"/>
      <c r="AD20" s="362"/>
      <c r="AE20" s="363"/>
      <c r="AF20" s="346"/>
      <c r="AG20" s="347"/>
      <c r="AH20" s="341"/>
      <c r="AI20" s="341"/>
      <c r="AJ20" s="341"/>
      <c r="AK20" s="348"/>
      <c r="AL20" s="349"/>
      <c r="AM20" s="341"/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542" t="str">
        <f t="shared" si="9"/>
        <v>NEGRONI-202942</v>
      </c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173"/>
      <c r="Y21" s="467"/>
      <c r="Z21" s="371"/>
      <c r="AA21" s="465">
        <f t="shared" si="13"/>
        <v>0</v>
      </c>
      <c r="AB21" s="367"/>
      <c r="AC21" s="367"/>
      <c r="AD21" s="368" t="str">
        <f>+IFERROR(AD19/(K19*$AQ$3),"")</f>
        <v/>
      </c>
      <c r="AE21" s="369"/>
      <c r="AF21" s="347"/>
      <c r="AG21" s="347"/>
      <c r="AH21" s="341"/>
      <c r="AI21" s="341"/>
      <c r="AJ21" s="356"/>
      <c r="AK21" s="370">
        <f>+$AJ$4</f>
        <v>8.75</v>
      </c>
      <c r="AL21" s="349"/>
      <c r="AM21" s="341"/>
      <c r="AN21" s="341"/>
      <c r="AO21" s="341"/>
      <c r="AP21" s="341"/>
      <c r="AQ21" s="369"/>
      <c r="AR21" s="434"/>
      <c r="AT21" s="390" t="s">
        <v>416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539" t="s">
        <v>424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7" t="str">
        <f t="shared" ref="X22" si="14">IF(AQ23="","",SUM(M22:W22)-(-(AQ23-SUM(M22:W22))/$AQ$3)*SUM($M$2:$W$2))</f>
        <v/>
      </c>
      <c r="Y22" s="466"/>
      <c r="Z22" s="533">
        <f>+X24</f>
        <v>0</v>
      </c>
      <c r="AA22" s="447">
        <f t="shared" si="0"/>
        <v>0</v>
      </c>
      <c r="AB22" s="343">
        <f>+AC22+AA22</f>
        <v>8799</v>
      </c>
      <c r="AC22" s="343">
        <v>8799</v>
      </c>
      <c r="AD22" s="344"/>
      <c r="AE22" s="345"/>
      <c r="AF22" s="346"/>
      <c r="AG22" s="347">
        <f t="shared" si="1"/>
        <v>0</v>
      </c>
      <c r="AH22" s="341">
        <f t="shared" si="2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4</v>
      </c>
      <c r="C23" s="406">
        <f>+B23</f>
        <v>4</v>
      </c>
      <c r="D23" s="407" t="s">
        <v>423</v>
      </c>
      <c r="E23" s="111"/>
      <c r="F23" s="111" t="s">
        <v>35</v>
      </c>
      <c r="G23" s="539" t="str">
        <f t="shared" ref="G23:G25" si="15">+G22</f>
        <v>2215-518-800</v>
      </c>
      <c r="H23" s="111"/>
      <c r="I23" s="111" t="s">
        <v>33</v>
      </c>
      <c r="J23" s="113">
        <v>33.42</v>
      </c>
      <c r="K23" s="130">
        <v>61</v>
      </c>
      <c r="L23" s="101" t="s">
        <v>17</v>
      </c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123">
        <f>+IF(H24="s",0,IF(AA23=0,0,IF(COUNTA(M23:W23)=AK25+0.25,SUMIF($C:$C,B23,$AA:$AA)/AK25,SUMIF($C:$C,B23,$AA:$AA)/(COUNTA(M23:W23)))))</f>
        <v>0</v>
      </c>
      <c r="Y23" s="466"/>
      <c r="Z23" s="534"/>
      <c r="AA23" s="134">
        <f t="shared" si="0"/>
        <v>0</v>
      </c>
      <c r="AB23" s="354">
        <f>+AA23+AC23</f>
        <v>8771</v>
      </c>
      <c r="AC23" s="354">
        <v>8771</v>
      </c>
      <c r="AD23" s="355">
        <f>+AB22-AB23</f>
        <v>28</v>
      </c>
      <c r="AE23" s="131" t="str">
        <f>+IF(((AA24+(AA25/2))*60)=0,"",(J23*AA23)/((AA24+(AA25/2))*60))</f>
        <v/>
      </c>
      <c r="AF23" s="347">
        <f>+AA24+AA25/2</f>
        <v>0</v>
      </c>
      <c r="AG23" s="347">
        <f t="shared" si="1"/>
        <v>0</v>
      </c>
      <c r="AH23" s="341">
        <f t="shared" si="2"/>
        <v>0</v>
      </c>
      <c r="AI23" s="341">
        <f>+AA23*J23</f>
        <v>0</v>
      </c>
      <c r="AJ23" s="356">
        <f>+AA23-(AF23*K23/K25)</f>
        <v>0</v>
      </c>
      <c r="AK23" s="348"/>
      <c r="AL23" s="349"/>
      <c r="AM23" s="341"/>
      <c r="AN23" s="341"/>
      <c r="AO23" s="341"/>
      <c r="AP23" s="341"/>
      <c r="AQ23" s="339" t="str">
        <f t="shared" si="4"/>
        <v/>
      </c>
      <c r="AR23" s="434"/>
      <c r="AT23" s="390">
        <v>28</v>
      </c>
      <c r="AV23" s="390">
        <f t="shared" ref="AV23" si="16">+AT23-AD23</f>
        <v>0</v>
      </c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539" t="str">
        <f t="shared" si="15"/>
        <v>2215-518-800</v>
      </c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>
        <v>1</v>
      </c>
      <c r="K24" s="114" t="s">
        <v>22</v>
      </c>
      <c r="L24" s="102" t="s">
        <v>18</v>
      </c>
      <c r="M24" s="448"/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160">
        <f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ref="AA24:AA25" si="17">+SUM(M24:W24)-U24*0.25</f>
        <v>0</v>
      </c>
      <c r="AB24" s="360"/>
      <c r="AC24" s="360"/>
      <c r="AD24" s="362"/>
      <c r="AE24" s="363"/>
      <c r="AF24" s="346"/>
      <c r="AG24" s="347">
        <f t="shared" si="1"/>
        <v>0</v>
      </c>
      <c r="AH24" s="341">
        <f t="shared" si="2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0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539" t="str">
        <f t="shared" si="15"/>
        <v>2215-518-800</v>
      </c>
      <c r="H25" s="117"/>
      <c r="I25" s="442"/>
      <c r="J25" s="165">
        <f>+IF(K25="","",IF(K23=0,"",(K23*J23)/(K25*60)))</f>
        <v>0.8941315789473685</v>
      </c>
      <c r="K25" s="118">
        <v>38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24.63</v>
      </c>
      <c r="Z25" s="365">
        <v>24.63</v>
      </c>
      <c r="AA25" s="465">
        <f t="shared" si="17"/>
        <v>0</v>
      </c>
      <c r="AB25" s="367"/>
      <c r="AC25" s="367"/>
      <c r="AD25" s="368">
        <f>+IFERROR(AD23/(K23*$AQ$3),"")</f>
        <v>5.2459016393442623E-2</v>
      </c>
      <c r="AE25" s="369"/>
      <c r="AF25" s="347"/>
      <c r="AG25" s="347">
        <f t="shared" si="1"/>
        <v>0</v>
      </c>
      <c r="AH25" s="341">
        <f t="shared" si="2"/>
        <v>0</v>
      </c>
      <c r="AI25" s="341"/>
      <c r="AJ25" s="356"/>
      <c r="AK25" s="370">
        <f>+$AJ$4</f>
        <v>8.75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5.2459016393442623E-2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40" t="s">
        <v>442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/>
      <c r="O26" s="448">
        <v>120</v>
      </c>
      <c r="P26" s="448">
        <v>60</v>
      </c>
      <c r="Q26" s="448"/>
      <c r="R26" s="448"/>
      <c r="S26" s="448">
        <v>120</v>
      </c>
      <c r="T26" s="448"/>
      <c r="U26" s="448"/>
      <c r="V26" s="448"/>
      <c r="W26" s="448"/>
      <c r="X26" s="447">
        <f t="shared" ref="X26" si="18">IF(AQ27="","",SUM(M26:W26)-(-(AQ27-SUM(M26:W26))/$AQ$3)*SUM($M$2:$W$2))</f>
        <v>300</v>
      </c>
      <c r="Y26" s="466"/>
      <c r="Z26" s="533">
        <f>+X28</f>
        <v>-343.75</v>
      </c>
      <c r="AA26" s="447">
        <f t="shared" si="0"/>
        <v>300</v>
      </c>
      <c r="AB26" s="343">
        <f>+AC26+AA26</f>
        <v>1081</v>
      </c>
      <c r="AC26" s="343">
        <v>781</v>
      </c>
      <c r="AD26" s="344"/>
      <c r="AE26" s="345"/>
      <c r="AF26" s="346"/>
      <c r="AG26" s="347">
        <f t="shared" si="1"/>
        <v>0</v>
      </c>
      <c r="AH26" s="341">
        <f t="shared" si="2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441</v>
      </c>
      <c r="E27" s="111"/>
      <c r="F27" s="111" t="s">
        <v>35</v>
      </c>
      <c r="G27" s="541" t="str">
        <f t="shared" ref="G27:G29" si="19">+G26</f>
        <v>2259-600-730</v>
      </c>
      <c r="H27" s="111"/>
      <c r="I27" s="111" t="s">
        <v>33</v>
      </c>
      <c r="J27" s="113">
        <v>35.68</v>
      </c>
      <c r="K27" s="130">
        <v>65</v>
      </c>
      <c r="L27" s="101" t="s">
        <v>17</v>
      </c>
      <c r="M27" s="214">
        <v>0</v>
      </c>
      <c r="N27" s="214">
        <v>14</v>
      </c>
      <c r="O27" s="214">
        <v>20</v>
      </c>
      <c r="P27" s="214">
        <v>30</v>
      </c>
      <c r="Q27" s="214">
        <v>30</v>
      </c>
      <c r="R27" s="214">
        <v>40</v>
      </c>
      <c r="S27" s="214">
        <v>40</v>
      </c>
      <c r="T27" s="214">
        <v>35</v>
      </c>
      <c r="U27" s="214">
        <v>16</v>
      </c>
      <c r="V27" s="214"/>
      <c r="W27" s="214"/>
      <c r="X27" s="123">
        <f>+IF(H28="s",0,IF(AA27=0,0,IF(COUNTA(M27:W27)=AK29+0.25,SUMIF($C:$C,B27,$AA:$AA)/AK29,SUMIF($C:$C,B27,$AA:$AA)/(COUNTA(M27:W27)))))</f>
        <v>25.714285714285715</v>
      </c>
      <c r="Y27" s="466"/>
      <c r="Z27" s="534"/>
      <c r="AA27" s="134">
        <f t="shared" si="0"/>
        <v>225</v>
      </c>
      <c r="AB27" s="354">
        <f>+AA27+AC27</f>
        <v>225</v>
      </c>
      <c r="AC27" s="354">
        <v>0</v>
      </c>
      <c r="AD27" s="355">
        <f>+AB26-AB27</f>
        <v>856</v>
      </c>
      <c r="AE27" s="131">
        <f>+IF(((AA28+(AA29/2))*60)=0,"",(J27*AA27)/((AA28+(AA29/2))*60))</f>
        <v>0.3920879120879121</v>
      </c>
      <c r="AF27" s="347">
        <f>+AA28+AA29/2</f>
        <v>341.25</v>
      </c>
      <c r="AG27" s="347">
        <f t="shared" si="1"/>
        <v>341.15</v>
      </c>
      <c r="AH27" s="341">
        <f t="shared" si="2"/>
        <v>20475</v>
      </c>
      <c r="AI27" s="341">
        <f>+AA27*J27</f>
        <v>8028</v>
      </c>
      <c r="AJ27" s="356">
        <f>+AA27-(AF27*K27/K29)</f>
        <v>-279.11931818181819</v>
      </c>
      <c r="AK27" s="348"/>
      <c r="AL27" s="349"/>
      <c r="AM27" s="341"/>
      <c r="AN27" s="341"/>
      <c r="AO27" s="341"/>
      <c r="AP27" s="341"/>
      <c r="AQ27" s="339">
        <f>-300+AA26</f>
        <v>0</v>
      </c>
      <c r="AR27" s="434">
        <v>1.5</v>
      </c>
      <c r="AT27" s="390">
        <v>781</v>
      </c>
      <c r="AV27" s="390">
        <f t="shared" ref="AV27" si="20">+AT27-AD27</f>
        <v>-75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41" t="str">
        <f t="shared" si="19"/>
        <v>2259-600-730</v>
      </c>
      <c r="H28" s="411" t="s">
        <v>412</v>
      </c>
      <c r="I28" s="113">
        <f>+IFERROR(IF(K29=0,0,IF((LOOKUP(2,1/(M28:W28&lt;&gt;""),M28:W28)-K29)&lt;0,0,IF(K29=0,"",LOOKUP(2,1/(M28:W28&lt;&gt;""),M28:W28)-K29))),0)</f>
        <v>0</v>
      </c>
      <c r="J28" s="113">
        <v>0</v>
      </c>
      <c r="K28" s="114" t="s">
        <v>22</v>
      </c>
      <c r="L28" s="102" t="s">
        <v>18</v>
      </c>
      <c r="M28" s="448">
        <v>39</v>
      </c>
      <c r="N28" s="448">
        <v>39</v>
      </c>
      <c r="O28" s="448">
        <v>39</v>
      </c>
      <c r="P28" s="448">
        <v>39</v>
      </c>
      <c r="Q28" s="448">
        <v>39</v>
      </c>
      <c r="R28" s="448">
        <v>39</v>
      </c>
      <c r="S28" s="448">
        <v>39</v>
      </c>
      <c r="T28" s="448">
        <v>39</v>
      </c>
      <c r="U28" s="448">
        <v>39</v>
      </c>
      <c r="V28" s="448"/>
      <c r="W28" s="448"/>
      <c r="X28" s="160">
        <f>+IF(H28="l",IF(COUNTA(M27:W27)=AK29+0.25,AA27-K27*AK29,AA27-(K27*COUNTA(M27:W27))),IF(H28="s",0,IF(COUNTA(M27:W27)=AK29+0.25,SUMIF($C:$C,B27,$AA:$AA)-K27*AK29,SUMIF($C:$C,B27,$AA:$AA)-K27*COUNTA(M27:W27))))</f>
        <v>-343.75</v>
      </c>
      <c r="Y28" s="466"/>
      <c r="Z28" s="534"/>
      <c r="AA28" s="462">
        <f t="shared" ref="AA28:AA29" si="21">+SUM(M28:W28)-U28*0.25</f>
        <v>341.25</v>
      </c>
      <c r="AB28" s="360"/>
      <c r="AC28" s="360"/>
      <c r="AD28" s="362"/>
      <c r="AE28" s="363"/>
      <c r="AF28" s="346"/>
      <c r="AG28" s="347">
        <f t="shared" si="1"/>
        <v>0</v>
      </c>
      <c r="AH28" s="341">
        <f t="shared" si="2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341.25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42" t="str">
        <f t="shared" si="19"/>
        <v>2259-600-730</v>
      </c>
      <c r="H29" s="117"/>
      <c r="I29" s="442"/>
      <c r="J29" s="165">
        <v>0.44</v>
      </c>
      <c r="K29" s="118">
        <v>44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8.75</v>
      </c>
      <c r="Z29" s="371">
        <f>+IF(COUNTA(M27:W27)=$AJ$4+0.25,$AJ$4-(AA27/K27),COUNTA(M27:W27)-(AA27/K27))+Y29</f>
        <v>14.038461538461538</v>
      </c>
      <c r="AA29" s="465">
        <f t="shared" si="21"/>
        <v>0</v>
      </c>
      <c r="AB29" s="367"/>
      <c r="AC29" s="367"/>
      <c r="AD29" s="368">
        <f>+IFERROR(AD27/(K27*$AQ$3),"")</f>
        <v>1.5050549450549451</v>
      </c>
      <c r="AE29" s="369"/>
      <c r="AF29" s="347"/>
      <c r="AG29" s="347">
        <f t="shared" si="1"/>
        <v>0</v>
      </c>
      <c r="AH29" s="341">
        <f t="shared" si="2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1.3731868131868132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539" t="s">
        <v>434</v>
      </c>
      <c r="H30" s="106"/>
      <c r="I30" s="111"/>
      <c r="J30" s="107" t="s">
        <v>20</v>
      </c>
      <c r="K30" s="108" t="s">
        <v>23</v>
      </c>
      <c r="L30" s="100" t="s">
        <v>21</v>
      </c>
      <c r="M30" s="448">
        <v>50</v>
      </c>
      <c r="N30" s="448">
        <v>50</v>
      </c>
      <c r="O30" s="448">
        <v>100</v>
      </c>
      <c r="P30" s="448">
        <v>50</v>
      </c>
      <c r="Q30" s="448"/>
      <c r="R30" s="448"/>
      <c r="S30" s="448">
        <v>50</v>
      </c>
      <c r="T30" s="448"/>
      <c r="U30" s="448"/>
      <c r="V30" s="448"/>
      <c r="W30" s="448"/>
      <c r="X30" s="447">
        <f t="shared" ref="X30" si="22">IF(AQ31="","",SUM(M30:W30)-(-(AQ31-SUM(M30:W30))/$AQ$3)*SUM($M$2:$W$2))</f>
        <v>300</v>
      </c>
      <c r="Y30" s="466"/>
      <c r="Z30" s="533">
        <f>+X32</f>
        <v>-94.25</v>
      </c>
      <c r="AA30" s="447">
        <f t="shared" si="0"/>
        <v>300</v>
      </c>
      <c r="AB30" s="343">
        <f>+AC30+AA30</f>
        <v>3271</v>
      </c>
      <c r="AC30" s="343">
        <v>2971</v>
      </c>
      <c r="AD30" s="344"/>
      <c r="AE30" s="345"/>
      <c r="AF30" s="346"/>
      <c r="AG30" s="347">
        <f t="shared" si="1"/>
        <v>0</v>
      </c>
      <c r="AH30" s="341">
        <f t="shared" si="2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539" t="str">
        <f t="shared" ref="G31:G33" si="23">+G30</f>
        <v>ATENAS-203645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>
        <v>22</v>
      </c>
      <c r="N31" s="214">
        <v>40</v>
      </c>
      <c r="O31" s="214">
        <v>40</v>
      </c>
      <c r="P31" s="214">
        <v>40</v>
      </c>
      <c r="Q31" s="214">
        <v>40</v>
      </c>
      <c r="R31" s="214">
        <v>40</v>
      </c>
      <c r="S31" s="214">
        <v>30</v>
      </c>
      <c r="T31" s="214">
        <v>35</v>
      </c>
      <c r="U31" s="214">
        <v>30</v>
      </c>
      <c r="V31" s="214"/>
      <c r="W31" s="214"/>
      <c r="X31" s="123">
        <f>+IF(H32="s",0,IF(AA31=0,0,IF(COUNTA(M31:W31)=AK33+0.25,SUMIF($C:$C,B31,$AA:$AA)/AK33,SUMIF($C:$C,B31,$AA:$AA)/(COUNTA(M31:W31)))))</f>
        <v>36.228571428571428</v>
      </c>
      <c r="Y31" s="466"/>
      <c r="Z31" s="534"/>
      <c r="AA31" s="134">
        <f t="shared" si="0"/>
        <v>317</v>
      </c>
      <c r="AB31" s="354">
        <f>+AA31+AC31</f>
        <v>2543</v>
      </c>
      <c r="AC31" s="354">
        <v>2226</v>
      </c>
      <c r="AD31" s="355">
        <f>+AB30-AB31</f>
        <v>728</v>
      </c>
      <c r="AE31" s="131">
        <f>+IF(((AA32+(AA33/2))*60)=0,"",(J31*AA31)/((AA32+(AA33/2))*60))</f>
        <v>0.65772108843537413</v>
      </c>
      <c r="AF31" s="347">
        <f>+AA32+AA33/2</f>
        <v>490</v>
      </c>
      <c r="AG31" s="347">
        <f t="shared" si="1"/>
        <v>490</v>
      </c>
      <c r="AH31" s="341">
        <f t="shared" si="2"/>
        <v>29400</v>
      </c>
      <c r="AI31" s="341">
        <f>+AA31*J31</f>
        <v>19337</v>
      </c>
      <c r="AJ31" s="356">
        <f>+AA31-(AF31*K31/K33)</f>
        <v>-94.25</v>
      </c>
      <c r="AK31" s="348"/>
      <c r="AL31" s="349"/>
      <c r="AM31" s="341"/>
      <c r="AN31" s="341"/>
      <c r="AO31" s="341"/>
      <c r="AP31" s="341"/>
      <c r="AQ31" s="339">
        <f t="shared" si="4"/>
        <v>16.875</v>
      </c>
      <c r="AR31" s="434">
        <v>1.5</v>
      </c>
      <c r="AT31" s="390">
        <v>745</v>
      </c>
      <c r="AV31" s="390">
        <f t="shared" ref="AV31" si="24">+AT31-AD31</f>
        <v>17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539" t="str">
        <f t="shared" si="23"/>
        <v>ATENAS-203645</v>
      </c>
      <c r="H32" s="411"/>
      <c r="I32" s="113">
        <f>+IFERROR(IF(K33=0,0,IF((LOOKUP(2,1/(M32:W32&lt;&gt;""),M32:W32)-K33)&lt;0,0,IF(K33=0,"",LOOKUP(2,1/(M32:W32&lt;&gt;""),M32:W32)-K33))),0)</f>
        <v>0</v>
      </c>
      <c r="J32" s="113">
        <v>1</v>
      </c>
      <c r="K32" s="114" t="s">
        <v>22</v>
      </c>
      <c r="L32" s="102" t="s">
        <v>18</v>
      </c>
      <c r="M32" s="448">
        <v>56</v>
      </c>
      <c r="N32" s="448">
        <v>56</v>
      </c>
      <c r="O32" s="448">
        <v>56</v>
      </c>
      <c r="P32" s="448">
        <v>56</v>
      </c>
      <c r="Q32" s="448">
        <v>56</v>
      </c>
      <c r="R32" s="448">
        <v>56</v>
      </c>
      <c r="S32" s="448">
        <v>56</v>
      </c>
      <c r="T32" s="448">
        <v>56</v>
      </c>
      <c r="U32" s="448">
        <v>56</v>
      </c>
      <c r="V32" s="448"/>
      <c r="W32" s="448"/>
      <c r="X32" s="160">
        <f>+IF(H32="l",IF(COUNTA(M31:W31)=AK33+0.25,AA31-K31*AK33,AA31-(K31*COUNTA(M31:W31))),IF(H32="s",0,IF(COUNTA(M31:W31)=AK33+0.25,SUMIF($C:$C,B31,$AA:$AA)-K31*AK33,SUMIF($C:$C,B31,$AA:$AA)-K31*COUNTA(M31:W31))))</f>
        <v>-94.25</v>
      </c>
      <c r="Y32" s="466"/>
      <c r="Z32" s="534"/>
      <c r="AA32" s="462">
        <f t="shared" ref="AA32:AA33" si="25">+SUM(M32:W32)-U32*0.25</f>
        <v>490</v>
      </c>
      <c r="AB32" s="360"/>
      <c r="AC32" s="360"/>
      <c r="AD32" s="362"/>
      <c r="AE32" s="363"/>
      <c r="AF32" s="346"/>
      <c r="AG32" s="347">
        <f t="shared" si="1"/>
        <v>0</v>
      </c>
      <c r="AH32" s="341">
        <f t="shared" si="2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490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539" t="str">
        <f t="shared" si="23"/>
        <v>ATENAS-203645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48.032978723404256</v>
      </c>
      <c r="Z33" s="371">
        <f>+IF(COUNTA(M31:W31)=$AJ$4+0.25,$AJ$4-(AA31/K31),COUNTA(M31:W31)-(AA31/K31))+Y33</f>
        <v>50.038297872340422</v>
      </c>
      <c r="AA33" s="465">
        <f t="shared" si="25"/>
        <v>0</v>
      </c>
      <c r="AB33" s="367"/>
      <c r="AC33" s="367"/>
      <c r="AD33" s="368">
        <f>+IFERROR(AD31/(K31*$AQ$3),"")</f>
        <v>1.7702127659574467</v>
      </c>
      <c r="AE33" s="369"/>
      <c r="AF33" s="347"/>
      <c r="AG33" s="347">
        <f t="shared" si="1"/>
        <v>0</v>
      </c>
      <c r="AH33" s="341">
        <f t="shared" si="2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1.8115501519756838</v>
      </c>
      <c r="AV33" s="390"/>
    </row>
    <row r="34" spans="2:58" s="98" customFormat="1" ht="62.25" customHeight="1" thickTop="1" x14ac:dyDescent="0.9">
      <c r="B34" s="342">
        <f>+B35</f>
        <v>6</v>
      </c>
      <c r="C34" s="405"/>
      <c r="D34" s="106"/>
      <c r="E34" s="106"/>
      <c r="F34" s="106"/>
      <c r="G34" s="540" t="s">
        <v>435</v>
      </c>
      <c r="H34" s="106"/>
      <c r="I34" s="111"/>
      <c r="J34" s="107" t="s">
        <v>20</v>
      </c>
      <c r="K34" s="108">
        <v>0</v>
      </c>
      <c r="L34" s="100" t="s">
        <v>21</v>
      </c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48"/>
      <c r="X34" s="447" t="str">
        <f t="shared" ref="X34" si="26">IF(AQ35="","",SUM(M34:W34)-(-(AQ35-SUM(M34:W34))/$AQ$3)*SUM($M$2:$W$2))</f>
        <v/>
      </c>
      <c r="Y34" s="466"/>
      <c r="Z34" s="533">
        <f>+X36</f>
        <v>-110</v>
      </c>
      <c r="AA34" s="447">
        <f t="shared" si="0"/>
        <v>0</v>
      </c>
      <c r="AB34" s="343">
        <f>+AC34+AA34</f>
        <v>3601</v>
      </c>
      <c r="AC34" s="343">
        <v>3601</v>
      </c>
      <c r="AD34" s="344"/>
      <c r="AE34" s="345"/>
      <c r="AF34" s="346"/>
      <c r="AG34" s="347">
        <f t="shared" si="1"/>
        <v>0</v>
      </c>
      <c r="AH34" s="341">
        <f t="shared" si="2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6</v>
      </c>
      <c r="C35" s="406">
        <f>+B35</f>
        <v>6</v>
      </c>
      <c r="D35" s="407" t="s">
        <v>436</v>
      </c>
      <c r="E35" s="111"/>
      <c r="F35" s="111" t="s">
        <v>35</v>
      </c>
      <c r="G35" s="541" t="str">
        <f t="shared" ref="G35:G37" si="27">+G34</f>
        <v>2076-780-803</v>
      </c>
      <c r="H35" s="111"/>
      <c r="I35" s="111" t="s">
        <v>38</v>
      </c>
      <c r="J35" s="113">
        <v>38.729999999999997</v>
      </c>
      <c r="K35" s="471">
        <v>52</v>
      </c>
      <c r="L35" s="101" t="s">
        <v>17</v>
      </c>
      <c r="M35" s="214">
        <v>39</v>
      </c>
      <c r="N35" s="214">
        <v>30</v>
      </c>
      <c r="O35" s="214">
        <v>52</v>
      </c>
      <c r="P35" s="214">
        <v>46</v>
      </c>
      <c r="Q35" s="214">
        <v>52</v>
      </c>
      <c r="R35" s="214">
        <v>45</v>
      </c>
      <c r="S35" s="214">
        <v>22</v>
      </c>
      <c r="T35" s="214">
        <v>21</v>
      </c>
      <c r="U35" s="214">
        <v>38</v>
      </c>
      <c r="V35" s="214"/>
      <c r="W35" s="214"/>
      <c r="X35" s="123">
        <f>+IF(H36="s",0,IF(AA35=0,0,IF(COUNTA(M35:W35)=AK37+0.25,SUMIF($C:$C,B35,$AA:$AA)/AK37,SUMIF($C:$C,B35,$AA:$AA)/(COUNTA(M35:W35)))))</f>
        <v>39.428571428571431</v>
      </c>
      <c r="Y35" s="466"/>
      <c r="Z35" s="534"/>
      <c r="AA35" s="134">
        <f t="shared" si="0"/>
        <v>345</v>
      </c>
      <c r="AB35" s="354">
        <f>+AA35+AC35</f>
        <v>3505</v>
      </c>
      <c r="AC35" s="354">
        <v>3160</v>
      </c>
      <c r="AD35" s="355">
        <f>+AB34-AB35</f>
        <v>96</v>
      </c>
      <c r="AE35" s="131">
        <f>+IF(((AA36+(AA37/2))*60)=0,"",(J35*AA35)/((AA36+(AA37/2))*60))</f>
        <v>0.6443327305605786</v>
      </c>
      <c r="AF35" s="347">
        <f>+AA36+AA37/2</f>
        <v>345.625</v>
      </c>
      <c r="AG35" s="347">
        <f t="shared" si="1"/>
        <v>345.375</v>
      </c>
      <c r="AH35" s="341">
        <f t="shared" si="2"/>
        <v>20737.5</v>
      </c>
      <c r="AI35" s="341">
        <f>+AA35*J35</f>
        <v>13361.849999999999</v>
      </c>
      <c r="AJ35" s="356">
        <f>+AA35-(AF35*K35/K37)</f>
        <v>-115.83333333333331</v>
      </c>
      <c r="AK35" s="348"/>
      <c r="AL35" s="349"/>
      <c r="AM35" s="341"/>
      <c r="AN35" s="341"/>
      <c r="AO35" s="341"/>
      <c r="AP35" s="341"/>
      <c r="AQ35" s="339" t="str">
        <f t="shared" si="4"/>
        <v/>
      </c>
      <c r="AR35" s="434"/>
      <c r="AT35" s="390">
        <v>441</v>
      </c>
      <c r="AV35" s="390">
        <f t="shared" ref="AV35" si="28">+AT35-AD35</f>
        <v>345</v>
      </c>
    </row>
    <row r="36" spans="2:58" s="98" customFormat="1" ht="62.25" customHeight="1" x14ac:dyDescent="0.9">
      <c r="B36" s="357">
        <f>B35</f>
        <v>6</v>
      </c>
      <c r="C36" s="408"/>
      <c r="D36" s="184"/>
      <c r="E36" s="111">
        <f>+B35</f>
        <v>6</v>
      </c>
      <c r="F36" s="409"/>
      <c r="G36" s="541" t="str">
        <f t="shared" si="27"/>
        <v>2076-780-803</v>
      </c>
      <c r="H36" s="411" t="s">
        <v>413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448">
        <v>39</v>
      </c>
      <c r="N36" s="448">
        <v>39</v>
      </c>
      <c r="O36" s="448">
        <v>39</v>
      </c>
      <c r="P36" s="448">
        <v>39</v>
      </c>
      <c r="Q36" s="448">
        <v>39</v>
      </c>
      <c r="R36" s="448">
        <v>39</v>
      </c>
      <c r="S36" s="448">
        <v>39</v>
      </c>
      <c r="T36" s="448">
        <v>39</v>
      </c>
      <c r="U36" s="448">
        <v>39</v>
      </c>
      <c r="V36" s="448"/>
      <c r="W36" s="448"/>
      <c r="X36" s="160">
        <f>+IF(H36="l",IF(COUNTA(M35:W35)=AK37+0.25,AA35-K35*AK37,AA35-(K35*COUNTA(M35:W35))),IF(H36="s",0,IF(COUNTA(M35:W35)=AK37+0.25,SUMIF($C:$C,B35,$AA:$AA)-K35*AK37,SUMIF($C:$C,B35,$AA:$AA)-K35*COUNTA(M35:W35))))</f>
        <v>-110</v>
      </c>
      <c r="Y36" s="466"/>
      <c r="Z36" s="534"/>
      <c r="AA36" s="462">
        <f t="shared" ref="AA36:AA37" si="29">+SUM(M36:W36)-U36*0.25</f>
        <v>341.25</v>
      </c>
      <c r="AB36" s="360"/>
      <c r="AC36" s="360"/>
      <c r="AD36" s="362"/>
      <c r="AE36" s="363"/>
      <c r="AF36" s="346"/>
      <c r="AG36" s="347">
        <f t="shared" si="1"/>
        <v>0</v>
      </c>
      <c r="AH36" s="341">
        <f t="shared" si="2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341.25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6</v>
      </c>
      <c r="C37" s="410"/>
      <c r="D37" s="174" t="s">
        <v>366</v>
      </c>
      <c r="E37" s="175">
        <f>+E36+100</f>
        <v>106</v>
      </c>
      <c r="F37" s="175"/>
      <c r="G37" s="542" t="str">
        <f t="shared" si="27"/>
        <v>2076-780-803</v>
      </c>
      <c r="H37" s="117"/>
      <c r="I37" s="442"/>
      <c r="J37" s="165">
        <f>+IF(K37="","",IF(K35=0,"",(K35*J35)/(K37*60)))</f>
        <v>0.86066666666666658</v>
      </c>
      <c r="K37" s="471">
        <v>39</v>
      </c>
      <c r="L37" s="104" t="s">
        <v>19</v>
      </c>
      <c r="M37" s="216">
        <v>1</v>
      </c>
      <c r="N37" s="216">
        <v>1</v>
      </c>
      <c r="O37" s="216">
        <v>1</v>
      </c>
      <c r="P37" s="216">
        <v>1</v>
      </c>
      <c r="Q37" s="216">
        <v>1</v>
      </c>
      <c r="R37" s="216">
        <v>1</v>
      </c>
      <c r="S37" s="216">
        <v>1</v>
      </c>
      <c r="T37" s="216">
        <v>1</v>
      </c>
      <c r="U37" s="216">
        <v>1</v>
      </c>
      <c r="V37" s="216"/>
      <c r="W37" s="216"/>
      <c r="X37" s="173"/>
      <c r="Y37" s="467">
        <v>21.945755968169763</v>
      </c>
      <c r="Z37" s="371">
        <f>+IF(COUNTA(M35:W35)=$AJ$4+0.25,$AJ$4-(AA35/K35),COUNTA(M35:W35)-(AA35/K35))+Y37</f>
        <v>24.061140583554376</v>
      </c>
      <c r="AA37" s="465">
        <f t="shared" si="29"/>
        <v>8.75</v>
      </c>
      <c r="AB37" s="367"/>
      <c r="AC37" s="367"/>
      <c r="AD37" s="368">
        <f>+IFERROR(AD35/(K35*$AQ$3),"")</f>
        <v>0.21098901098901099</v>
      </c>
      <c r="AE37" s="369"/>
      <c r="AF37" s="347"/>
      <c r="AG37" s="347">
        <f t="shared" si="1"/>
        <v>0</v>
      </c>
      <c r="AH37" s="341">
        <f t="shared" si="2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8.75</v>
      </c>
      <c r="AM37" s="341">
        <f>+AL37-AA37</f>
        <v>0</v>
      </c>
      <c r="AN37" s="341"/>
      <c r="AO37" s="341"/>
      <c r="AP37" s="341"/>
      <c r="AQ37" s="369"/>
      <c r="AR37" s="434"/>
      <c r="AT37" s="390">
        <v>0.96923076923076923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539" t="s">
        <v>442</v>
      </c>
      <c r="H38" s="106"/>
      <c r="I38" s="111"/>
      <c r="J38" s="107" t="s">
        <v>20</v>
      </c>
      <c r="K38" s="108">
        <v>0</v>
      </c>
      <c r="L38" s="100" t="s">
        <v>21</v>
      </c>
      <c r="M38" s="448"/>
      <c r="N38" s="448"/>
      <c r="O38" s="448"/>
      <c r="P38" s="448"/>
      <c r="Q38" s="448"/>
      <c r="R38" s="448">
        <v>120</v>
      </c>
      <c r="S38" s="448">
        <v>180</v>
      </c>
      <c r="T38" s="448"/>
      <c r="U38" s="448"/>
      <c r="V38" s="448"/>
      <c r="W38" s="448"/>
      <c r="X38" s="447">
        <f t="shared" ref="X38" si="30">IF(AQ39="","",SUM(M38:W38)-(-(AQ39-SUM(M38:W38))/$AQ$3)*SUM($M$2:$W$2))</f>
        <v>300</v>
      </c>
      <c r="Y38" s="466"/>
      <c r="Z38" s="533">
        <f>+X40</f>
        <v>0</v>
      </c>
      <c r="AA38" s="447">
        <f t="shared" ref="AA38:AA39" si="31">+SUM(L38:W38)</f>
        <v>300</v>
      </c>
      <c r="AB38" s="343">
        <f>+AC38+AA38</f>
        <v>480</v>
      </c>
      <c r="AC38" s="343">
        <v>180</v>
      </c>
      <c r="AD38" s="344"/>
      <c r="AE38" s="345"/>
      <c r="AF38" s="346"/>
      <c r="AG38" s="347">
        <f t="shared" si="1"/>
        <v>0</v>
      </c>
      <c r="AH38" s="341">
        <f t="shared" si="2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441</v>
      </c>
      <c r="E39" s="111"/>
      <c r="F39" s="111" t="s">
        <v>35</v>
      </c>
      <c r="G39" s="539" t="str">
        <f t="shared" ref="G39:G41" si="32">+G38</f>
        <v>2259-600-730</v>
      </c>
      <c r="H39" s="111"/>
      <c r="I39" s="111" t="s">
        <v>33</v>
      </c>
      <c r="J39" s="113"/>
      <c r="K39" s="130"/>
      <c r="L39" s="101" t="s">
        <v>17</v>
      </c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123">
        <f>+IF(H40="s",0,IF(AA39=0,0,IF(COUNTA(M39:W39)=AK41+0.25,SUMIF($C:$C,B39,$AA:$AA)/AK41,SUMIF($C:$C,B39,$AA:$AA)/(COUNTA(M39:W39)))))</f>
        <v>0</v>
      </c>
      <c r="Y39" s="466"/>
      <c r="Z39" s="534"/>
      <c r="AA39" s="134">
        <f t="shared" si="31"/>
        <v>0</v>
      </c>
      <c r="AB39" s="354">
        <f>+AA39+AC39</f>
        <v>0</v>
      </c>
      <c r="AC39" s="354">
        <v>0</v>
      </c>
      <c r="AD39" s="355">
        <f>+AB38-AB39</f>
        <v>480</v>
      </c>
      <c r="AE39" s="131" t="str">
        <f>+IF(((AA40+(AA41/2))*60)=0,"",(J39*AA39)/((AA40+(AA41/2))*60))</f>
        <v/>
      </c>
      <c r="AF39" s="347">
        <f>+AA40+AA41/2</f>
        <v>0</v>
      </c>
      <c r="AG39" s="347">
        <f t="shared" si="1"/>
        <v>0</v>
      </c>
      <c r="AH39" s="341">
        <f t="shared" si="2"/>
        <v>0</v>
      </c>
      <c r="AI39" s="341">
        <f>+AA39*J39</f>
        <v>0</v>
      </c>
      <c r="AJ39" s="356" t="e">
        <f>+AA39-(AF39*K39/K41)</f>
        <v>#DIV/0!</v>
      </c>
      <c r="AK39" s="348"/>
      <c r="AL39" s="349"/>
      <c r="AM39" s="341"/>
      <c r="AN39" s="341"/>
      <c r="AO39" s="341"/>
      <c r="AP39" s="341"/>
      <c r="AQ39" s="339">
        <f>-300+AA38</f>
        <v>0</v>
      </c>
      <c r="AR39" s="434">
        <v>1.5</v>
      </c>
      <c r="AT39" s="390">
        <v>180</v>
      </c>
      <c r="AV39" s="390">
        <f t="shared" ref="AV39" si="33">+AT39-AD39</f>
        <v>-300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539" t="str">
        <f t="shared" si="32"/>
        <v>2259-600-730</v>
      </c>
      <c r="H40" s="411" t="s">
        <v>413</v>
      </c>
      <c r="I40" s="113">
        <f>+IFERROR(IF(K41=0,0,IF((LOOKUP(2,1/(M40:W40&lt;&gt;""),M40:W40)-K41)&lt;0,0,IF(K41=0,"",LOOKUP(2,1/(M40:W40&lt;&gt;""),M40:W40)-K41))),0)</f>
        <v>0</v>
      </c>
      <c r="J40" s="113">
        <v>0</v>
      </c>
      <c r="K40" s="114" t="s">
        <v>22</v>
      </c>
      <c r="L40" s="102" t="s">
        <v>18</v>
      </c>
      <c r="M40" s="448"/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160">
        <f>+IF(H40="l",IF(COUNTA(M39:W39)=AK41+0.25,AA39-K39*AK41,AA39-(K39*COUNTA(M39:W39))),IF(H40="s",0,IF(COUNTA(M39:W39)=AK41+0.25,SUMIF($C:$C,B39,$AA:$AA)-K39*AK41,SUMIF($C:$C,B39,$AA:$AA)-K39*COUNTA(M39:W39))))</f>
        <v>0</v>
      </c>
      <c r="Y40" s="466"/>
      <c r="Z40" s="534"/>
      <c r="AA40" s="462">
        <f t="shared" ref="AA40:AA41" si="34">+SUM(M40:W40)-U40*0.25</f>
        <v>0</v>
      </c>
      <c r="AB40" s="360"/>
      <c r="AC40" s="360"/>
      <c r="AD40" s="362"/>
      <c r="AE40" s="363"/>
      <c r="AF40" s="346"/>
      <c r="AG40" s="347">
        <f t="shared" si="1"/>
        <v>0</v>
      </c>
      <c r="AH40" s="341">
        <f t="shared" si="2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0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539" t="str">
        <f t="shared" si="32"/>
        <v>2259-600-730</v>
      </c>
      <c r="H41" s="117"/>
      <c r="I41" s="442"/>
      <c r="J41" s="165" t="str">
        <f>+IF(K41="","",IF(K39=0,"",(K39*J39)/(K41*60)))</f>
        <v/>
      </c>
      <c r="K41" s="118"/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/>
      <c r="Z41" s="371"/>
      <c r="AA41" s="465">
        <f t="shared" si="34"/>
        <v>0</v>
      </c>
      <c r="AB41" s="367"/>
      <c r="AC41" s="367"/>
      <c r="AD41" s="368" t="str">
        <f>+IFERROR(AD39/(K39*$AQ$3),"")</f>
        <v/>
      </c>
      <c r="AE41" s="369"/>
      <c r="AF41" s="347"/>
      <c r="AG41" s="347">
        <f t="shared" si="1"/>
        <v>0</v>
      </c>
      <c r="AH41" s="341">
        <f t="shared" si="2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 t="s">
        <v>416</v>
      </c>
      <c r="AV41" s="390"/>
    </row>
    <row r="42" spans="2:58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540" t="s">
        <v>426</v>
      </c>
      <c r="H42" s="106"/>
      <c r="I42" s="106"/>
      <c r="J42" s="107" t="s">
        <v>20</v>
      </c>
      <c r="K42" s="108" t="s">
        <v>23</v>
      </c>
      <c r="L42" s="100" t="s">
        <v>21</v>
      </c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7" t="str">
        <f t="shared" ref="X42" si="35">IF(AQ43="","",SUM(M42:W42)-(-(AQ43-SUM(M42:W42))/$AQ$3)*SUM($M$2:$W$2))</f>
        <v/>
      </c>
      <c r="Y42" s="466"/>
      <c r="Z42" s="533">
        <f>+X44</f>
        <v>0</v>
      </c>
      <c r="AA42" s="447">
        <f t="shared" si="0"/>
        <v>0</v>
      </c>
      <c r="AB42" s="343">
        <f>+AC42+AA42</f>
        <v>3511</v>
      </c>
      <c r="AC42" s="343">
        <v>3511</v>
      </c>
      <c r="AD42" s="344"/>
      <c r="AE42" s="345"/>
      <c r="AF42" s="346"/>
      <c r="AG42" s="347">
        <f t="shared" si="1"/>
        <v>0</v>
      </c>
      <c r="AH42" s="341">
        <f t="shared" si="2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7</v>
      </c>
      <c r="C43" s="406">
        <f>+B43</f>
        <v>7</v>
      </c>
      <c r="D43" s="407" t="s">
        <v>425</v>
      </c>
      <c r="E43" s="111"/>
      <c r="F43" s="111" t="s">
        <v>35</v>
      </c>
      <c r="G43" s="541" t="str">
        <f t="shared" ref="G43:G45" si="36">+G42</f>
        <v>2070-397-802</v>
      </c>
      <c r="H43" s="111"/>
      <c r="I43" s="111" t="s">
        <v>38</v>
      </c>
      <c r="J43" s="113">
        <v>39.299999999999997</v>
      </c>
      <c r="K43" s="130">
        <v>60</v>
      </c>
      <c r="L43" s="101" t="s">
        <v>17</v>
      </c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123">
        <f>+IF(H44="s",0,IF(AA43=0,0,IF(COUNTA(M43:W43)=AK45+0.25,SUMIF($C:$C,B43,$AA:$AA)/AK45,SUMIF($C:$C,B43,$AA:$AA)/(COUNTA(M43:W43)))))</f>
        <v>0</v>
      </c>
      <c r="Y43" s="466"/>
      <c r="Z43" s="534"/>
      <c r="AA43" s="134">
        <f t="shared" si="0"/>
        <v>0</v>
      </c>
      <c r="AB43" s="354">
        <f>+AA43+AC43</f>
        <v>3502</v>
      </c>
      <c r="AC43" s="354">
        <v>3502</v>
      </c>
      <c r="AD43" s="355">
        <f>+AB42-AB43</f>
        <v>9</v>
      </c>
      <c r="AE43" s="131" t="str">
        <f>+IF(((AA44+(AA45/2))*60)=0,"",(J43*AA43)/((AA44+(AA45/2))*60))</f>
        <v/>
      </c>
      <c r="AF43" s="347">
        <f>+AA44+AA45/2</f>
        <v>0</v>
      </c>
      <c r="AG43" s="347">
        <f t="shared" si="1"/>
        <v>0</v>
      </c>
      <c r="AH43" s="341">
        <f t="shared" si="2"/>
        <v>0</v>
      </c>
      <c r="AI43" s="341">
        <f>+AA43*J43</f>
        <v>0</v>
      </c>
      <c r="AJ43" s="356">
        <f>+AA43-(AF43*K43/K45)</f>
        <v>0</v>
      </c>
      <c r="AK43" s="348"/>
      <c r="AL43" s="349"/>
      <c r="AM43" s="341"/>
      <c r="AN43" s="341"/>
      <c r="AO43" s="341"/>
      <c r="AP43" s="341"/>
      <c r="AQ43" s="339" t="str">
        <f t="shared" si="4"/>
        <v/>
      </c>
      <c r="AR43" s="434"/>
      <c r="AT43" s="390">
        <v>9</v>
      </c>
      <c r="AV43" s="390">
        <f t="shared" ref="AV43" si="37">+AT43-AD43</f>
        <v>0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541" t="str">
        <f t="shared" si="36"/>
        <v>2070-397-802</v>
      </c>
      <c r="H44" s="411" t="s">
        <v>414</v>
      </c>
      <c r="I44" s="113">
        <f>+IFERROR(IF(K45=0,0,IF((LOOKUP(2,1/(M44:W44&lt;&gt;""),M44:W44)-K45)&lt;0,0,IF(K45=0,"",LOOKUP(2,1/(M44:W44&lt;&gt;""),M44:W44)-K45))),0)</f>
        <v>0</v>
      </c>
      <c r="J44" s="113">
        <v>0</v>
      </c>
      <c r="K44" s="114" t="s">
        <v>22</v>
      </c>
      <c r="L44" s="102" t="s">
        <v>18</v>
      </c>
      <c r="M44" s="448"/>
      <c r="N44" s="448"/>
      <c r="O44" s="448"/>
      <c r="P44" s="448"/>
      <c r="Q44" s="448"/>
      <c r="R44" s="448"/>
      <c r="S44" s="448"/>
      <c r="T44" s="448"/>
      <c r="U44" s="448"/>
      <c r="V44" s="448"/>
      <c r="W44" s="448"/>
      <c r="X44" s="160">
        <f>+IF(H44="l",IF(COUNTA(M43:W43)=AK45+0.25,AA43-K43*AK45,AA43-(K43*COUNTA(M43:W43))),IF(H44="s",0,IF(COUNTA(M43:W43)=AK45+0.25,SUMIF($C:$C,B43,$AA:$AA)-K43*AK45,SUMIF($C:$C,B43,$AA:$AA)-K43*COUNTA(M43:W43))))</f>
        <v>0</v>
      </c>
      <c r="Y44" s="466"/>
      <c r="Z44" s="534"/>
      <c r="AA44" s="462">
        <f t="shared" ref="AA44:AA45" si="38">+SUM(M44:W44)-U44*0.25</f>
        <v>0</v>
      </c>
      <c r="AB44" s="360"/>
      <c r="AC44" s="360"/>
      <c r="AD44" s="362"/>
      <c r="AE44" s="363"/>
      <c r="AF44" s="346"/>
      <c r="AG44" s="347">
        <f t="shared" si="1"/>
        <v>0</v>
      </c>
      <c r="AH44" s="341">
        <f t="shared" si="2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0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542" t="str">
        <f t="shared" si="36"/>
        <v>2070-397-802</v>
      </c>
      <c r="H45" s="117"/>
      <c r="I45" s="442"/>
      <c r="J45" s="165">
        <f>+IF(K45="","",IF(K43=0,"",(K43*J43)/(K45*60)))</f>
        <v>0.93571428571428572</v>
      </c>
      <c r="K45" s="118">
        <v>42</v>
      </c>
      <c r="L45" s="104" t="s">
        <v>19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0</v>
      </c>
      <c r="Z45" s="371">
        <f>+IF(COUNTA(M43:W43)=$AJ$4+0.25,$AJ$4-(AA43/K43),COUNTA(M43:W43)-(AA43/K43))+Y45</f>
        <v>0</v>
      </c>
      <c r="AA45" s="465">
        <f t="shared" si="38"/>
        <v>0</v>
      </c>
      <c r="AB45" s="367"/>
      <c r="AC45" s="367"/>
      <c r="AD45" s="368">
        <f>+IFERROR(AD43/(K43*$AQ$3),"")</f>
        <v>1.7142857142857144E-2</v>
      </c>
      <c r="AE45" s="369"/>
      <c r="AF45" s="347"/>
      <c r="AG45" s="347">
        <f t="shared" si="1"/>
        <v>0</v>
      </c>
      <c r="AH45" s="341">
        <f t="shared" si="2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1.7142857142857144E-2</v>
      </c>
      <c r="AV45" s="390"/>
    </row>
    <row r="46" spans="2:58" s="98" customFormat="1" ht="62.25" customHeight="1" thickTop="1" x14ac:dyDescent="0.9">
      <c r="B46" s="342">
        <f>+B47</f>
        <v>7</v>
      </c>
      <c r="C46" s="405"/>
      <c r="D46" s="106"/>
      <c r="E46" s="106"/>
      <c r="F46" s="106"/>
      <c r="G46" s="539" t="s">
        <v>435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40</v>
      </c>
      <c r="N46" s="448">
        <v>40</v>
      </c>
      <c r="O46" s="448"/>
      <c r="P46" s="448">
        <v>40</v>
      </c>
      <c r="Q46" s="448">
        <v>40</v>
      </c>
      <c r="R46" s="448">
        <v>40</v>
      </c>
      <c r="S46" s="448"/>
      <c r="T46" s="448"/>
      <c r="U46" s="448"/>
      <c r="V46" s="448"/>
      <c r="W46" s="448"/>
      <c r="X46" s="447">
        <f t="shared" ref="X46" si="39">IF(AQ47="","",SUM(M46:W46)-(-(AQ47-SUM(M46:W46))/$AQ$3)*SUM($M$2:$W$2))</f>
        <v>200</v>
      </c>
      <c r="Y46" s="466"/>
      <c r="Z46" s="533">
        <f>+X48</f>
        <v>-87</v>
      </c>
      <c r="AA46" s="447">
        <f t="shared" si="0"/>
        <v>200</v>
      </c>
      <c r="AB46" s="343">
        <f>+AC46+AA46</f>
        <v>3601</v>
      </c>
      <c r="AC46" s="343">
        <v>3401</v>
      </c>
      <c r="AD46" s="344"/>
      <c r="AE46" s="345"/>
      <c r="AF46" s="346"/>
      <c r="AG46" s="347">
        <f t="shared" si="1"/>
        <v>0</v>
      </c>
      <c r="AH46" s="341">
        <f t="shared" si="2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1.35">
      <c r="B47" s="351">
        <v>7</v>
      </c>
      <c r="C47" s="406">
        <f>+B47</f>
        <v>7</v>
      </c>
      <c r="D47" s="407" t="s">
        <v>436</v>
      </c>
      <c r="E47" s="111"/>
      <c r="F47" s="111" t="s">
        <v>35</v>
      </c>
      <c r="G47" s="539" t="str">
        <f t="shared" ref="G47:G49" si="40">+G46</f>
        <v>2076-780-803</v>
      </c>
      <c r="H47" s="111"/>
      <c r="I47" s="111" t="s">
        <v>38</v>
      </c>
      <c r="J47" s="113">
        <v>38.729999999999997</v>
      </c>
      <c r="K47" s="471">
        <v>52</v>
      </c>
      <c r="L47" s="101" t="s">
        <v>17</v>
      </c>
      <c r="M47" s="214">
        <v>30</v>
      </c>
      <c r="N47" s="214">
        <v>40</v>
      </c>
      <c r="O47" s="214">
        <v>35</v>
      </c>
      <c r="P47" s="214">
        <v>50</v>
      </c>
      <c r="Q47" s="214">
        <v>52</v>
      </c>
      <c r="R47" s="214">
        <v>45</v>
      </c>
      <c r="S47" s="214">
        <v>40</v>
      </c>
      <c r="T47" s="214">
        <v>36</v>
      </c>
      <c r="U47" s="214">
        <v>40</v>
      </c>
      <c r="V47" s="214"/>
      <c r="W47" s="214"/>
      <c r="X47" s="123">
        <f>+IF(H48="s",0,IF(AA47=0,0,IF(COUNTA(M47:W47)=AK49+0.25,SUMIF($C:$C,B47,$AA:$AA)/AK49,SUMIF($C:$C,B47,$AA:$AA)/(COUNTA(M47:W47)))))</f>
        <v>42.057142857142857</v>
      </c>
      <c r="Y47" s="466"/>
      <c r="Z47" s="534"/>
      <c r="AA47" s="134">
        <f t="shared" si="0"/>
        <v>368</v>
      </c>
      <c r="AB47" s="354">
        <f>+AA47+AC47</f>
        <v>3113</v>
      </c>
      <c r="AC47" s="354">
        <v>2745</v>
      </c>
      <c r="AD47" s="355">
        <f>+AB46-AB47</f>
        <v>488</v>
      </c>
      <c r="AE47" s="131">
        <f>+IF(((AA48+(AA49/2))*60)=0,"",(J47*AA47)/((AA48+(AA49/2))*60))</f>
        <v>0.6872882459312839</v>
      </c>
      <c r="AF47" s="347">
        <f>+AA48+AA49/2</f>
        <v>345.625</v>
      </c>
      <c r="AG47" s="347">
        <f t="shared" si="1"/>
        <v>345.375</v>
      </c>
      <c r="AH47" s="341">
        <f t="shared" si="2"/>
        <v>20737.5</v>
      </c>
      <c r="AI47" s="341">
        <f>+AA47*J47</f>
        <v>14252.64</v>
      </c>
      <c r="AJ47" s="356">
        <f>+AA47-(AF47*K47/K49)</f>
        <v>-92.833333333333314</v>
      </c>
      <c r="AK47" s="348"/>
      <c r="AL47" s="349"/>
      <c r="AM47" s="341"/>
      <c r="AN47" s="341"/>
      <c r="AO47" s="341"/>
      <c r="AP47" s="341"/>
      <c r="AQ47" s="339">
        <f>-200+AA46</f>
        <v>0</v>
      </c>
      <c r="AR47" s="434">
        <v>0.88200000000000001</v>
      </c>
      <c r="AT47" s="390">
        <v>656</v>
      </c>
      <c r="AV47" s="390">
        <f t="shared" ref="AV47" si="41">+AT47-AD47</f>
        <v>168</v>
      </c>
      <c r="AW47" s="535"/>
      <c r="AX47" s="535"/>
      <c r="AY47" s="535"/>
      <c r="AZ47" s="535"/>
      <c r="BA47" s="535"/>
      <c r="BB47" s="535"/>
      <c r="BC47" s="535"/>
      <c r="BD47" s="535"/>
      <c r="BE47" s="535"/>
      <c r="BF47" s="535"/>
    </row>
    <row r="48" spans="2:58" s="98" customFormat="1" ht="62.25" customHeight="1" x14ac:dyDescent="0.9">
      <c r="B48" s="357">
        <f>B47</f>
        <v>7</v>
      </c>
      <c r="C48" s="408"/>
      <c r="D48" s="184"/>
      <c r="E48" s="111">
        <f>+B47</f>
        <v>7</v>
      </c>
      <c r="F48" s="409"/>
      <c r="G48" s="539" t="str">
        <f t="shared" si="40"/>
        <v>2076-780-803</v>
      </c>
      <c r="H48" s="411" t="s">
        <v>413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48">
        <v>39</v>
      </c>
      <c r="N48" s="448">
        <v>39</v>
      </c>
      <c r="O48" s="448">
        <v>39</v>
      </c>
      <c r="P48" s="448">
        <v>39</v>
      </c>
      <c r="Q48" s="448">
        <v>39</v>
      </c>
      <c r="R48" s="448">
        <v>39</v>
      </c>
      <c r="S48" s="448">
        <v>39</v>
      </c>
      <c r="T48" s="448">
        <v>39</v>
      </c>
      <c r="U48" s="448">
        <v>39</v>
      </c>
      <c r="V48" s="448"/>
      <c r="W48" s="448"/>
      <c r="X48" s="160">
        <f>+IF(H48="l",IF(COUNTA(M47:W47)=AK49+0.25,AA47-K47*AK49,AA47-(K47*COUNTA(M47:W47))),IF(H48="s",0,IF(COUNTA(M47:W47)=AK49+0.25,SUMIF($C:$C,B47,$AA:$AA)-K47*AK49,SUMIF($C:$C,B47,$AA:$AA)-K47*COUNTA(M47:W47))))</f>
        <v>-87</v>
      </c>
      <c r="Y48" s="466"/>
      <c r="Z48" s="534"/>
      <c r="AA48" s="462">
        <f t="shared" ref="AA48:AA49" si="42">+SUM(M48:W48)-U48*0.25</f>
        <v>341.25</v>
      </c>
      <c r="AB48" s="360"/>
      <c r="AC48" s="360"/>
      <c r="AD48" s="362"/>
      <c r="AE48" s="363"/>
      <c r="AF48" s="346"/>
      <c r="AG48" s="347">
        <f t="shared" si="1"/>
        <v>0</v>
      </c>
      <c r="AH48" s="341">
        <f t="shared" si="2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341.25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72">
        <f>B47</f>
        <v>7</v>
      </c>
      <c r="C49" s="410"/>
      <c r="D49" s="174" t="s">
        <v>93</v>
      </c>
      <c r="E49" s="175">
        <f>+E48+100</f>
        <v>107</v>
      </c>
      <c r="F49" s="175"/>
      <c r="G49" s="539" t="str">
        <f t="shared" si="40"/>
        <v>2076-780-803</v>
      </c>
      <c r="H49" s="117"/>
      <c r="I49" s="442"/>
      <c r="J49" s="165">
        <f>+IF(K49="","",IF(K47=0,"",(K47*J47)/(K49*60)))</f>
        <v>0.86066666666666658</v>
      </c>
      <c r="K49" s="471">
        <v>39</v>
      </c>
      <c r="L49" s="104" t="s">
        <v>19</v>
      </c>
      <c r="M49" s="216">
        <v>1</v>
      </c>
      <c r="N49" s="216">
        <v>1</v>
      </c>
      <c r="O49" s="216">
        <v>1</v>
      </c>
      <c r="P49" s="216">
        <v>1</v>
      </c>
      <c r="Q49" s="216">
        <v>1</v>
      </c>
      <c r="R49" s="216">
        <v>1</v>
      </c>
      <c r="S49" s="216">
        <v>1</v>
      </c>
      <c r="T49" s="216">
        <v>1</v>
      </c>
      <c r="U49" s="216">
        <v>1</v>
      </c>
      <c r="V49" s="216"/>
      <c r="W49" s="216"/>
      <c r="X49" s="173"/>
      <c r="Y49" s="467">
        <v>26.37448275862069</v>
      </c>
      <c r="Z49" s="371">
        <f>+IF(COUNTA(M47:W47)=$AJ$4+0.25,$AJ$4-(AA47/K47),COUNTA(M47:W47)-(AA47/K47))+Y49</f>
        <v>28.047559681697614</v>
      </c>
      <c r="AA49" s="465">
        <f t="shared" si="42"/>
        <v>8.75</v>
      </c>
      <c r="AB49" s="367"/>
      <c r="AC49" s="367"/>
      <c r="AD49" s="368">
        <f>+IFERROR(AD47/(K47*$AQ$3),"")</f>
        <v>1.0725274725274725</v>
      </c>
      <c r="AE49" s="369"/>
      <c r="AF49" s="347"/>
      <c r="AG49" s="347">
        <f t="shared" si="1"/>
        <v>0</v>
      </c>
      <c r="AH49" s="341">
        <f t="shared" si="2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8.75</v>
      </c>
      <c r="AM49" s="341">
        <f>+AL49-AA49</f>
        <v>0</v>
      </c>
      <c r="AN49" s="341"/>
      <c r="AO49" s="341"/>
      <c r="AP49" s="341"/>
      <c r="AQ49" s="369"/>
      <c r="AR49" s="434"/>
      <c r="AT49" s="390">
        <v>1.4417582417582417</v>
      </c>
      <c r="AV49" s="390"/>
    </row>
    <row r="50" spans="2:58" s="98" customFormat="1" ht="62.25" customHeight="1" thickTop="1" x14ac:dyDescent="0.9">
      <c r="B50" s="342">
        <f>+B51</f>
        <v>7</v>
      </c>
      <c r="C50" s="405"/>
      <c r="D50" s="106"/>
      <c r="E50" s="106"/>
      <c r="F50" s="106"/>
      <c r="G50" s="540" t="s">
        <v>442</v>
      </c>
      <c r="H50" s="106"/>
      <c r="I50" s="106"/>
      <c r="J50" s="107" t="s">
        <v>20</v>
      </c>
      <c r="K50" s="108" t="s">
        <v>23</v>
      </c>
      <c r="L50" s="100" t="s">
        <v>21</v>
      </c>
      <c r="M50" s="448"/>
      <c r="N50" s="448"/>
      <c r="O50" s="448"/>
      <c r="P50" s="448"/>
      <c r="Q50" s="448"/>
      <c r="R50" s="448"/>
      <c r="S50" s="448">
        <v>120</v>
      </c>
      <c r="T50" s="448"/>
      <c r="U50" s="473"/>
      <c r="V50" s="448"/>
      <c r="W50" s="448"/>
      <c r="X50" s="447">
        <f t="shared" ref="X50" si="43">IF(AQ51="","",SUM(M50:W50)-(-(AQ51-SUM(M50:W50))/$AQ$3)*SUM($M$2:$W$2))</f>
        <v>120</v>
      </c>
      <c r="Y50" s="466"/>
      <c r="Z50" s="533">
        <f>+X52</f>
        <v>0</v>
      </c>
      <c r="AA50" s="447">
        <f t="shared" ref="AA50:AA51" si="44">+SUM(L50:W50)</f>
        <v>120</v>
      </c>
      <c r="AB50" s="343">
        <f>+AC50+AA50</f>
        <v>120</v>
      </c>
      <c r="AC50" s="343"/>
      <c r="AD50" s="344"/>
      <c r="AE50" s="345"/>
      <c r="AF50" s="346"/>
      <c r="AG50" s="347">
        <f t="shared" ref="AG50:AG53" si="45">TRUNC(AF50)+(AF50-TRUNC(AF50))*60/100</f>
        <v>0</v>
      </c>
      <c r="AH50" s="341">
        <f t="shared" ref="AH50:AH53" si="46">+AF50*60</f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7</v>
      </c>
      <c r="C51" s="406">
        <f>+B51</f>
        <v>7</v>
      </c>
      <c r="D51" s="407" t="s">
        <v>441</v>
      </c>
      <c r="E51" s="111"/>
      <c r="F51" s="111" t="s">
        <v>35</v>
      </c>
      <c r="G51" s="541" t="str">
        <f t="shared" ref="G51:G53" si="47">+G50</f>
        <v>2259-600-730</v>
      </c>
      <c r="H51" s="111"/>
      <c r="I51" s="111" t="s">
        <v>33</v>
      </c>
      <c r="J51" s="113"/>
      <c r="K51" s="130"/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123">
        <f>+IF(H52="s",0,IF(AA51=0,0,IF(COUNTA(M51:W51)=AK53+0.25,SUMIF($C:$C,B51,$AA:$AA)/AK53,SUMIF($C:$C,B51,$AA:$AA)/(COUNTA(M51:W51)))))</f>
        <v>0</v>
      </c>
      <c r="Y51" s="466"/>
      <c r="Z51" s="534"/>
      <c r="AA51" s="134">
        <f t="shared" si="44"/>
        <v>0</v>
      </c>
      <c r="AB51" s="354">
        <f>+AA51+AC51</f>
        <v>0</v>
      </c>
      <c r="AC51" s="354"/>
      <c r="AD51" s="355">
        <f>+AB50-AB51</f>
        <v>120</v>
      </c>
      <c r="AE51" s="131" t="str">
        <f>+IF(((AA52+(AA53/2))*60)=0,"",(J51*AA51)/((AA52+(AA53/2))*60))</f>
        <v/>
      </c>
      <c r="AF51" s="347">
        <f>+AA52+AA53/2</f>
        <v>0</v>
      </c>
      <c r="AG51" s="347">
        <f t="shared" si="45"/>
        <v>0</v>
      </c>
      <c r="AH51" s="341">
        <f t="shared" si="46"/>
        <v>0</v>
      </c>
      <c r="AI51" s="341">
        <f>+AA51*J51</f>
        <v>0</v>
      </c>
      <c r="AJ51" s="356" t="e">
        <f>+AA51-(AF51*K51/K53)</f>
        <v>#DIV/0!</v>
      </c>
      <c r="AK51" s="348"/>
      <c r="AL51" s="349"/>
      <c r="AM51" s="341"/>
      <c r="AN51" s="341"/>
      <c r="AO51" s="341"/>
      <c r="AP51" s="341"/>
      <c r="AQ51" s="339">
        <f>-120+AA50</f>
        <v>0</v>
      </c>
      <c r="AR51" s="434"/>
      <c r="AT51" s="390">
        <v>0</v>
      </c>
      <c r="AV51" s="390">
        <f t="shared" ref="AV51" si="48">+AT51-AD51</f>
        <v>-120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B51</f>
        <v>7</v>
      </c>
      <c r="C52" s="408"/>
      <c r="D52" s="184"/>
      <c r="E52" s="111">
        <f>+B51</f>
        <v>7</v>
      </c>
      <c r="F52" s="409"/>
      <c r="G52" s="541" t="str">
        <f t="shared" si="47"/>
        <v>2259-600-730</v>
      </c>
      <c r="H52" s="411" t="s">
        <v>413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48"/>
      <c r="X52" s="160">
        <f>+IF(H52="l",IF(COUNTA(M51:W51)=AK53+0.25,AA51-K51*AK53,AA51-(K51*COUNTA(M51:W51))),IF(H52="s",0,IF(COUNTA(M51:W51)=AK53+0.25,SUMIF($C:$C,B51,$AA:$AA)-K51*AK53,SUMIF($C:$C,B51,$AA:$AA)-K51*COUNTA(M51:W51))))</f>
        <v>0</v>
      </c>
      <c r="Y52" s="466"/>
      <c r="Z52" s="534"/>
      <c r="AA52" s="462">
        <f t="shared" ref="AA52:AA53" si="49">+SUM(M52:W52)-U52*0.25</f>
        <v>0</v>
      </c>
      <c r="AB52" s="360"/>
      <c r="AC52" s="360"/>
      <c r="AD52" s="362"/>
      <c r="AE52" s="363"/>
      <c r="AF52" s="346"/>
      <c r="AG52" s="347">
        <f t="shared" si="45"/>
        <v>0</v>
      </c>
      <c r="AH52" s="341">
        <f t="shared" si="46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0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72">
        <f>B51</f>
        <v>7</v>
      </c>
      <c r="C53" s="410"/>
      <c r="D53" s="174" t="s">
        <v>93</v>
      </c>
      <c r="E53" s="175">
        <f>+E52+100</f>
        <v>107</v>
      </c>
      <c r="F53" s="175"/>
      <c r="G53" s="542" t="str">
        <f t="shared" si="47"/>
        <v>2259-600-730</v>
      </c>
      <c r="H53" s="117"/>
      <c r="I53" s="442"/>
      <c r="J53" s="165" t="str">
        <f>+IF(K53="","",IF(K51=0,"",(K51*J51)/(K53*60)))</f>
        <v/>
      </c>
      <c r="K53" s="118"/>
      <c r="L53" s="104" t="s">
        <v>19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/>
      <c r="Z53" s="371" t="e">
        <f>+IF(COUNTA(M51:W51)=$AJ$4+0.25,$AJ$4-(AA51/K51),COUNTA(M51:W51)-(AA51/K51))+Y53</f>
        <v>#DIV/0!</v>
      </c>
      <c r="AA53" s="465">
        <f t="shared" si="49"/>
        <v>0</v>
      </c>
      <c r="AB53" s="367"/>
      <c r="AC53" s="367"/>
      <c r="AD53" s="368" t="str">
        <f>+IFERROR(AD51/(K51*$AQ$3),"")</f>
        <v/>
      </c>
      <c r="AE53" s="369"/>
      <c r="AF53" s="347"/>
      <c r="AG53" s="347">
        <f t="shared" si="45"/>
        <v>0</v>
      </c>
      <c r="AH53" s="341">
        <f t="shared" si="46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 t="s">
        <v>416</v>
      </c>
      <c r="AV53" s="390"/>
    </row>
    <row r="54" spans="2:58" s="98" customFormat="1" ht="62.25" customHeight="1" thickTop="1" x14ac:dyDescent="0.9">
      <c r="B54" s="342">
        <f>+B55</f>
        <v>8</v>
      </c>
      <c r="C54" s="405"/>
      <c r="D54" s="106"/>
      <c r="E54" s="106"/>
      <c r="F54" s="106"/>
      <c r="G54" s="539" t="s">
        <v>432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120</v>
      </c>
      <c r="N54" s="448">
        <v>60</v>
      </c>
      <c r="O54" s="448">
        <v>120</v>
      </c>
      <c r="P54" s="448">
        <v>60</v>
      </c>
      <c r="Q54" s="448"/>
      <c r="R54" s="448">
        <v>60</v>
      </c>
      <c r="S54" s="448"/>
      <c r="T54" s="448"/>
      <c r="U54" s="448"/>
      <c r="V54" s="448"/>
      <c r="W54" s="448"/>
      <c r="X54" s="447">
        <f t="shared" ref="X54" si="50">IF(AQ55="","",SUM(M54:W54)-(-(AQ55-SUM(M54:W54))/$AQ$3)*SUM($M$2:$W$2))</f>
        <v>420</v>
      </c>
      <c r="Y54" s="466"/>
      <c r="Z54" s="533">
        <f>+X56</f>
        <v>0</v>
      </c>
      <c r="AA54" s="447">
        <f t="shared" si="0"/>
        <v>420</v>
      </c>
      <c r="AB54" s="343">
        <f>+AC54+AA54</f>
        <v>2521</v>
      </c>
      <c r="AC54" s="343">
        <v>2101</v>
      </c>
      <c r="AD54" s="344"/>
      <c r="AE54" s="345"/>
      <c r="AF54" s="346"/>
      <c r="AG54" s="347">
        <f t="shared" si="1"/>
        <v>0</v>
      </c>
      <c r="AH54" s="341">
        <f t="shared" si="2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0.9">
      <c r="B55" s="351">
        <v>8</v>
      </c>
      <c r="C55" s="406">
        <f>+B55</f>
        <v>8</v>
      </c>
      <c r="D55" s="407" t="s">
        <v>431</v>
      </c>
      <c r="E55" s="111"/>
      <c r="F55" s="111" t="s">
        <v>35</v>
      </c>
      <c r="G55" s="539" t="str">
        <f t="shared" ref="G55:G57" si="51">+G54</f>
        <v>2158-755-712</v>
      </c>
      <c r="H55" s="111"/>
      <c r="I55" s="111" t="s">
        <v>33</v>
      </c>
      <c r="J55" s="113">
        <v>51.42</v>
      </c>
      <c r="K55" s="130">
        <v>52</v>
      </c>
      <c r="L55" s="101" t="s">
        <v>17</v>
      </c>
      <c r="M55" s="214">
        <v>52</v>
      </c>
      <c r="N55" s="214">
        <v>52</v>
      </c>
      <c r="O55" s="214">
        <v>52</v>
      </c>
      <c r="P55" s="214">
        <v>52</v>
      </c>
      <c r="Q55" s="214">
        <v>52</v>
      </c>
      <c r="R55" s="214">
        <v>52</v>
      </c>
      <c r="S55" s="214">
        <v>52</v>
      </c>
      <c r="T55" s="214">
        <v>52</v>
      </c>
      <c r="U55" s="214">
        <v>39</v>
      </c>
      <c r="V55" s="214"/>
      <c r="W55" s="214"/>
      <c r="X55" s="123">
        <f>+IF(H56="s",0,IF(AA55=0,0,IF(COUNTA(M55:W55)=AK57+0.25,SUMIF($C:$C,B55,$AA:$AA)/AK57,SUMIF($C:$C,B55,$AA:$AA)/(COUNTA(M55:W55)))))</f>
        <v>52</v>
      </c>
      <c r="Y55" s="466"/>
      <c r="Z55" s="534"/>
      <c r="AA55" s="134">
        <f t="shared" si="0"/>
        <v>455</v>
      </c>
      <c r="AB55" s="354">
        <f>+AA55+AC55</f>
        <v>1826</v>
      </c>
      <c r="AC55" s="354">
        <v>1371</v>
      </c>
      <c r="AD55" s="355">
        <f>+AB54-AB55</f>
        <v>695</v>
      </c>
      <c r="AE55" s="131">
        <f>+IF(((AA56+(AA57/2))*60)=0,"",(J55*AA55)/((AA56+(AA57/2))*60))</f>
        <v>0.86532038834951464</v>
      </c>
      <c r="AF55" s="347">
        <f>+AA56+AA57/2</f>
        <v>450.625</v>
      </c>
      <c r="AG55" s="347">
        <f t="shared" si="1"/>
        <v>450.375</v>
      </c>
      <c r="AH55" s="341">
        <f t="shared" si="2"/>
        <v>27037.5</v>
      </c>
      <c r="AI55" s="341">
        <f>+AA55*J55</f>
        <v>23396.100000000002</v>
      </c>
      <c r="AJ55" s="356">
        <f>+AA55-(AF55*K55/K57)</f>
        <v>-4.460784313725469</v>
      </c>
      <c r="AK55" s="348"/>
      <c r="AL55" s="349"/>
      <c r="AM55" s="341"/>
      <c r="AN55" s="341"/>
      <c r="AO55" s="341"/>
      <c r="AP55" s="341"/>
      <c r="AQ55" s="339">
        <f t="shared" si="4"/>
        <v>12.5</v>
      </c>
      <c r="AR55" s="434">
        <v>1.5</v>
      </c>
      <c r="AT55" s="390">
        <v>730</v>
      </c>
      <c r="AV55" s="390">
        <f t="shared" ref="AV55" si="52">+AT55-AD55</f>
        <v>35</v>
      </c>
    </row>
    <row r="56" spans="2:58" s="98" customFormat="1" ht="62.25" customHeight="1" x14ac:dyDescent="0.9">
      <c r="B56" s="357">
        <f>+B55</f>
        <v>8</v>
      </c>
      <c r="C56" s="408"/>
      <c r="D56" s="184"/>
      <c r="E56" s="111">
        <f>+B55</f>
        <v>8</v>
      </c>
      <c r="F56" s="409"/>
      <c r="G56" s="539" t="str">
        <f t="shared" si="51"/>
        <v>2158-755-712</v>
      </c>
      <c r="H56" s="411" t="s">
        <v>412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48">
        <v>51</v>
      </c>
      <c r="N56" s="448">
        <v>51</v>
      </c>
      <c r="O56" s="448">
        <v>51</v>
      </c>
      <c r="P56" s="448">
        <v>51</v>
      </c>
      <c r="Q56" s="448">
        <v>51</v>
      </c>
      <c r="R56" s="448">
        <v>51</v>
      </c>
      <c r="S56" s="448">
        <v>51</v>
      </c>
      <c r="T56" s="448">
        <v>51</v>
      </c>
      <c r="U56" s="448">
        <v>51</v>
      </c>
      <c r="V56" s="448"/>
      <c r="W56" s="448"/>
      <c r="X56" s="160">
        <f>+IF(H56="l",IF(COUNTA(M55:W55)=AK57+0.25,AA55-K55*AK57,AA55-(K55*COUNTA(M55:W55))),IF(H56="s",0,IF(COUNTA(M55:W55)=AK57+0.25,SUMIF($C:$C,B55,$AA:$AA)-K55*AK57,SUMIF($C:$C,B55,$AA:$AA)-K55*COUNTA(M55:W55))))</f>
        <v>0</v>
      </c>
      <c r="Y56" s="466"/>
      <c r="Z56" s="534"/>
      <c r="AA56" s="462">
        <f t="shared" ref="AA56:AA57" si="53">+SUM(M56:W56)-U56*0.25</f>
        <v>446.25</v>
      </c>
      <c r="AB56" s="360"/>
      <c r="AC56" s="360"/>
      <c r="AD56" s="362"/>
      <c r="AE56" s="363"/>
      <c r="AF56" s="346"/>
      <c r="AG56" s="347">
        <f t="shared" si="1"/>
        <v>0</v>
      </c>
      <c r="AH56" s="341">
        <f t="shared" si="2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446.25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8</v>
      </c>
      <c r="C57" s="410"/>
      <c r="D57" s="174" t="s">
        <v>373</v>
      </c>
      <c r="E57" s="175">
        <f>+E56+100</f>
        <v>108</v>
      </c>
      <c r="F57" s="175"/>
      <c r="G57" s="539" t="str">
        <f t="shared" si="51"/>
        <v>2158-755-712</v>
      </c>
      <c r="H57" s="117"/>
      <c r="I57" s="442"/>
      <c r="J57" s="165">
        <f>+IF(K57="","",IF(K55=0,"",(K55*J55)/(K57*60)))</f>
        <v>0.87380392156862752</v>
      </c>
      <c r="K57" s="118">
        <v>51</v>
      </c>
      <c r="L57" s="104" t="s">
        <v>422</v>
      </c>
      <c r="M57" s="216">
        <v>1</v>
      </c>
      <c r="N57" s="216">
        <v>1</v>
      </c>
      <c r="O57" s="216">
        <v>1</v>
      </c>
      <c r="P57" s="216">
        <v>1</v>
      </c>
      <c r="Q57" s="216">
        <v>1</v>
      </c>
      <c r="R57" s="216">
        <v>1</v>
      </c>
      <c r="S57" s="216">
        <v>1</v>
      </c>
      <c r="T57" s="216">
        <v>1</v>
      </c>
      <c r="U57" s="216">
        <v>1</v>
      </c>
      <c r="V57" s="216"/>
      <c r="W57" s="216"/>
      <c r="X57" s="173"/>
      <c r="Y57" s="467">
        <v>12.304615384615385</v>
      </c>
      <c r="Z57" s="371">
        <f>+IF(COUNTA(M55:W55)=$AJ$4+0.25,$AJ$4-(AA55/K55),COUNTA(M55:W55)-(AA55/K55))+Y57</f>
        <v>12.304615384615385</v>
      </c>
      <c r="AA57" s="465">
        <f t="shared" si="53"/>
        <v>8.75</v>
      </c>
      <c r="AB57" s="367"/>
      <c r="AC57" s="367"/>
      <c r="AD57" s="368">
        <f>+IFERROR(AD55/(K55*$AQ$3),"")</f>
        <v>1.5274725274725274</v>
      </c>
      <c r="AE57" s="369"/>
      <c r="AF57" s="347"/>
      <c r="AG57" s="347">
        <f t="shared" si="1"/>
        <v>0</v>
      </c>
      <c r="AH57" s="341">
        <f t="shared" si="2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8.75</v>
      </c>
      <c r="AM57" s="341">
        <f>+AL57-AA57</f>
        <v>0</v>
      </c>
      <c r="AN57" s="341"/>
      <c r="AO57" s="341"/>
      <c r="AP57" s="341"/>
      <c r="AQ57" s="369"/>
      <c r="AR57" s="434"/>
      <c r="AT57" s="390">
        <v>1.6043956043956045</v>
      </c>
      <c r="AV57" s="390"/>
    </row>
    <row r="58" spans="2:58" s="98" customFormat="1" ht="62.25" customHeight="1" thickTop="1" x14ac:dyDescent="0.9">
      <c r="B58" s="342">
        <f>+B59</f>
        <v>11</v>
      </c>
      <c r="C58" s="405"/>
      <c r="D58" s="106"/>
      <c r="E58" s="106"/>
      <c r="F58" s="106"/>
      <c r="G58" s="540" t="s">
        <v>435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80</v>
      </c>
      <c r="N58" s="448">
        <v>34</v>
      </c>
      <c r="O58" s="448"/>
      <c r="P58" s="448">
        <v>80</v>
      </c>
      <c r="Q58" s="448"/>
      <c r="R58" s="448">
        <v>80</v>
      </c>
      <c r="S58" s="448"/>
      <c r="T58" s="448">
        <v>80</v>
      </c>
      <c r="U58" s="448"/>
      <c r="V58" s="448"/>
      <c r="W58" s="448"/>
      <c r="X58" s="447">
        <f t="shared" ref="X58" si="54">IF(AQ59="","",SUM(M58:W58)-(-(AQ59-SUM(M58:W58))/$AQ$3)*SUM($M$2:$W$2))</f>
        <v>354</v>
      </c>
      <c r="Y58" s="466"/>
      <c r="Z58" s="533">
        <f>+X60</f>
        <v>-141.5</v>
      </c>
      <c r="AA58" s="447">
        <f t="shared" si="0"/>
        <v>354</v>
      </c>
      <c r="AB58" s="343">
        <f>+AC58+AA58</f>
        <v>2995</v>
      </c>
      <c r="AC58" s="343">
        <v>2641</v>
      </c>
      <c r="AD58" s="344"/>
      <c r="AE58" s="345"/>
      <c r="AF58" s="346"/>
      <c r="AG58" s="347">
        <f t="shared" si="1"/>
        <v>0</v>
      </c>
      <c r="AH58" s="341">
        <f t="shared" si="2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1.35">
      <c r="B59" s="351">
        <v>11</v>
      </c>
      <c r="C59" s="406">
        <f>+B59</f>
        <v>11</v>
      </c>
      <c r="D59" s="407" t="s">
        <v>436</v>
      </c>
      <c r="E59" s="111"/>
      <c r="F59" s="111" t="s">
        <v>35</v>
      </c>
      <c r="G59" s="541" t="str">
        <f t="shared" ref="G59:G61" si="55">+G58</f>
        <v>2076-780-803</v>
      </c>
      <c r="H59" s="111"/>
      <c r="I59" s="111" t="s">
        <v>38</v>
      </c>
      <c r="J59" s="113">
        <v>38.729999999999997</v>
      </c>
      <c r="K59" s="130">
        <v>58</v>
      </c>
      <c r="L59" s="101" t="s">
        <v>17</v>
      </c>
      <c r="M59" s="214">
        <v>30</v>
      </c>
      <c r="N59" s="214">
        <v>38</v>
      </c>
      <c r="O59" s="214">
        <v>36</v>
      </c>
      <c r="P59" s="214">
        <v>55</v>
      </c>
      <c r="Q59" s="214">
        <v>40</v>
      </c>
      <c r="R59" s="214">
        <v>35</v>
      </c>
      <c r="S59" s="214">
        <v>50</v>
      </c>
      <c r="T59" s="214">
        <v>52</v>
      </c>
      <c r="U59" s="214">
        <v>30</v>
      </c>
      <c r="V59" s="214"/>
      <c r="W59" s="214"/>
      <c r="X59" s="123">
        <f>+IF(H60="s",0,IF(AA59=0,0,IF(COUNTA(M59:W59)=AK61+0.25,SUMIF($C:$C,B59,$AA:$AA)/AK61,SUMIF($C:$C,B59,$AA:$AA)/(COUNTA(M59:W59)))))</f>
        <v>41.828571428571429</v>
      </c>
      <c r="Y59" s="466"/>
      <c r="Z59" s="534"/>
      <c r="AA59" s="134">
        <f t="shared" si="0"/>
        <v>366</v>
      </c>
      <c r="AB59" s="354">
        <f>+AA59+AC59</f>
        <v>2527</v>
      </c>
      <c r="AC59" s="354">
        <v>2161</v>
      </c>
      <c r="AD59" s="355">
        <f>+AB58-AB59</f>
        <v>468</v>
      </c>
      <c r="AE59" s="131">
        <f>+IF(((AA60+(AA61/2))*60)=0,"",(J59*AA59)/((AA60+(AA61/2))*60))</f>
        <v>0.65061067125645433</v>
      </c>
      <c r="AF59" s="347">
        <f>+AA60+AA61/2</f>
        <v>363.125</v>
      </c>
      <c r="AG59" s="347">
        <f t="shared" si="1"/>
        <v>363.07499999999999</v>
      </c>
      <c r="AH59" s="341">
        <f t="shared" si="2"/>
        <v>21787.5</v>
      </c>
      <c r="AI59" s="341">
        <f>+AA59*J59</f>
        <v>14175.179999999998</v>
      </c>
      <c r="AJ59" s="356">
        <f>+AA59-(AF59*K59/K61)</f>
        <v>-135.45833333333331</v>
      </c>
      <c r="AK59" s="348"/>
      <c r="AL59" s="349"/>
      <c r="AM59" s="341"/>
      <c r="AN59" s="341"/>
      <c r="AO59" s="341"/>
      <c r="AP59" s="341"/>
      <c r="AQ59" s="339">
        <f t="shared" si="4"/>
        <v>-434.75</v>
      </c>
      <c r="AR59" s="434">
        <v>1.5</v>
      </c>
      <c r="AT59" s="390">
        <v>480</v>
      </c>
      <c r="AV59" s="390">
        <f t="shared" ref="AV59" si="56">+AT59-AD59</f>
        <v>12</v>
      </c>
      <c r="AW59" s="535" t="s">
        <v>473</v>
      </c>
      <c r="AX59" s="535"/>
      <c r="AY59" s="535"/>
      <c r="AZ59" s="535"/>
      <c r="BA59" s="535"/>
      <c r="BB59" s="535"/>
      <c r="BC59" s="535"/>
      <c r="BD59" s="535"/>
      <c r="BE59" s="535"/>
      <c r="BF59" s="535"/>
    </row>
    <row r="60" spans="2:58" s="98" customFormat="1" ht="62.25" customHeight="1" x14ac:dyDescent="0.9">
      <c r="B60" s="357">
        <f>+B59</f>
        <v>11</v>
      </c>
      <c r="C60" s="408"/>
      <c r="D60" s="184"/>
      <c r="E60" s="111">
        <f>+B59</f>
        <v>11</v>
      </c>
      <c r="F60" s="412"/>
      <c r="G60" s="541" t="str">
        <f t="shared" si="55"/>
        <v>2076-780-803</v>
      </c>
      <c r="H60" s="411" t="s">
        <v>412</v>
      </c>
      <c r="I60" s="113">
        <f>+IFERROR(IF(K61=0,0,IF((LOOKUP(2,1/(M60:W60&lt;&gt;""),M60:W60)-K61)&lt;0,0,IF(K61=0,"",LOOKUP(2,1/(M60:W60&lt;&gt;""),M60:W60)-K61))),0)</f>
        <v>0</v>
      </c>
      <c r="J60" s="113">
        <v>1</v>
      </c>
      <c r="K60" s="114" t="s">
        <v>22</v>
      </c>
      <c r="L60" s="102" t="s">
        <v>18</v>
      </c>
      <c r="M60" s="448">
        <v>41</v>
      </c>
      <c r="N60" s="448">
        <v>41</v>
      </c>
      <c r="O60" s="448">
        <v>41</v>
      </c>
      <c r="P60" s="448">
        <v>41</v>
      </c>
      <c r="Q60" s="448">
        <v>41</v>
      </c>
      <c r="R60" s="448">
        <v>41</v>
      </c>
      <c r="S60" s="448">
        <v>41</v>
      </c>
      <c r="T60" s="448">
        <v>41</v>
      </c>
      <c r="U60" s="448">
        <v>41</v>
      </c>
      <c r="V60" s="448"/>
      <c r="W60" s="448"/>
      <c r="X60" s="160">
        <f>+IF(H60="l",IF(COUNTA(M59:W59)=AK61+0.25,AA59-K59*AK61,AA59-(K59*COUNTA(M59:W59))),IF(H60="s",0,IF(COUNTA(M59:W59)=AK61+0.25,SUMIF($C:$C,B59,$AA:$AA)-K59*AK61,SUMIF($C:$C,B59,$AA:$AA)-K59*COUNTA(M59:W59))))</f>
        <v>-141.5</v>
      </c>
      <c r="Y60" s="466"/>
      <c r="Z60" s="534"/>
      <c r="AA60" s="462">
        <f t="shared" ref="AA60:AA61" si="57">+SUM(M60:W60)-U60*0.25</f>
        <v>358.75</v>
      </c>
      <c r="AB60" s="360"/>
      <c r="AC60" s="360"/>
      <c r="AD60" s="362"/>
      <c r="AE60" s="363"/>
      <c r="AF60" s="346"/>
      <c r="AG60" s="347">
        <f t="shared" si="1"/>
        <v>0</v>
      </c>
      <c r="AH60" s="341">
        <f t="shared" si="2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358.75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11</v>
      </c>
      <c r="C61" s="410"/>
      <c r="D61" s="174" t="s">
        <v>418</v>
      </c>
      <c r="E61" s="175">
        <f>+E60+100</f>
        <v>111</v>
      </c>
      <c r="F61" s="175"/>
      <c r="G61" s="542" t="str">
        <f t="shared" si="55"/>
        <v>2076-780-803</v>
      </c>
      <c r="H61" s="117"/>
      <c r="I61" s="442"/>
      <c r="J61" s="165">
        <f>+IF(K61="","",IF(K59=0,"",(K59*J59)/(K61*60)))</f>
        <v>0.89140476190476181</v>
      </c>
      <c r="K61" s="118">
        <v>42</v>
      </c>
      <c r="L61" s="104" t="s">
        <v>422</v>
      </c>
      <c r="M61" s="216">
        <v>1</v>
      </c>
      <c r="N61" s="216">
        <v>1</v>
      </c>
      <c r="O61" s="216">
        <v>1</v>
      </c>
      <c r="P61" s="216">
        <v>1</v>
      </c>
      <c r="Q61" s="216">
        <v>1</v>
      </c>
      <c r="R61" s="216">
        <v>1</v>
      </c>
      <c r="S61" s="216">
        <v>1</v>
      </c>
      <c r="T61" s="216">
        <v>1</v>
      </c>
      <c r="U61" s="216">
        <v>1</v>
      </c>
      <c r="V61" s="216"/>
      <c r="W61" s="216"/>
      <c r="X61" s="173"/>
      <c r="Y61" s="467">
        <v>27.448275862068968</v>
      </c>
      <c r="Z61" s="371">
        <f>+IF(COUNTA(M59:W59)=$AJ$4+0.25,$AJ$4-(AA59/K59),COUNTA(M59:W59)-(AA59/K59))+Y61</f>
        <v>29.887931034482762</v>
      </c>
      <c r="AA61" s="465">
        <f t="shared" si="57"/>
        <v>8.75</v>
      </c>
      <c r="AB61" s="367"/>
      <c r="AC61" s="367"/>
      <c r="AD61" s="368">
        <f>+IFERROR(AD59/(K59*$AQ$3),"")</f>
        <v>0.92216748768472911</v>
      </c>
      <c r="AE61" s="369"/>
      <c r="AF61" s="347"/>
      <c r="AG61" s="347">
        <f t="shared" si="1"/>
        <v>0</v>
      </c>
      <c r="AH61" s="341">
        <f t="shared" si="2"/>
        <v>0</v>
      </c>
      <c r="AI61" s="341"/>
      <c r="AJ61" s="356"/>
      <c r="AK61" s="370">
        <f>+$AJ$4</f>
        <v>8.75</v>
      </c>
      <c r="AL61" s="349">
        <f>+IF(AK61=7.75,SUM(M61:S61)+T61*0.75,IF(AK61=8,SUM(M61:T61),IF(AK61=7.25,SUM(M61:S61)+T61*0.25,IF(AK61=8.25,SUM(M61:T61)+U61*0.25,IF(AK61=8.75,SUM(M61:T61)+U61*0.75,0)))))</f>
        <v>8.75</v>
      </c>
      <c r="AM61" s="341">
        <f>+AL61-AA61</f>
        <v>0</v>
      </c>
      <c r="AN61" s="341"/>
      <c r="AO61" s="341"/>
      <c r="AP61" s="341"/>
      <c r="AQ61" s="369"/>
      <c r="AR61" s="434"/>
      <c r="AT61" s="390">
        <v>0.94581280788177335</v>
      </c>
      <c r="AV61" s="390"/>
    </row>
    <row r="62" spans="2:58" s="98" customFormat="1" ht="62.25" customHeight="1" thickTop="1" x14ac:dyDescent="0.9">
      <c r="B62" s="342">
        <f>+B63</f>
        <v>12</v>
      </c>
      <c r="C62" s="405"/>
      <c r="D62" s="106"/>
      <c r="E62" s="106"/>
      <c r="F62" s="106"/>
      <c r="G62" s="539"/>
      <c r="H62" s="106"/>
      <c r="I62" s="106"/>
      <c r="J62" s="107" t="s">
        <v>20</v>
      </c>
      <c r="K62" s="108" t="s">
        <v>23</v>
      </c>
      <c r="L62" s="100" t="s">
        <v>21</v>
      </c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47" t="str">
        <f t="shared" ref="X62" si="58">IF(AQ63="","",SUM(M62:W62)-(-(AQ63-SUM(M62:W62))/$AQ$3)*SUM($M$2:$W$2))</f>
        <v/>
      </c>
      <c r="Y62" s="466"/>
      <c r="Z62" s="533">
        <f>+X64</f>
        <v>0</v>
      </c>
      <c r="AA62" s="447">
        <f t="shared" si="0"/>
        <v>0</v>
      </c>
      <c r="AB62" s="343">
        <f>+AC62+AA62</f>
        <v>0</v>
      </c>
      <c r="AC62" s="343">
        <v>0</v>
      </c>
      <c r="AD62" s="344"/>
      <c r="AE62" s="345"/>
      <c r="AF62" s="346"/>
      <c r="AG62" s="347"/>
      <c r="AH62" s="341"/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0.9">
      <c r="B63" s="351">
        <v>12</v>
      </c>
      <c r="C63" s="406">
        <v>12</v>
      </c>
      <c r="D63" s="407"/>
      <c r="E63" s="111"/>
      <c r="F63" s="111"/>
      <c r="G63" s="539"/>
      <c r="H63" s="111"/>
      <c r="I63" s="111"/>
      <c r="J63" s="113"/>
      <c r="K63" s="130"/>
      <c r="L63" s="101" t="s">
        <v>17</v>
      </c>
      <c r="M63" s="454"/>
      <c r="N63" s="454"/>
      <c r="O63" s="454"/>
      <c r="P63" s="454"/>
      <c r="Q63" s="454"/>
      <c r="R63" s="454"/>
      <c r="S63" s="454"/>
      <c r="T63" s="454"/>
      <c r="U63" s="454"/>
      <c r="V63" s="454"/>
      <c r="W63" s="454"/>
      <c r="X63" s="123">
        <f>+IF(H64="s",0,IF(AA63=0,0,IF(COUNTA(M63:W63)=AK65+0.25,SUMIF($C:$C,B63,$AA:$AA)/AK65,SUMIF($C:$C,B63,$AA:$AA)/(COUNTA(M63:W63)))))</f>
        <v>0</v>
      </c>
      <c r="Y63" s="466"/>
      <c r="Z63" s="534"/>
      <c r="AA63" s="134">
        <f t="shared" si="0"/>
        <v>0</v>
      </c>
      <c r="AB63" s="354">
        <f>+AA63+AC63</f>
        <v>0</v>
      </c>
      <c r="AC63" s="354">
        <v>0</v>
      </c>
      <c r="AD63" s="355">
        <f>+AB62-AB63</f>
        <v>0</v>
      </c>
      <c r="AE63" s="131" t="str">
        <f>+IF(((AA64+(AA65/2))*60)=0,"",(J63*AA63)/((AA64+(AA65/2))*60))</f>
        <v/>
      </c>
      <c r="AF63" s="347"/>
      <c r="AG63" s="347"/>
      <c r="AH63" s="341"/>
      <c r="AI63" s="341"/>
      <c r="AJ63" s="356"/>
      <c r="AK63" s="348"/>
      <c r="AL63" s="349"/>
      <c r="AM63" s="341"/>
      <c r="AN63" s="341"/>
      <c r="AO63" s="341"/>
      <c r="AP63" s="341"/>
      <c r="AQ63" s="339" t="str">
        <f t="shared" si="4"/>
        <v/>
      </c>
      <c r="AR63" s="434"/>
      <c r="AT63" s="390">
        <v>0</v>
      </c>
      <c r="AV63" s="390">
        <f t="shared" ref="AV63" si="59">+AT63-AD63</f>
        <v>0</v>
      </c>
    </row>
    <row r="64" spans="2:58" s="98" customFormat="1" ht="62.25" customHeight="1" x14ac:dyDescent="0.9">
      <c r="B64" s="357">
        <f>+B63</f>
        <v>12</v>
      </c>
      <c r="C64" s="408"/>
      <c r="D64" s="184"/>
      <c r="E64" s="111">
        <f>+B63</f>
        <v>12</v>
      </c>
      <c r="F64" s="409"/>
      <c r="G64" s="539"/>
      <c r="H64" s="411"/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53"/>
      <c r="N64" s="453"/>
      <c r="O64" s="453"/>
      <c r="P64" s="453"/>
      <c r="Q64" s="453"/>
      <c r="R64" s="453"/>
      <c r="S64" s="453"/>
      <c r="T64" s="453"/>
      <c r="U64" s="453"/>
      <c r="V64" s="453"/>
      <c r="W64" s="453"/>
      <c r="X64" s="160">
        <f>+IF(H64="l",IF(COUNTA(M63:W63)=AK65+0.25,AA63-K63*AK65,AA63-(K63*COUNTA(M63:W63))),IF(H64="s",0,IF(COUNTA(M63:W63)=AK65+0.25,SUMIF($C:$C,B63,$AA:$AA)-K63*AK65,SUMIF($C:$C,B63,$AA:$AA)-K63*COUNTA(M63:W63))))</f>
        <v>0</v>
      </c>
      <c r="Y64" s="466"/>
      <c r="Z64" s="534"/>
      <c r="AA64" s="462">
        <f t="shared" ref="AA64:AA65" si="60">+SUM(M64:W64)-U64*0.25</f>
        <v>0</v>
      </c>
      <c r="AB64" s="360"/>
      <c r="AC64" s="360"/>
      <c r="AD64" s="362"/>
      <c r="AE64" s="363"/>
      <c r="AF64" s="346"/>
      <c r="AG64" s="347"/>
      <c r="AH64" s="341"/>
      <c r="AI64" s="341"/>
      <c r="AJ64" s="341"/>
      <c r="AK64" s="348"/>
      <c r="AL64" s="349"/>
      <c r="AM64" s="341"/>
      <c r="AN64" s="341"/>
      <c r="AO64" s="341"/>
      <c r="AP64" s="341"/>
      <c r="AQ64" s="438"/>
      <c r="AR64" s="434"/>
      <c r="AT64" s="390"/>
      <c r="AV64" s="390"/>
    </row>
    <row r="65" spans="2:58" s="98" customFormat="1" ht="62.25" customHeight="1" thickBot="1" x14ac:dyDescent="0.95">
      <c r="B65" s="364">
        <f>+B63</f>
        <v>12</v>
      </c>
      <c r="C65" s="410"/>
      <c r="D65" s="174"/>
      <c r="E65" s="175">
        <f>+E64+100</f>
        <v>112</v>
      </c>
      <c r="F65" s="175"/>
      <c r="G65" s="539"/>
      <c r="H65" s="117"/>
      <c r="I65" s="442"/>
      <c r="J65" s="165" t="str">
        <f>+IF(K65="","",IF(K63=0,"",(K63*J63)/(K65*60)))</f>
        <v/>
      </c>
      <c r="K65" s="118"/>
      <c r="L65" s="104" t="s">
        <v>19</v>
      </c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173"/>
      <c r="Y65" s="467"/>
      <c r="Z65" s="371"/>
      <c r="AA65" s="465">
        <f t="shared" si="60"/>
        <v>0</v>
      </c>
      <c r="AB65" s="367"/>
      <c r="AC65" s="367"/>
      <c r="AD65" s="368" t="str">
        <f>+IFERROR(AD63/(K63*$AQ$3),"")</f>
        <v/>
      </c>
      <c r="AE65" s="369"/>
      <c r="AF65" s="347"/>
      <c r="AG65" s="347"/>
      <c r="AH65" s="341"/>
      <c r="AI65" s="341"/>
      <c r="AJ65" s="356"/>
      <c r="AK65" s="370">
        <v>10.25</v>
      </c>
      <c r="AL65" s="349"/>
      <c r="AM65" s="341"/>
      <c r="AN65" s="341"/>
      <c r="AO65" s="341"/>
      <c r="AP65" s="341"/>
      <c r="AQ65" s="369"/>
      <c r="AR65" s="434"/>
      <c r="AT65" s="390" t="s">
        <v>416</v>
      </c>
      <c r="AV65" s="390"/>
    </row>
    <row r="66" spans="2:58" s="98" customFormat="1" ht="62.25" customHeight="1" thickTop="1" x14ac:dyDescent="0.9">
      <c r="B66" s="342">
        <f>+B67</f>
        <v>13</v>
      </c>
      <c r="C66" s="405"/>
      <c r="D66" s="106"/>
      <c r="E66" s="106"/>
      <c r="F66" s="106"/>
      <c r="G66" s="540" t="s">
        <v>432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60</v>
      </c>
      <c r="N66" s="448">
        <v>120</v>
      </c>
      <c r="O66" s="448"/>
      <c r="P66" s="448"/>
      <c r="Q66" s="448"/>
      <c r="R66" s="448">
        <v>60</v>
      </c>
      <c r="S66" s="448"/>
      <c r="T66" s="448"/>
      <c r="U66" s="448"/>
      <c r="V66" s="448"/>
      <c r="W66" s="448"/>
      <c r="X66" s="447">
        <f t="shared" ref="X66" si="61">IF(AQ67="","",SUM(M66:W66)-(-(AQ67-SUM(M66:W66))/$AQ$3)*SUM($M$2:$W$2))</f>
        <v>240</v>
      </c>
      <c r="Y66" s="466"/>
      <c r="Z66" s="533">
        <f>+X68</f>
        <v>-86.75</v>
      </c>
      <c r="AA66" s="447">
        <f t="shared" si="0"/>
        <v>240</v>
      </c>
      <c r="AB66" s="343">
        <f>+AC66+AA66</f>
        <v>4921</v>
      </c>
      <c r="AC66" s="343">
        <v>4681</v>
      </c>
      <c r="AD66" s="344"/>
      <c r="AE66" s="345"/>
      <c r="AF66" s="346"/>
      <c r="AG66" s="347">
        <f t="shared" si="1"/>
        <v>0</v>
      </c>
      <c r="AH66" s="341">
        <f t="shared" si="2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8" s="98" customFormat="1" ht="62.25" customHeight="1" x14ac:dyDescent="0.9">
      <c r="B67" s="351">
        <v>13</v>
      </c>
      <c r="C67" s="406">
        <f>+B67</f>
        <v>13</v>
      </c>
      <c r="D67" s="407" t="s">
        <v>431</v>
      </c>
      <c r="E67" s="111"/>
      <c r="F67" s="111" t="s">
        <v>35</v>
      </c>
      <c r="G67" s="541" t="str">
        <f t="shared" ref="G67:G69" si="62">+G66</f>
        <v>2158-755-712</v>
      </c>
      <c r="H67" s="111"/>
      <c r="I67" s="111" t="s">
        <v>33</v>
      </c>
      <c r="J67" s="113">
        <v>51.42</v>
      </c>
      <c r="K67" s="471">
        <v>45</v>
      </c>
      <c r="L67" s="101" t="s">
        <v>17</v>
      </c>
      <c r="M67" s="214">
        <v>25</v>
      </c>
      <c r="N67" s="214">
        <v>45</v>
      </c>
      <c r="O67" s="214">
        <v>35</v>
      </c>
      <c r="P67" s="214">
        <v>40</v>
      </c>
      <c r="Q67" s="214">
        <v>35</v>
      </c>
      <c r="R67" s="214">
        <v>32</v>
      </c>
      <c r="S67" s="214">
        <v>35</v>
      </c>
      <c r="T67" s="214">
        <v>35</v>
      </c>
      <c r="U67" s="214">
        <v>25</v>
      </c>
      <c r="V67" s="214"/>
      <c r="W67" s="214"/>
      <c r="X67" s="123">
        <f>+IF(H68="s",0,IF(AA67=0,0,IF(COUNTA(M67:W67)=AK69+0.25,SUMIF($C:$C,B67,$AA:$AA)/AK69,SUMIF($C:$C,B67,$AA:$AA)/(COUNTA(M67:W67)))))</f>
        <v>35.085714285714289</v>
      </c>
      <c r="Y67" s="466"/>
      <c r="Z67" s="534"/>
      <c r="AA67" s="134">
        <f t="shared" si="0"/>
        <v>307</v>
      </c>
      <c r="AB67" s="354">
        <f>+AA67+AC67</f>
        <v>4243</v>
      </c>
      <c r="AC67" s="354">
        <v>3936</v>
      </c>
      <c r="AD67" s="355">
        <f>+AB66-AB67</f>
        <v>678</v>
      </c>
      <c r="AE67" s="131">
        <f>+IF(((AA68+(AA69/2))*60)=0,"",(J67*AA67)/((AA68+(AA69/2))*60))</f>
        <v>0.64802709359605914</v>
      </c>
      <c r="AF67" s="347">
        <f>+AA68+AA69/2</f>
        <v>406</v>
      </c>
      <c r="AG67" s="347">
        <f t="shared" si="1"/>
        <v>406</v>
      </c>
      <c r="AH67" s="341">
        <f t="shared" si="2"/>
        <v>24360</v>
      </c>
      <c r="AI67" s="341">
        <f>+AA67*J67</f>
        <v>15785.94</v>
      </c>
      <c r="AJ67" s="356">
        <f>+AA67-(AF67*K67/K69)</f>
        <v>-90.173913043478251</v>
      </c>
      <c r="AK67" s="348"/>
      <c r="AL67" s="349"/>
      <c r="AM67" s="341"/>
      <c r="AN67" s="341"/>
      <c r="AO67" s="341"/>
      <c r="AP67" s="341"/>
      <c r="AQ67" s="339">
        <f t="shared" si="4"/>
        <v>0.625</v>
      </c>
      <c r="AR67" s="434">
        <v>1.5</v>
      </c>
      <c r="AT67" s="390">
        <v>745</v>
      </c>
      <c r="AV67" s="390">
        <f t="shared" ref="AV67" si="63">+AT67-AD67</f>
        <v>67</v>
      </c>
    </row>
    <row r="68" spans="2:58" s="98" customFormat="1" ht="62.25" customHeight="1" x14ac:dyDescent="0.9">
      <c r="B68" s="357">
        <f>+B67</f>
        <v>13</v>
      </c>
      <c r="C68" s="408"/>
      <c r="D68" s="184"/>
      <c r="E68" s="111">
        <f>+B67</f>
        <v>13</v>
      </c>
      <c r="F68" s="412"/>
      <c r="G68" s="541" t="str">
        <f t="shared" si="62"/>
        <v>2158-755-712</v>
      </c>
      <c r="H68" s="411"/>
      <c r="I68" s="113">
        <f>+IFERROR(IF(K69=0,0,IF((LOOKUP(2,1/(M68:W68&lt;&gt;""),M68:W68)-K69)&lt;0,0,IF(K69=0,"",LOOKUP(2,1/(M68:W68&lt;&gt;""),M68:W68)-K69))),0)</f>
        <v>0</v>
      </c>
      <c r="J68" s="113">
        <v>1</v>
      </c>
      <c r="K68" s="114" t="s">
        <v>22</v>
      </c>
      <c r="L68" s="102" t="s">
        <v>18</v>
      </c>
      <c r="M68" s="448">
        <v>46</v>
      </c>
      <c r="N68" s="448">
        <v>46</v>
      </c>
      <c r="O68" s="448">
        <v>46</v>
      </c>
      <c r="P68" s="448">
        <v>46</v>
      </c>
      <c r="Q68" s="448">
        <v>46</v>
      </c>
      <c r="R68" s="448">
        <v>46</v>
      </c>
      <c r="S68" s="448">
        <v>46</v>
      </c>
      <c r="T68" s="448">
        <v>46</v>
      </c>
      <c r="U68" s="448">
        <v>46</v>
      </c>
      <c r="V68" s="448"/>
      <c r="W68" s="448"/>
      <c r="X68" s="160">
        <f>+IF(H68="l",IF(COUNTA(M67:W67)=AK69+0.25,AA67-K67*AK69,AA67-(K67*COUNTA(M67:W67))),IF(H68="s",0,IF(COUNTA(M67:W67)=AK69+0.25,SUMIF($C:$C,B67,$AA:$AA)-K67*AK69,SUMIF($C:$C,B67,$AA:$AA)-K67*COUNTA(M67:W67))))</f>
        <v>-86.75</v>
      </c>
      <c r="Y68" s="466"/>
      <c r="Z68" s="534"/>
      <c r="AA68" s="462">
        <f t="shared" ref="AA68:AA69" si="64">+SUM(M68:W68)-U68*0.25</f>
        <v>402.5</v>
      </c>
      <c r="AB68" s="360"/>
      <c r="AC68" s="360"/>
      <c r="AD68" s="362"/>
      <c r="AE68" s="363"/>
      <c r="AF68" s="346"/>
      <c r="AG68" s="347">
        <f t="shared" si="1"/>
        <v>0</v>
      </c>
      <c r="AH68" s="341">
        <f t="shared" si="2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402.5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8" s="98" customFormat="1" ht="62.25" customHeight="1" thickBot="1" x14ac:dyDescent="0.95">
      <c r="B69" s="364">
        <f>+B67</f>
        <v>13</v>
      </c>
      <c r="C69" s="410"/>
      <c r="D69" s="174" t="s">
        <v>379</v>
      </c>
      <c r="E69" s="175">
        <f>+E68+100</f>
        <v>113</v>
      </c>
      <c r="F69" s="175"/>
      <c r="G69" s="542" t="str">
        <f t="shared" si="62"/>
        <v>2158-755-712</v>
      </c>
      <c r="H69" s="117"/>
      <c r="I69" s="442"/>
      <c r="J69" s="165">
        <f>+IF(K69="","",IF(K67=0,"",(K67*J67)/(K69*60)))</f>
        <v>0.83836956521739137</v>
      </c>
      <c r="K69" s="472">
        <v>46</v>
      </c>
      <c r="L69" s="104" t="s">
        <v>19</v>
      </c>
      <c r="M69" s="216">
        <v>1</v>
      </c>
      <c r="N69" s="216">
        <v>1</v>
      </c>
      <c r="O69" s="216">
        <v>1</v>
      </c>
      <c r="P69" s="216">
        <v>1</v>
      </c>
      <c r="Q69" s="216">
        <v>1</v>
      </c>
      <c r="R69" s="216">
        <v>1</v>
      </c>
      <c r="S69" s="216">
        <v>1</v>
      </c>
      <c r="T69" s="216"/>
      <c r="U69" s="216"/>
      <c r="V69" s="216"/>
      <c r="W69" s="216"/>
      <c r="X69" s="173"/>
      <c r="Y69" s="467">
        <v>30.54</v>
      </c>
      <c r="Z69" s="365">
        <v>30.54</v>
      </c>
      <c r="AA69" s="465">
        <f t="shared" si="64"/>
        <v>7</v>
      </c>
      <c r="AB69" s="367"/>
      <c r="AC69" s="367"/>
      <c r="AD69" s="368">
        <f>+IFERROR(AD67/(K67*$AQ$3),"")</f>
        <v>1.7219047619047618</v>
      </c>
      <c r="AE69" s="369"/>
      <c r="AF69" s="347"/>
      <c r="AG69" s="347">
        <f t="shared" si="1"/>
        <v>0</v>
      </c>
      <c r="AH69" s="341">
        <f t="shared" si="2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7</v>
      </c>
      <c r="AM69" s="341">
        <f>+AL69-AA69</f>
        <v>0</v>
      </c>
      <c r="AN69" s="341"/>
      <c r="AO69" s="341"/>
      <c r="AP69" s="341"/>
      <c r="AQ69" s="369"/>
      <c r="AR69" s="434"/>
      <c r="AT69" s="390">
        <v>1.892063492063492</v>
      </c>
      <c r="AV69" s="390"/>
    </row>
    <row r="70" spans="2:58" s="98" customFormat="1" ht="58.5" customHeight="1" thickTop="1" x14ac:dyDescent="0.9">
      <c r="B70" s="373">
        <f>+B71</f>
        <v>14</v>
      </c>
      <c r="C70" s="405"/>
      <c r="D70" s="106"/>
      <c r="E70" s="106"/>
      <c r="F70" s="106"/>
      <c r="G70" s="539" t="s">
        <v>429</v>
      </c>
      <c r="H70" s="106"/>
      <c r="I70" s="106"/>
      <c r="J70" s="107" t="s">
        <v>20</v>
      </c>
      <c r="K70" s="108" t="s">
        <v>23</v>
      </c>
      <c r="L70" s="100" t="s">
        <v>21</v>
      </c>
      <c r="M70" s="448">
        <v>100</v>
      </c>
      <c r="N70" s="448">
        <v>50</v>
      </c>
      <c r="O70" s="448"/>
      <c r="P70" s="448"/>
      <c r="Q70" s="448"/>
      <c r="R70" s="448"/>
      <c r="S70" s="448"/>
      <c r="T70" s="448"/>
      <c r="U70" s="448"/>
      <c r="V70" s="448"/>
      <c r="W70" s="448"/>
      <c r="X70" s="447">
        <f t="shared" ref="X70" si="65">IF(AQ71="","",SUM(M70:W70)-(-(AQ71-SUM(M70:W70))/$AQ$3)*SUM($M$2:$W$2))</f>
        <v>150</v>
      </c>
      <c r="Y70" s="466"/>
      <c r="Z70" s="533">
        <f>+X72</f>
        <v>-135</v>
      </c>
      <c r="AA70" s="447">
        <f t="shared" si="0"/>
        <v>150</v>
      </c>
      <c r="AB70" s="343">
        <f>+AC70+AA70</f>
        <v>5850</v>
      </c>
      <c r="AC70" s="343">
        <v>5700</v>
      </c>
      <c r="AD70" s="344"/>
      <c r="AE70" s="345"/>
      <c r="AF70" s="346"/>
      <c r="AG70" s="347">
        <f t="shared" si="1"/>
        <v>0</v>
      </c>
      <c r="AH70" s="341">
        <f t="shared" si="2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8" s="98" customFormat="1" ht="58.5" customHeight="1" x14ac:dyDescent="0.9">
      <c r="B71" s="374">
        <v>14</v>
      </c>
      <c r="C71" s="406">
        <f>+B71</f>
        <v>14</v>
      </c>
      <c r="D71" s="407" t="s">
        <v>427</v>
      </c>
      <c r="E71" s="111"/>
      <c r="F71" s="111" t="s">
        <v>428</v>
      </c>
      <c r="G71" s="539" t="str">
        <f t="shared" ref="G71:G73" si="66">+G70</f>
        <v>NEGRONI-202942</v>
      </c>
      <c r="H71" s="111"/>
      <c r="I71" s="111" t="s">
        <v>430</v>
      </c>
      <c r="J71" s="113">
        <v>48.06</v>
      </c>
      <c r="K71" s="471">
        <v>44</v>
      </c>
      <c r="L71" s="101" t="s">
        <v>17</v>
      </c>
      <c r="M71" s="214">
        <v>33</v>
      </c>
      <c r="N71" s="214">
        <v>23</v>
      </c>
      <c r="O71" s="214">
        <v>34</v>
      </c>
      <c r="P71" s="214">
        <v>31</v>
      </c>
      <c r="Q71" s="214">
        <v>30</v>
      </c>
      <c r="R71" s="214">
        <v>24</v>
      </c>
      <c r="S71" s="214">
        <v>31</v>
      </c>
      <c r="T71" s="214">
        <v>27</v>
      </c>
      <c r="U71" s="214">
        <v>17</v>
      </c>
      <c r="V71" s="214"/>
      <c r="W71" s="214"/>
      <c r="X71" s="123">
        <f>+IF(H72="s",0,IF(AA71=0,0,IF(COUNTA(M71:W71)=AK73+0.25,SUMIF($C:$C,B71,$AA:$AA)/AK73,SUMIF($C:$C,B71,$AA:$AA)/(COUNTA(M71:W71)))))</f>
        <v>28.571428571428573</v>
      </c>
      <c r="Y71" s="466"/>
      <c r="Z71" s="534"/>
      <c r="AA71" s="134">
        <f t="shared" si="0"/>
        <v>250</v>
      </c>
      <c r="AB71" s="354">
        <f>+AA71+AC71</f>
        <v>5045</v>
      </c>
      <c r="AC71" s="354">
        <v>4795</v>
      </c>
      <c r="AD71" s="355">
        <f>+AB70-AB71</f>
        <v>805</v>
      </c>
      <c r="AE71" s="131">
        <f>+IF(((AA72+(AA73/2))*60)=0,"",(J71*AA71)/((AA72+(AA73/2))*60))</f>
        <v>0.5097041043588928</v>
      </c>
      <c r="AF71" s="347">
        <f>+AA72+AA73/2</f>
        <v>392.875</v>
      </c>
      <c r="AG71" s="347">
        <f t="shared" si="1"/>
        <v>392.52499999999998</v>
      </c>
      <c r="AH71" s="341">
        <f t="shared" si="2"/>
        <v>23572.5</v>
      </c>
      <c r="AI71" s="341">
        <f>+AA71*J71</f>
        <v>12015</v>
      </c>
      <c r="AJ71" s="356">
        <f>+AA71-(AF71*K71/K73)</f>
        <v>-142.875</v>
      </c>
      <c r="AK71" s="348"/>
      <c r="AL71" s="349"/>
      <c r="AM71" s="341"/>
      <c r="AN71" s="341"/>
      <c r="AO71" s="341"/>
      <c r="AP71" s="341"/>
      <c r="AQ71" s="339">
        <f>-150+AA70</f>
        <v>0</v>
      </c>
      <c r="AR71" s="434">
        <v>1.5</v>
      </c>
      <c r="AT71" s="390">
        <v>905</v>
      </c>
      <c r="AV71" s="390">
        <f t="shared" ref="AV71" si="67">+AT71-AD71</f>
        <v>100</v>
      </c>
    </row>
    <row r="72" spans="2:58" s="98" customFormat="1" ht="58.5" customHeight="1" x14ac:dyDescent="0.9">
      <c r="B72" s="357">
        <f>+B71</f>
        <v>14</v>
      </c>
      <c r="C72" s="408"/>
      <c r="D72" s="184"/>
      <c r="E72" s="111">
        <f>+B71</f>
        <v>14</v>
      </c>
      <c r="F72" s="409"/>
      <c r="G72" s="539" t="str">
        <f t="shared" si="66"/>
        <v>NEGRONI-202942</v>
      </c>
      <c r="H72" s="411"/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48">
        <v>44</v>
      </c>
      <c r="N72" s="448">
        <v>44</v>
      </c>
      <c r="O72" s="448">
        <v>44</v>
      </c>
      <c r="P72" s="448">
        <v>44</v>
      </c>
      <c r="Q72" s="448">
        <v>44</v>
      </c>
      <c r="R72" s="448">
        <v>44</v>
      </c>
      <c r="S72" s="448">
        <v>44</v>
      </c>
      <c r="T72" s="448">
        <v>44</v>
      </c>
      <c r="U72" s="448">
        <v>44</v>
      </c>
      <c r="V72" s="448"/>
      <c r="W72" s="448"/>
      <c r="X72" s="160">
        <f>+IF(H72="l",IF(COUNTA(M71:W71)=AK73+0.25,AA71-K71*AK73,AA71-(K71*COUNTA(M71:W71))),IF(H72="s",0,IF(COUNTA(M71:W71)=AK73+0.25,SUMIF($C:$C,B71,$AA:$AA)-K71*AK73,SUMIF($C:$C,B71,$AA:$AA)-K71*COUNTA(M71:W71))))</f>
        <v>-135</v>
      </c>
      <c r="Y72" s="466"/>
      <c r="Z72" s="534"/>
      <c r="AA72" s="462">
        <f t="shared" ref="AA72:AA73" si="68">+SUM(M72:W72)-U72*0.25</f>
        <v>385</v>
      </c>
      <c r="AB72" s="360"/>
      <c r="AC72" s="360"/>
      <c r="AD72" s="362"/>
      <c r="AE72" s="363"/>
      <c r="AF72" s="346"/>
      <c r="AG72" s="347">
        <f t="shared" si="1"/>
        <v>0</v>
      </c>
      <c r="AH72" s="341">
        <f t="shared" si="2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385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8" s="98" customFormat="1" ht="58.5" customHeight="1" thickBot="1" x14ac:dyDescent="0.95">
      <c r="B73" s="364">
        <f>+B71</f>
        <v>14</v>
      </c>
      <c r="C73" s="410"/>
      <c r="D73" s="174" t="s">
        <v>112</v>
      </c>
      <c r="E73" s="175">
        <f>+E72+100</f>
        <v>114</v>
      </c>
      <c r="F73" s="175"/>
      <c r="G73" s="539" t="str">
        <f t="shared" si="66"/>
        <v>NEGRONI-202942</v>
      </c>
      <c r="H73" s="117"/>
      <c r="I73" s="442"/>
      <c r="J73" s="165">
        <f>+IF(K73="","",IF(K71=0,"",(K71*J71)/(K73*60)))</f>
        <v>0.80100000000000016</v>
      </c>
      <c r="K73" s="472">
        <v>44</v>
      </c>
      <c r="L73" s="104" t="s">
        <v>19</v>
      </c>
      <c r="M73" s="216">
        <v>2</v>
      </c>
      <c r="N73" s="216">
        <v>2</v>
      </c>
      <c r="O73" s="216">
        <v>2</v>
      </c>
      <c r="P73" s="216">
        <v>2</v>
      </c>
      <c r="Q73" s="216">
        <v>2</v>
      </c>
      <c r="R73" s="216">
        <v>2</v>
      </c>
      <c r="S73" s="216">
        <v>2</v>
      </c>
      <c r="T73" s="216">
        <v>1</v>
      </c>
      <c r="U73" s="216">
        <v>1</v>
      </c>
      <c r="V73" s="216"/>
      <c r="W73" s="216"/>
      <c r="X73" s="173"/>
      <c r="Y73" s="467">
        <v>43.52</v>
      </c>
      <c r="Z73" s="365">
        <v>43.52</v>
      </c>
      <c r="AA73" s="465">
        <f t="shared" si="68"/>
        <v>15.75</v>
      </c>
      <c r="AB73" s="367"/>
      <c r="AC73" s="367"/>
      <c r="AD73" s="368">
        <f>+IFERROR(AD71/(K71*$AQ$3),"")</f>
        <v>2.0909090909090908</v>
      </c>
      <c r="AE73" s="369"/>
      <c r="AF73" s="347"/>
      <c r="AG73" s="347">
        <f t="shared" si="1"/>
        <v>0</v>
      </c>
      <c r="AH73" s="341">
        <f t="shared" si="2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15.75</v>
      </c>
      <c r="AM73" s="341">
        <f>+AL73-AA73</f>
        <v>0</v>
      </c>
      <c r="AN73" s="341"/>
      <c r="AO73" s="341"/>
      <c r="AP73" s="341"/>
      <c r="AQ73" s="369"/>
      <c r="AR73" s="434"/>
      <c r="AT73" s="390">
        <v>2.4625850340136055</v>
      </c>
      <c r="AV73" s="390"/>
    </row>
    <row r="74" spans="2:58" s="98" customFormat="1" ht="58.5" customHeight="1" thickTop="1" x14ac:dyDescent="0.9">
      <c r="B74" s="373">
        <f>+B75</f>
        <v>14</v>
      </c>
      <c r="C74" s="405"/>
      <c r="D74" s="106"/>
      <c r="E74" s="106"/>
      <c r="F74" s="106"/>
      <c r="G74" s="540" t="s">
        <v>481</v>
      </c>
      <c r="H74" s="106"/>
      <c r="I74" s="106"/>
      <c r="J74" s="107" t="s">
        <v>20</v>
      </c>
      <c r="K74" s="108" t="s">
        <v>23</v>
      </c>
      <c r="L74" s="100" t="s">
        <v>21</v>
      </c>
      <c r="M74" s="448"/>
      <c r="N74" s="448"/>
      <c r="O74" s="448"/>
      <c r="P74" s="448"/>
      <c r="Q74" s="448"/>
      <c r="R74" s="448"/>
      <c r="S74" s="448">
        <v>120</v>
      </c>
      <c r="T74" s="448"/>
      <c r="U74" s="448"/>
      <c r="V74" s="448"/>
      <c r="W74" s="448"/>
      <c r="X74" s="447">
        <f t="shared" ref="X74" si="69">IF(AQ75="","",SUM(M74:W74)-(-(AQ75-SUM(M74:W74))/$AQ$3)*SUM($M$2:$W$2))</f>
        <v>120</v>
      </c>
      <c r="Y74" s="466"/>
      <c r="Z74" s="533">
        <f>+X76</f>
        <v>0</v>
      </c>
      <c r="AA74" s="447">
        <f t="shared" ref="AA74:AA75" si="70">+SUM(L74:W74)</f>
        <v>120</v>
      </c>
      <c r="AB74" s="343">
        <f>+AC74+AA74</f>
        <v>120</v>
      </c>
      <c r="AC74" s="343"/>
      <c r="AD74" s="344"/>
      <c r="AE74" s="345"/>
      <c r="AF74" s="346"/>
      <c r="AG74" s="347">
        <f t="shared" ref="AG74:AG77" si="71">TRUNC(AF74)+(AF74-TRUNC(AF74))*60/100</f>
        <v>0</v>
      </c>
      <c r="AH74" s="341">
        <f t="shared" ref="AH74:AH77" si="72">+AF74*60</f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8" s="98" customFormat="1" ht="58.5" customHeight="1" x14ac:dyDescent="0.9">
      <c r="B75" s="374">
        <v>14</v>
      </c>
      <c r="C75" s="406">
        <f>+B75</f>
        <v>14</v>
      </c>
      <c r="D75" s="407" t="s">
        <v>480</v>
      </c>
      <c r="E75" s="111"/>
      <c r="F75" s="111" t="s">
        <v>35</v>
      </c>
      <c r="G75" s="541" t="str">
        <f t="shared" ref="G75:G77" si="73">+G74</f>
        <v>2396-593-600</v>
      </c>
      <c r="H75" s="111"/>
      <c r="I75" s="111" t="s">
        <v>33</v>
      </c>
      <c r="J75" s="113"/>
      <c r="K75" s="130"/>
      <c r="L75" s="101" t="s">
        <v>17</v>
      </c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123">
        <f>+IF(H76="s",0,IF(AA75=0,0,IF(COUNTA(M75:W75)=AK77+0.25,SUMIF($C:$C,B75,$AA:$AA)/AK77,SUMIF($C:$C,B75,$AA:$AA)/(COUNTA(M75:W75)))))</f>
        <v>0</v>
      </c>
      <c r="Y75" s="466"/>
      <c r="Z75" s="534"/>
      <c r="AA75" s="134">
        <f t="shared" si="70"/>
        <v>0</v>
      </c>
      <c r="AB75" s="354">
        <f>+AA75+AC75</f>
        <v>0</v>
      </c>
      <c r="AC75" s="354"/>
      <c r="AD75" s="355">
        <f>+AB74-AB75</f>
        <v>120</v>
      </c>
      <c r="AE75" s="131" t="str">
        <f>+IF(((AA76+(AA77/2))*60)=0,"",(J75*AA75)/((AA76+(AA77/2))*60))</f>
        <v/>
      </c>
      <c r="AF75" s="347">
        <f>+AA76+AA77/2</f>
        <v>0</v>
      </c>
      <c r="AG75" s="347">
        <f t="shared" si="71"/>
        <v>0</v>
      </c>
      <c r="AH75" s="341">
        <f t="shared" si="72"/>
        <v>0</v>
      </c>
      <c r="AI75" s="341">
        <f>+AA75*J75</f>
        <v>0</v>
      </c>
      <c r="AJ75" s="356" t="e">
        <f>+AA75-(AF75*K75/K77)</f>
        <v>#DIV/0!</v>
      </c>
      <c r="AK75" s="348"/>
      <c r="AL75" s="349"/>
      <c r="AM75" s="341"/>
      <c r="AN75" s="341"/>
      <c r="AO75" s="341"/>
      <c r="AP75" s="341"/>
      <c r="AQ75" s="339">
        <f>-120+AA74</f>
        <v>0</v>
      </c>
      <c r="AR75" s="434"/>
      <c r="AT75" s="390">
        <v>0</v>
      </c>
      <c r="AV75" s="390">
        <f t="shared" ref="AV75" si="74">+AT75-AD75</f>
        <v>-120</v>
      </c>
    </row>
    <row r="76" spans="2:58" s="98" customFormat="1" ht="58.5" customHeight="1" x14ac:dyDescent="0.9">
      <c r="B76" s="357">
        <f>+B75</f>
        <v>14</v>
      </c>
      <c r="C76" s="408"/>
      <c r="D76" s="184"/>
      <c r="E76" s="111">
        <f>+B75</f>
        <v>14</v>
      </c>
      <c r="F76" s="409"/>
      <c r="G76" s="541" t="str">
        <f t="shared" si="73"/>
        <v>2396-593-600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48"/>
      <c r="N76" s="448"/>
      <c r="O76" s="448"/>
      <c r="P76" s="448"/>
      <c r="Q76" s="448"/>
      <c r="R76" s="448"/>
      <c r="S76" s="448"/>
      <c r="T76" s="448"/>
      <c r="U76" s="448"/>
      <c r="V76" s="448"/>
      <c r="W76" s="448"/>
      <c r="X76" s="160">
        <f>+IF(H76="l",IF(COUNTA(M75:W75)=AK77+0.25,AA75-K75*AK77,AA75-(K75*COUNTA(M75:W75))),IF(H76="s",0,IF(COUNTA(M75:W75)=AK77+0.25,SUMIF($C:$C,B75,$AA:$AA)-K75*AK77,SUMIF($C:$C,B75,$AA:$AA)-K75*COUNTA(M75:W75))))</f>
        <v>0</v>
      </c>
      <c r="Y76" s="466"/>
      <c r="Z76" s="534"/>
      <c r="AA76" s="462">
        <f t="shared" ref="AA76:AA77" si="75">+SUM(M76:W76)-U76*0.25</f>
        <v>0</v>
      </c>
      <c r="AB76" s="360"/>
      <c r="AC76" s="360"/>
      <c r="AD76" s="362"/>
      <c r="AE76" s="363"/>
      <c r="AF76" s="346"/>
      <c r="AG76" s="347">
        <f t="shared" si="71"/>
        <v>0</v>
      </c>
      <c r="AH76" s="341">
        <f t="shared" si="72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0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8" s="98" customFormat="1" ht="58.5" customHeight="1" thickBot="1" x14ac:dyDescent="0.95">
      <c r="B77" s="364">
        <f>+B75</f>
        <v>14</v>
      </c>
      <c r="C77" s="410"/>
      <c r="D77" s="174" t="s">
        <v>112</v>
      </c>
      <c r="E77" s="175">
        <f>+E76+100</f>
        <v>114</v>
      </c>
      <c r="F77" s="175"/>
      <c r="G77" s="542" t="str">
        <f t="shared" si="73"/>
        <v>2396-593-600</v>
      </c>
      <c r="H77" s="117"/>
      <c r="I77" s="442"/>
      <c r="J77" s="165" t="str">
        <f>+IF(K77="","",IF(K75=0,"",(K75*J75)/(K77*60)))</f>
        <v/>
      </c>
      <c r="K77" s="118"/>
      <c r="L77" s="104" t="s">
        <v>19</v>
      </c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173"/>
      <c r="Y77" s="467"/>
      <c r="Z77" s="371" t="e">
        <f>+IF(COUNTA(M75:W75)=$AJ$4+0.25,$AJ$4-(AA75/K75),COUNTA(M75:W75)-(AA75/K75))+Y77</f>
        <v>#DIV/0!</v>
      </c>
      <c r="AA77" s="465">
        <f t="shared" si="75"/>
        <v>0</v>
      </c>
      <c r="AB77" s="367"/>
      <c r="AC77" s="367"/>
      <c r="AD77" s="368" t="str">
        <f>+IFERROR(AD75/(K75*$AQ$3),"")</f>
        <v/>
      </c>
      <c r="AE77" s="369"/>
      <c r="AF77" s="347"/>
      <c r="AG77" s="347">
        <f t="shared" si="71"/>
        <v>0</v>
      </c>
      <c r="AH77" s="341">
        <f t="shared" si="72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0</v>
      </c>
      <c r="AM77" s="341">
        <f>+AL77-AA77</f>
        <v>0</v>
      </c>
      <c r="AN77" s="341"/>
      <c r="AO77" s="341"/>
      <c r="AP77" s="341"/>
      <c r="AQ77" s="369"/>
      <c r="AR77" s="434"/>
      <c r="AT77" s="390" t="s">
        <v>416</v>
      </c>
      <c r="AV77" s="390"/>
    </row>
    <row r="78" spans="2:58" s="98" customFormat="1" ht="62.25" customHeight="1" thickTop="1" x14ac:dyDescent="0.9">
      <c r="B78" s="342">
        <f>+B79</f>
        <v>15</v>
      </c>
      <c r="C78" s="405"/>
      <c r="D78" s="106"/>
      <c r="E78" s="106"/>
      <c r="F78" s="106"/>
      <c r="G78" s="539" t="s">
        <v>435</v>
      </c>
      <c r="H78" s="106"/>
      <c r="I78" s="106"/>
      <c r="J78" s="107" t="s">
        <v>20</v>
      </c>
      <c r="K78" s="108" t="s">
        <v>23</v>
      </c>
      <c r="L78" s="100" t="s">
        <v>21</v>
      </c>
      <c r="M78" s="448">
        <v>40</v>
      </c>
      <c r="N78" s="448">
        <v>40</v>
      </c>
      <c r="O78" s="448"/>
      <c r="P78" s="448">
        <v>80</v>
      </c>
      <c r="Q78" s="448"/>
      <c r="R78" s="448">
        <v>80</v>
      </c>
      <c r="S78" s="448"/>
      <c r="T78" s="448">
        <v>80</v>
      </c>
      <c r="U78" s="448"/>
      <c r="V78" s="448"/>
      <c r="W78" s="448"/>
      <c r="X78" s="447">
        <f t="shared" ref="X78" si="76">IF(AQ79="","",SUM(M78:W78)-(-(AQ79-SUM(M78:W78))/$AQ$3)*SUM($M$2:$W$2))</f>
        <v>320</v>
      </c>
      <c r="Y78" s="466"/>
      <c r="Z78" s="533">
        <f>+X80</f>
        <v>-129.5</v>
      </c>
      <c r="AA78" s="447">
        <f t="shared" ref="AA78:AA99" si="77">+SUM(L78:W78)</f>
        <v>320</v>
      </c>
      <c r="AB78" s="343">
        <f>+AC78+AA78</f>
        <v>3632</v>
      </c>
      <c r="AC78" s="343">
        <v>3312</v>
      </c>
      <c r="AD78" s="344"/>
      <c r="AE78" s="345"/>
      <c r="AF78" s="346"/>
      <c r="AG78" s="347">
        <f t="shared" si="1"/>
        <v>0</v>
      </c>
      <c r="AH78" s="341">
        <f t="shared" si="2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8" s="98" customFormat="1" ht="62.25" customHeight="1" x14ac:dyDescent="1.35">
      <c r="B79" s="351">
        <v>15</v>
      </c>
      <c r="C79" s="406">
        <f>+B79</f>
        <v>15</v>
      </c>
      <c r="D79" s="407" t="s">
        <v>436</v>
      </c>
      <c r="E79" s="111"/>
      <c r="F79" s="111" t="s">
        <v>35</v>
      </c>
      <c r="G79" s="539" t="str">
        <f t="shared" ref="G79:G81" si="78">+G78</f>
        <v>2076-780-803</v>
      </c>
      <c r="H79" s="111"/>
      <c r="I79" s="111" t="s">
        <v>38</v>
      </c>
      <c r="J79" s="113">
        <v>38.729999999999997</v>
      </c>
      <c r="K79" s="130">
        <v>58</v>
      </c>
      <c r="L79" s="101" t="s">
        <v>17</v>
      </c>
      <c r="M79" s="214">
        <v>27</v>
      </c>
      <c r="N79" s="214">
        <v>50</v>
      </c>
      <c r="O79" s="214">
        <v>50</v>
      </c>
      <c r="P79" s="214">
        <v>56</v>
      </c>
      <c r="Q79" s="214">
        <v>50</v>
      </c>
      <c r="R79" s="214">
        <v>32</v>
      </c>
      <c r="S79" s="214">
        <v>37</v>
      </c>
      <c r="T79" s="214">
        <v>50</v>
      </c>
      <c r="U79" s="214">
        <v>26</v>
      </c>
      <c r="V79" s="214"/>
      <c r="W79" s="214"/>
      <c r="X79" s="123">
        <f>+IF(H80="s",0,IF(AA79=0,0,IF(COUNTA(M79:W79)=AK81+0.25,SUMIF($C:$C,B79,$AA:$AA)/AK81,SUMIF($C:$C,B79,$AA:$AA)/(COUNTA(M79:W79)))))</f>
        <v>43.2</v>
      </c>
      <c r="Y79" s="466"/>
      <c r="Z79" s="534"/>
      <c r="AA79" s="134">
        <f t="shared" si="77"/>
        <v>378</v>
      </c>
      <c r="AB79" s="354">
        <f>+AA79+AC79</f>
        <v>3042</v>
      </c>
      <c r="AC79" s="354">
        <v>2664</v>
      </c>
      <c r="AD79" s="355">
        <f>+AB78-AB79</f>
        <v>590</v>
      </c>
      <c r="AE79" s="131">
        <f>+IF(((AA80+(AA81/2))*60)=0,"",(J79*AA79)/((AA80+(AA81/2))*60))</f>
        <v>0.65967962149374781</v>
      </c>
      <c r="AF79" s="347">
        <f>+AA80+AA81/2</f>
        <v>369.875</v>
      </c>
      <c r="AG79" s="347">
        <f t="shared" si="1"/>
        <v>369.52499999999998</v>
      </c>
      <c r="AH79" s="341">
        <f t="shared" si="2"/>
        <v>22192.5</v>
      </c>
      <c r="AI79" s="341">
        <f>+AA79*J79</f>
        <v>14639.939999999999</v>
      </c>
      <c r="AJ79" s="356">
        <f>+AA79-(AF79*K79/K81)</f>
        <v>-132.77976190476193</v>
      </c>
      <c r="AK79" s="348"/>
      <c r="AL79" s="349"/>
      <c r="AM79" s="341"/>
      <c r="AN79" s="341"/>
      <c r="AO79" s="341"/>
      <c r="AP79" s="341"/>
      <c r="AQ79" s="339">
        <f t="shared" ref="AQ79:AQ99" si="79">IF(AR79=0,"",AT79-(($AQ$3*K79)+($AQ$3*K79)*AR79)+AA78)</f>
        <v>-300.75</v>
      </c>
      <c r="AR79" s="434">
        <v>1.5</v>
      </c>
      <c r="AT79" s="390">
        <v>648</v>
      </c>
      <c r="AV79" s="390">
        <f t="shared" ref="AV79" si="80">+AT79-AD79</f>
        <v>58</v>
      </c>
      <c r="AW79" s="535" t="s">
        <v>473</v>
      </c>
      <c r="AX79" s="535"/>
      <c r="AY79" s="535"/>
      <c r="AZ79" s="535"/>
      <c r="BA79" s="535"/>
      <c r="BB79" s="535"/>
      <c r="BC79" s="535"/>
      <c r="BD79" s="535"/>
      <c r="BE79" s="535"/>
      <c r="BF79" s="535"/>
    </row>
    <row r="80" spans="2:58" s="98" customFormat="1" ht="62.25" customHeight="1" x14ac:dyDescent="0.9">
      <c r="B80" s="357">
        <f>+B79</f>
        <v>15</v>
      </c>
      <c r="C80" s="408"/>
      <c r="D80" s="184"/>
      <c r="E80" s="111">
        <f>+B79</f>
        <v>15</v>
      </c>
      <c r="F80" s="412"/>
      <c r="G80" s="539" t="str">
        <f t="shared" si="78"/>
        <v>2076-780-803</v>
      </c>
      <c r="H80" s="411" t="s">
        <v>412</v>
      </c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48">
        <v>40</v>
      </c>
      <c r="N80" s="448">
        <v>42</v>
      </c>
      <c r="O80" s="448">
        <v>42</v>
      </c>
      <c r="P80" s="448">
        <v>42</v>
      </c>
      <c r="Q80" s="448">
        <v>42</v>
      </c>
      <c r="R80" s="448">
        <v>42</v>
      </c>
      <c r="S80" s="448">
        <v>42</v>
      </c>
      <c r="T80" s="448">
        <v>42</v>
      </c>
      <c r="U80" s="448">
        <v>42</v>
      </c>
      <c r="V80" s="448"/>
      <c r="W80" s="448"/>
      <c r="X80" s="160">
        <f>+IF(H80="l",IF(COUNTA(M79:W79)=AK81+0.25,AA79-K79*AK81,AA79-(K79*COUNTA(M79:W79))),IF(H80="s",0,IF(COUNTA(M79:W79)=AK81+0.25,SUMIF($C:$C,B79,$AA:$AA)-K79*AK81,SUMIF($C:$C,B79,$AA:$AA)-K79*COUNTA(M79:W79))))</f>
        <v>-129.5</v>
      </c>
      <c r="Y80" s="466"/>
      <c r="Z80" s="534"/>
      <c r="AA80" s="462">
        <f t="shared" ref="AA80:AA81" si="81">+SUM(M80:W80)-U80*0.25</f>
        <v>365.5</v>
      </c>
      <c r="AB80" s="360"/>
      <c r="AC80" s="360"/>
      <c r="AD80" s="362"/>
      <c r="AE80" s="363"/>
      <c r="AF80" s="346"/>
      <c r="AG80" s="347">
        <f t="shared" si="1"/>
        <v>0</v>
      </c>
      <c r="AH80" s="341">
        <f t="shared" si="2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365.5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59" s="98" customFormat="1" ht="62.25" customHeight="1" thickBot="1" x14ac:dyDescent="0.95">
      <c r="B81" s="364">
        <f>+B79</f>
        <v>15</v>
      </c>
      <c r="C81" s="410"/>
      <c r="D81" s="174" t="s">
        <v>93</v>
      </c>
      <c r="E81" s="175">
        <f>+E80+100</f>
        <v>115</v>
      </c>
      <c r="F81" s="175"/>
      <c r="G81" s="539" t="str">
        <f t="shared" si="78"/>
        <v>2076-780-803</v>
      </c>
      <c r="H81" s="117"/>
      <c r="I81" s="442"/>
      <c r="J81" s="165">
        <f>+IF(K81="","",IF(K79=0,"",(K79*J79)/(K81*60)))</f>
        <v>0.89140476190476181</v>
      </c>
      <c r="K81" s="118">
        <v>42</v>
      </c>
      <c r="L81" s="104" t="s">
        <v>19</v>
      </c>
      <c r="M81" s="216">
        <v>1</v>
      </c>
      <c r="N81" s="216">
        <v>1</v>
      </c>
      <c r="O81" s="216">
        <v>1</v>
      </c>
      <c r="P81" s="216">
        <v>1</v>
      </c>
      <c r="Q81" s="216">
        <v>1</v>
      </c>
      <c r="R81" s="216">
        <v>1</v>
      </c>
      <c r="S81" s="216">
        <v>1</v>
      </c>
      <c r="T81" s="216">
        <v>1</v>
      </c>
      <c r="U81" s="216">
        <v>1</v>
      </c>
      <c r="V81" s="216"/>
      <c r="W81" s="216"/>
      <c r="X81" s="173"/>
      <c r="Y81" s="467">
        <v>15.46</v>
      </c>
      <c r="Z81" s="365">
        <v>15.46</v>
      </c>
      <c r="AA81" s="465">
        <f t="shared" si="81"/>
        <v>8.75</v>
      </c>
      <c r="AB81" s="367"/>
      <c r="AC81" s="367"/>
      <c r="AD81" s="368">
        <f>+IFERROR(AD79/(K79*$AQ$3),"")</f>
        <v>1.1625615763546797</v>
      </c>
      <c r="AE81" s="369"/>
      <c r="AF81" s="347"/>
      <c r="AG81" s="347">
        <f t="shared" si="1"/>
        <v>0</v>
      </c>
      <c r="AH81" s="341">
        <f t="shared" si="2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8.75</v>
      </c>
      <c r="AM81" s="341">
        <f>+AL81-AA81</f>
        <v>0</v>
      </c>
      <c r="AN81" s="341"/>
      <c r="AO81" s="341"/>
      <c r="AP81" s="341"/>
      <c r="AQ81" s="369"/>
      <c r="AR81" s="434"/>
      <c r="AT81" s="390">
        <v>1.276847290640394</v>
      </c>
      <c r="AV81" s="390"/>
    </row>
    <row r="82" spans="2:59" s="98" customFormat="1" ht="62.25" customHeight="1" thickTop="1" x14ac:dyDescent="0.9">
      <c r="B82" s="373">
        <f>+B83</f>
        <v>16</v>
      </c>
      <c r="C82" s="405"/>
      <c r="D82" s="106"/>
      <c r="E82" s="106"/>
      <c r="F82" s="106"/>
      <c r="G82" s="540" t="s">
        <v>432</v>
      </c>
      <c r="H82" s="106"/>
      <c r="I82" s="106"/>
      <c r="J82" s="107" t="s">
        <v>20</v>
      </c>
      <c r="K82" s="108" t="s">
        <v>23</v>
      </c>
      <c r="L82" s="100" t="s">
        <v>21</v>
      </c>
      <c r="M82" s="448"/>
      <c r="N82" s="448"/>
      <c r="O82" s="448"/>
      <c r="P82" s="448"/>
      <c r="Q82" s="448"/>
      <c r="R82" s="448"/>
      <c r="S82" s="448"/>
      <c r="T82" s="448"/>
      <c r="U82" s="448"/>
      <c r="V82" s="448"/>
      <c r="W82" s="448"/>
      <c r="X82" s="447" t="str">
        <f t="shared" ref="X82" si="82">IF(AQ83="","",SUM(M82:W82)-(-(AQ83-SUM(M82:W82))/$AQ$3)*SUM($M$2:$W$2))</f>
        <v/>
      </c>
      <c r="Y82" s="466"/>
      <c r="Z82" s="533">
        <f>+X84</f>
        <v>0</v>
      </c>
      <c r="AA82" s="447">
        <f t="shared" si="77"/>
        <v>0</v>
      </c>
      <c r="AB82" s="343">
        <f>+AC82+AA82</f>
        <v>3661</v>
      </c>
      <c r="AC82" s="343">
        <v>3661</v>
      </c>
      <c r="AD82" s="344"/>
      <c r="AE82" s="345"/>
      <c r="AF82" s="346"/>
      <c r="AG82" s="347">
        <f t="shared" si="1"/>
        <v>0</v>
      </c>
      <c r="AH82" s="341">
        <f t="shared" si="2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59" s="98" customFormat="1" ht="62.25" customHeight="1" x14ac:dyDescent="0.9">
      <c r="B83" s="374">
        <v>16</v>
      </c>
      <c r="C83" s="406">
        <f>+B83</f>
        <v>16</v>
      </c>
      <c r="D83" s="407" t="s">
        <v>431</v>
      </c>
      <c r="E83" s="111"/>
      <c r="F83" s="111" t="s">
        <v>35</v>
      </c>
      <c r="G83" s="541" t="str">
        <f t="shared" ref="G83:G85" si="83">+G82</f>
        <v>2158-755-712</v>
      </c>
      <c r="H83" s="111"/>
      <c r="I83" s="111" t="s">
        <v>33</v>
      </c>
      <c r="J83" s="113">
        <v>51.42</v>
      </c>
      <c r="K83" s="130">
        <v>52</v>
      </c>
      <c r="L83" s="101" t="s">
        <v>17</v>
      </c>
      <c r="M83" s="214">
        <v>11</v>
      </c>
      <c r="N83" s="214">
        <v>14</v>
      </c>
      <c r="O83" s="214"/>
      <c r="P83" s="214"/>
      <c r="Q83" s="214"/>
      <c r="R83" s="214"/>
      <c r="S83" s="214"/>
      <c r="T83" s="214"/>
      <c r="U83" s="214"/>
      <c r="V83" s="214"/>
      <c r="W83" s="214"/>
      <c r="X83" s="123">
        <f>+IF(H84="s",0,IF(AA83=0,0,IF(COUNTA(M83:W83)=AK85+0.25,SUMIF($C:$C,B83,$AA:$AA)/AK85,SUMIF($C:$C,B83,$AA:$AA)/(COUNTA(M83:W83)))))</f>
        <v>0</v>
      </c>
      <c r="Y83" s="466"/>
      <c r="Z83" s="534"/>
      <c r="AA83" s="134">
        <f t="shared" si="77"/>
        <v>25</v>
      </c>
      <c r="AB83" s="354">
        <f>+AA83+AC83</f>
        <v>3632</v>
      </c>
      <c r="AC83" s="354">
        <v>3607</v>
      </c>
      <c r="AD83" s="355">
        <f>+AB82-AB83</f>
        <v>29</v>
      </c>
      <c r="AE83" s="131">
        <f>+IF(((AA84+(AA85/2))*60)=0,"",(J83*AA83)/((AA84+(AA85/2))*60))</f>
        <v>0.71416666666666662</v>
      </c>
      <c r="AF83" s="347">
        <f>+AA84+AA85/2</f>
        <v>30</v>
      </c>
      <c r="AG83" s="347">
        <f t="shared" si="1"/>
        <v>30</v>
      </c>
      <c r="AH83" s="341">
        <f t="shared" si="2"/>
        <v>1800</v>
      </c>
      <c r="AI83" s="341">
        <f>+AA83*J83</f>
        <v>1285.5</v>
      </c>
      <c r="AJ83" s="356">
        <f>+AA83-(AF83*K83/K85)</f>
        <v>-5.5882352941176485</v>
      </c>
      <c r="AK83" s="348"/>
      <c r="AL83" s="349"/>
      <c r="AM83" s="341"/>
      <c r="AN83" s="341"/>
      <c r="AO83" s="341"/>
      <c r="AP83" s="341"/>
      <c r="AQ83" s="339" t="str">
        <f t="shared" si="79"/>
        <v/>
      </c>
      <c r="AR83" s="434"/>
      <c r="AT83" s="390">
        <v>54</v>
      </c>
      <c r="AV83" s="390">
        <f t="shared" ref="AV83" si="84">+AT83-AD83</f>
        <v>25</v>
      </c>
      <c r="AW83" s="536"/>
      <c r="AX83" s="536"/>
      <c r="AY83" s="536"/>
      <c r="AZ83" s="536"/>
      <c r="BA83" s="536"/>
      <c r="BB83" s="536"/>
      <c r="BC83" s="536"/>
      <c r="BD83" s="536"/>
      <c r="BE83" s="536"/>
      <c r="BF83" s="536"/>
      <c r="BG83" s="536"/>
    </row>
    <row r="84" spans="2:59" s="98" customFormat="1" ht="62.25" customHeight="1" x14ac:dyDescent="0.9">
      <c r="B84" s="357">
        <f>+B83</f>
        <v>16</v>
      </c>
      <c r="C84" s="408"/>
      <c r="D84" s="184"/>
      <c r="E84" s="111">
        <f>+B83</f>
        <v>16</v>
      </c>
      <c r="F84" s="409"/>
      <c r="G84" s="541" t="str">
        <f t="shared" si="83"/>
        <v>2158-755-712</v>
      </c>
      <c r="H84" s="411" t="s">
        <v>414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48">
        <v>15</v>
      </c>
      <c r="N84" s="448">
        <v>15</v>
      </c>
      <c r="O84" s="448"/>
      <c r="P84" s="448"/>
      <c r="Q84" s="448"/>
      <c r="R84" s="448"/>
      <c r="S84" s="448"/>
      <c r="T84" s="448"/>
      <c r="U84" s="448"/>
      <c r="V84" s="448"/>
      <c r="W84" s="448"/>
      <c r="X84" s="160">
        <f>+IF(H84="l",IF(COUNTA(M83:W83)=AK85+0.25,AA83-K83*AK85,AA83-(K83*COUNTA(M83:W83))),IF(H84="s",0,IF(COUNTA(M83:W83)=AK85+0.25,SUMIF($C:$C,B83,$AA:$AA)-K83*AK85,SUMIF($C:$C,B83,$AA:$AA)-K83*COUNTA(M83:W83))))</f>
        <v>0</v>
      </c>
      <c r="Y84" s="466"/>
      <c r="Z84" s="534"/>
      <c r="AA84" s="462">
        <f t="shared" ref="AA84:AA85" si="85">+SUM(M84:W84)-U84*0.25</f>
        <v>30</v>
      </c>
      <c r="AB84" s="360"/>
      <c r="AC84" s="360"/>
      <c r="AD84" s="362"/>
      <c r="AE84" s="363"/>
      <c r="AF84" s="346"/>
      <c r="AG84" s="347">
        <f t="shared" si="1"/>
        <v>0</v>
      </c>
      <c r="AH84" s="341">
        <f t="shared" si="2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30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59" s="98" customFormat="1" ht="62.25" customHeight="1" thickBot="1" x14ac:dyDescent="0.95">
      <c r="B85" s="375">
        <f>+B83</f>
        <v>16</v>
      </c>
      <c r="C85" s="410"/>
      <c r="D85" s="413" t="s">
        <v>152</v>
      </c>
      <c r="E85" s="175">
        <f>+E84+100</f>
        <v>116</v>
      </c>
      <c r="F85" s="175"/>
      <c r="G85" s="542" t="str">
        <f t="shared" si="83"/>
        <v>2158-755-712</v>
      </c>
      <c r="H85" s="117"/>
      <c r="I85" s="442"/>
      <c r="J85" s="165">
        <f>+IF(K85="","",IF(K83=0,"",(K83*J83)/(K85*60)))</f>
        <v>0.87380392156862752</v>
      </c>
      <c r="K85" s="118">
        <v>51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>
        <v>18.93</v>
      </c>
      <c r="Z85" s="365">
        <v>18.93</v>
      </c>
      <c r="AA85" s="465">
        <f t="shared" si="85"/>
        <v>0</v>
      </c>
      <c r="AB85" s="367"/>
      <c r="AC85" s="367"/>
      <c r="AD85" s="368">
        <f>+IFERROR(AD83/(K83*$AQ$3),"")</f>
        <v>6.3736263736263732E-2</v>
      </c>
      <c r="AE85" s="369"/>
      <c r="AF85" s="347"/>
      <c r="AG85" s="347">
        <f t="shared" si="1"/>
        <v>0</v>
      </c>
      <c r="AH85" s="341">
        <f t="shared" si="2"/>
        <v>0</v>
      </c>
      <c r="AI85" s="341"/>
      <c r="AJ85" s="356"/>
      <c r="AK85" s="370">
        <f>+$AJ$4</f>
        <v>8.75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0.11868131868131868</v>
      </c>
      <c r="AV85" s="390"/>
    </row>
    <row r="86" spans="2:59" s="98" customFormat="1" ht="62.25" customHeight="1" thickTop="1" x14ac:dyDescent="0.9">
      <c r="B86" s="373">
        <f>+B87</f>
        <v>16</v>
      </c>
      <c r="C86" s="405"/>
      <c r="D86" s="106"/>
      <c r="E86" s="106"/>
      <c r="F86" s="106"/>
      <c r="G86" s="539" t="s">
        <v>476</v>
      </c>
      <c r="H86" s="106"/>
      <c r="I86" s="106"/>
      <c r="J86" s="107" t="s">
        <v>20</v>
      </c>
      <c r="K86" s="108" t="s">
        <v>23</v>
      </c>
      <c r="L86" s="100" t="s">
        <v>21</v>
      </c>
      <c r="M86" s="448">
        <v>120</v>
      </c>
      <c r="N86" s="448">
        <v>120</v>
      </c>
      <c r="O86" s="448"/>
      <c r="P86" s="448"/>
      <c r="Q86" s="448"/>
      <c r="R86" s="448"/>
      <c r="S86" s="448">
        <v>120</v>
      </c>
      <c r="T86" s="448">
        <v>60</v>
      </c>
      <c r="U86" s="448">
        <v>60</v>
      </c>
      <c r="V86" s="448"/>
      <c r="W86" s="448"/>
      <c r="X86" s="447">
        <f t="shared" ref="X86" si="86">IF(AQ87="","",SUM(M86:W86)-(-(AQ87-SUM(M86:W86))/$AQ$3)*SUM($M$2:$W$2))</f>
        <v>480</v>
      </c>
      <c r="Y86" s="466"/>
      <c r="Z86" s="533">
        <f>+X88</f>
        <v>-1225</v>
      </c>
      <c r="AA86" s="447">
        <f t="shared" si="77"/>
        <v>480</v>
      </c>
      <c r="AB86" s="343">
        <f>+AC86+AA86</f>
        <v>960</v>
      </c>
      <c r="AC86" s="343">
        <v>480</v>
      </c>
      <c r="AD86" s="344"/>
      <c r="AE86" s="345"/>
      <c r="AF86" s="346"/>
      <c r="AG86" s="347">
        <f t="shared" si="1"/>
        <v>0</v>
      </c>
      <c r="AH86" s="341">
        <f t="shared" si="2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59" s="98" customFormat="1" ht="62.25" customHeight="1" x14ac:dyDescent="0.9">
      <c r="B87" s="374">
        <v>16</v>
      </c>
      <c r="C87" s="406">
        <f>+B87</f>
        <v>16</v>
      </c>
      <c r="D87" s="407" t="s">
        <v>474</v>
      </c>
      <c r="E87" s="111"/>
      <c r="F87" s="111" t="s">
        <v>475</v>
      </c>
      <c r="G87" s="539" t="str">
        <f t="shared" ref="G87:G89" si="87">+G86</f>
        <v>Cheristina-blanc</v>
      </c>
      <c r="H87" s="111"/>
      <c r="I87" s="111" t="s">
        <v>477</v>
      </c>
      <c r="J87" s="113">
        <v>21.04</v>
      </c>
      <c r="K87" s="130">
        <v>140</v>
      </c>
      <c r="L87" s="101" t="s">
        <v>17</v>
      </c>
      <c r="M87" s="214">
        <v>0</v>
      </c>
      <c r="N87" s="214">
        <v>0</v>
      </c>
      <c r="O87" s="214">
        <v>0</v>
      </c>
      <c r="P87" s="214">
        <v>0</v>
      </c>
      <c r="Q87" s="214">
        <v>0</v>
      </c>
      <c r="R87" s="214">
        <v>0</v>
      </c>
      <c r="S87" s="214">
        <v>0</v>
      </c>
      <c r="T87" s="214">
        <v>0</v>
      </c>
      <c r="U87" s="214">
        <v>0</v>
      </c>
      <c r="V87" s="214"/>
      <c r="W87" s="214"/>
      <c r="X87" s="123">
        <f>+IF(H88="s",0,IF(AA87=0,0,IF(COUNTA(M87:W87)=AK89+0.25,SUMIF($C:$C,B87,$AA:$AA)/AK89,SUMIF($C:$C,B87,$AA:$AA)/(COUNTA(M87:W87)))))</f>
        <v>0</v>
      </c>
      <c r="Y87" s="466"/>
      <c r="Z87" s="534"/>
      <c r="AA87" s="134">
        <f t="shared" si="77"/>
        <v>0</v>
      </c>
      <c r="AB87" s="354">
        <f>+AA87+AC87</f>
        <v>0</v>
      </c>
      <c r="AC87" s="354">
        <v>0</v>
      </c>
      <c r="AD87" s="355">
        <f>+AB86-AB87</f>
        <v>960</v>
      </c>
      <c r="AE87" s="131">
        <f>+IF(((AA88+(AA89/2))*60)=0,"",(J87*AA87)/((AA88+(AA89/2))*60))</f>
        <v>0</v>
      </c>
      <c r="AF87" s="347">
        <f>+AA88+AA89/2</f>
        <v>276.25</v>
      </c>
      <c r="AG87" s="347">
        <f t="shared" si="1"/>
        <v>276.14999999999998</v>
      </c>
      <c r="AH87" s="341">
        <f t="shared" si="2"/>
        <v>16575</v>
      </c>
      <c r="AI87" s="341">
        <f>+AA87*J87</f>
        <v>0</v>
      </c>
      <c r="AJ87" s="356">
        <f>+AA87-(AF87*K87/K89)</f>
        <v>-690.625</v>
      </c>
      <c r="AK87" s="348"/>
      <c r="AL87" s="349"/>
      <c r="AM87" s="341"/>
      <c r="AN87" s="341"/>
      <c r="AO87" s="341"/>
      <c r="AP87" s="341"/>
      <c r="AQ87" s="339">
        <f>-400+AA86</f>
        <v>80</v>
      </c>
      <c r="AR87" s="434">
        <v>1.5</v>
      </c>
      <c r="AT87" s="390">
        <v>480</v>
      </c>
      <c r="AV87" s="390">
        <f t="shared" ref="AV87" si="88">+AT87-AD87</f>
        <v>-480</v>
      </c>
      <c r="AW87" s="536"/>
      <c r="AX87" s="536"/>
      <c r="AY87" s="536"/>
      <c r="AZ87" s="536"/>
      <c r="BA87" s="536"/>
      <c r="BB87" s="536"/>
      <c r="BC87" s="536"/>
      <c r="BD87" s="536"/>
      <c r="BE87" s="536"/>
      <c r="BF87" s="536"/>
      <c r="BG87" s="536"/>
    </row>
    <row r="88" spans="2:59" s="98" customFormat="1" ht="62.25" customHeight="1" x14ac:dyDescent="0.9">
      <c r="B88" s="357">
        <f>+B87</f>
        <v>16</v>
      </c>
      <c r="C88" s="408"/>
      <c r="D88" s="184"/>
      <c r="E88" s="111">
        <f>+B87</f>
        <v>16</v>
      </c>
      <c r="F88" s="409"/>
      <c r="G88" s="539" t="str">
        <f t="shared" si="87"/>
        <v>Cheristina-blanc</v>
      </c>
      <c r="H88" s="411" t="s">
        <v>413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48">
        <v>20</v>
      </c>
      <c r="N88" s="448">
        <v>20</v>
      </c>
      <c r="O88" s="448">
        <v>35</v>
      </c>
      <c r="P88" s="448">
        <v>35</v>
      </c>
      <c r="Q88" s="448">
        <v>35</v>
      </c>
      <c r="R88" s="448">
        <v>35</v>
      </c>
      <c r="S88" s="448">
        <v>35</v>
      </c>
      <c r="T88" s="448">
        <v>35</v>
      </c>
      <c r="U88" s="448">
        <v>35</v>
      </c>
      <c r="V88" s="448"/>
      <c r="W88" s="448"/>
      <c r="X88" s="160">
        <f>+IF(H88="l",IF(COUNTA(M87:W87)=AK89+0.25,AA87-K87*AK89,AA87-(K87*COUNTA(M87:W87))),IF(H88="s",0,IF(COUNTA(M87:W87)=AK89+0.25,SUMIF($C:$C,B87,$AA:$AA)-K87*AK89,SUMIF($C:$C,B87,$AA:$AA)-K87*COUNTA(M87:W87))))</f>
        <v>-1225</v>
      </c>
      <c r="Y88" s="466"/>
      <c r="Z88" s="534"/>
      <c r="AA88" s="462">
        <f t="shared" ref="AA88:AA89" si="89">+SUM(M88:W88)-U88*0.25</f>
        <v>276.25</v>
      </c>
      <c r="AB88" s="360"/>
      <c r="AC88" s="360"/>
      <c r="AD88" s="362"/>
      <c r="AE88" s="363"/>
      <c r="AF88" s="346"/>
      <c r="AG88" s="347">
        <f t="shared" si="1"/>
        <v>0</v>
      </c>
      <c r="AH88" s="341">
        <f t="shared" si="2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276.25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59" s="98" customFormat="1" ht="62.25" customHeight="1" thickBot="1" x14ac:dyDescent="0.95">
      <c r="B89" s="375">
        <f>+B87</f>
        <v>16</v>
      </c>
      <c r="C89" s="410"/>
      <c r="D89" s="413" t="s">
        <v>152</v>
      </c>
      <c r="E89" s="175">
        <f>+E88+100</f>
        <v>116</v>
      </c>
      <c r="F89" s="175"/>
      <c r="G89" s="539" t="str">
        <f t="shared" si="87"/>
        <v>Cheristina-blanc</v>
      </c>
      <c r="H89" s="117"/>
      <c r="I89" s="442"/>
      <c r="J89" s="165">
        <f>+IF(K89="","",IF(K87=0,"",(K87*J87)/(K89*60)))</f>
        <v>0.87666666666666659</v>
      </c>
      <c r="K89" s="118">
        <v>56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0</v>
      </c>
      <c r="Z89" s="371">
        <f>+IF(COUNTA(M87:W87)=$AJ$4+0.25,$AJ$4-(AA87/K87),COUNTA(M87:W87)-(AA87/K87))+Y89</f>
        <v>8.75</v>
      </c>
      <c r="AA89" s="465">
        <f t="shared" si="89"/>
        <v>0</v>
      </c>
      <c r="AB89" s="367"/>
      <c r="AC89" s="367"/>
      <c r="AD89" s="368">
        <f>+IFERROR(AD87/(K87*$AQ$3),"")</f>
        <v>0.78367346938775506</v>
      </c>
      <c r="AE89" s="369"/>
      <c r="AF89" s="347"/>
      <c r="AG89" s="347">
        <f t="shared" si="1"/>
        <v>0</v>
      </c>
      <c r="AH89" s="341">
        <f t="shared" si="2"/>
        <v>0</v>
      </c>
      <c r="AI89" s="341"/>
      <c r="AJ89" s="356"/>
      <c r="AK89" s="370">
        <f>+$AJ$4</f>
        <v>8.75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0.39183673469387753</v>
      </c>
      <c r="AV89" s="390"/>
    </row>
    <row r="90" spans="2:59" s="98" customFormat="1" ht="62.25" customHeight="1" thickTop="1" x14ac:dyDescent="0.9">
      <c r="B90" s="342">
        <f>+B91</f>
        <v>17</v>
      </c>
      <c r="C90" s="405"/>
      <c r="D90" s="106"/>
      <c r="E90" s="106"/>
      <c r="F90" s="106"/>
      <c r="G90" s="540" t="s">
        <v>424</v>
      </c>
      <c r="H90" s="106"/>
      <c r="I90" s="111"/>
      <c r="J90" s="107" t="s">
        <v>20</v>
      </c>
      <c r="K90" s="108" t="s">
        <v>23</v>
      </c>
      <c r="L90" s="100" t="s">
        <v>21</v>
      </c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48"/>
      <c r="X90" s="447" t="str">
        <f t="shared" ref="X90" si="90">IF(AQ91="","",SUM(M90:W90)-(-(AQ91-SUM(M90:W90))/$AQ$3)*SUM($M$2:$W$2))</f>
        <v/>
      </c>
      <c r="Y90" s="466"/>
      <c r="Z90" s="533">
        <f>+X92</f>
        <v>0</v>
      </c>
      <c r="AA90" s="447">
        <f t="shared" si="77"/>
        <v>0</v>
      </c>
      <c r="AB90" s="343">
        <f>+AC90+AA90</f>
        <v>8553</v>
      </c>
      <c r="AC90" s="343">
        <v>8553</v>
      </c>
      <c r="AD90" s="344"/>
      <c r="AE90" s="345"/>
      <c r="AF90" s="346"/>
      <c r="AG90" s="347">
        <f t="shared" si="1"/>
        <v>0</v>
      </c>
      <c r="AH90" s="341">
        <f t="shared" si="2"/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59" s="98" customFormat="1" ht="62.25" customHeight="1" x14ac:dyDescent="0.9">
      <c r="B91" s="351">
        <v>17</v>
      </c>
      <c r="C91" s="406">
        <f>+B91</f>
        <v>17</v>
      </c>
      <c r="D91" s="407" t="s">
        <v>423</v>
      </c>
      <c r="E91" s="111"/>
      <c r="F91" s="111" t="s">
        <v>35</v>
      </c>
      <c r="G91" s="541" t="str">
        <f t="shared" ref="G91:G93" si="91">+G90</f>
        <v>2215-518-800</v>
      </c>
      <c r="H91" s="111"/>
      <c r="I91" s="111" t="s">
        <v>33</v>
      </c>
      <c r="J91" s="113">
        <v>33.42</v>
      </c>
      <c r="K91" s="130">
        <v>60</v>
      </c>
      <c r="L91" s="101" t="s">
        <v>17</v>
      </c>
      <c r="M91" s="214">
        <v>60</v>
      </c>
      <c r="N91" s="214">
        <v>22</v>
      </c>
      <c r="O91" s="214">
        <v>31</v>
      </c>
      <c r="P91" s="214">
        <v>12</v>
      </c>
      <c r="Q91" s="214"/>
      <c r="R91" s="214"/>
      <c r="S91" s="214"/>
      <c r="T91" s="214"/>
      <c r="U91" s="214"/>
      <c r="V91" s="214"/>
      <c r="W91" s="214"/>
      <c r="X91" s="123">
        <f>+IF(H92="s",0,IF(AA91=0,0,IF(COUNTA(M91:W91)=AK93+0.25,SUMIF($C:$C,B91,$AA:$AA)/AK93,SUMIF($C:$C,B91,$AA:$AA)/(COUNTA(M91:W91)))))</f>
        <v>0</v>
      </c>
      <c r="Y91" s="466"/>
      <c r="Z91" s="534"/>
      <c r="AA91" s="134">
        <f t="shared" si="77"/>
        <v>125</v>
      </c>
      <c r="AB91" s="354">
        <f>+AA91+AC91</f>
        <v>8520</v>
      </c>
      <c r="AC91" s="354">
        <v>8395</v>
      </c>
      <c r="AD91" s="355">
        <f>+AB90-AB91</f>
        <v>33</v>
      </c>
      <c r="AE91" s="131">
        <f>+IF(((AA92+(AA93/2))*60)=0,"",(J91*AA91)/((AA92+(AA93/2))*60))</f>
        <v>1.4813829787234043</v>
      </c>
      <c r="AF91" s="347">
        <f>+AA92+AA93/2</f>
        <v>47</v>
      </c>
      <c r="AG91" s="347">
        <f t="shared" si="1"/>
        <v>47</v>
      </c>
      <c r="AH91" s="341">
        <f t="shared" si="2"/>
        <v>2820</v>
      </c>
      <c r="AI91" s="341">
        <f>+AA91*J91</f>
        <v>4177.5</v>
      </c>
      <c r="AJ91" s="356">
        <f>+AA91-(AF91*K91/K93)</f>
        <v>50.78947368421052</v>
      </c>
      <c r="AK91" s="348"/>
      <c r="AL91" s="349"/>
      <c r="AM91" s="341"/>
      <c r="AN91" s="341"/>
      <c r="AO91" s="341"/>
      <c r="AP91" s="341"/>
      <c r="AQ91" s="339"/>
      <c r="AR91" s="434">
        <v>1.5</v>
      </c>
      <c r="AT91" s="390">
        <v>158</v>
      </c>
      <c r="AV91" s="390">
        <f t="shared" ref="AV91" si="92">+AT91-AD91</f>
        <v>125</v>
      </c>
    </row>
    <row r="92" spans="2:59" s="98" customFormat="1" ht="62.25" customHeight="1" x14ac:dyDescent="0.9">
      <c r="B92" s="357">
        <f>+B91</f>
        <v>17</v>
      </c>
      <c r="C92" s="408"/>
      <c r="D92" s="184"/>
      <c r="E92" s="111">
        <f>+B91</f>
        <v>17</v>
      </c>
      <c r="F92" s="409"/>
      <c r="G92" s="541" t="str">
        <f t="shared" si="91"/>
        <v>2215-518-800</v>
      </c>
      <c r="H92" s="411" t="s">
        <v>414</v>
      </c>
      <c r="I92" s="113">
        <f>+IFERROR(IF(K93=0,0,IF((LOOKUP(2,1/(M92:W92&lt;&gt;""),M92:W92)-K93)&lt;0,0,IF(K93=0,"",LOOKUP(2,1/(M92:W92&lt;&gt;""),M92:W92)-K93))),0)</f>
        <v>0</v>
      </c>
      <c r="J92" s="113">
        <v>1</v>
      </c>
      <c r="K92" s="114" t="s">
        <v>22</v>
      </c>
      <c r="L92" s="102" t="s">
        <v>18</v>
      </c>
      <c r="M92" s="448">
        <v>20</v>
      </c>
      <c r="N92" s="448">
        <v>15</v>
      </c>
      <c r="O92" s="448">
        <v>10</v>
      </c>
      <c r="P92" s="448">
        <v>2</v>
      </c>
      <c r="Q92" s="448"/>
      <c r="R92" s="448"/>
      <c r="S92" s="448"/>
      <c r="T92" s="448"/>
      <c r="U92" s="448"/>
      <c r="V92" s="448"/>
      <c r="W92" s="448"/>
      <c r="X92" s="160">
        <f>+IF(H92="l",IF(COUNTA(M91:W91)=AK93+0.25,AA91-K91*AK93,AA91-(K91*COUNTA(M91:W91))),IF(H92="s",0,IF(COUNTA(M91:W91)=AK93+0.25,SUMIF($C:$C,B91,$AA:$AA)-K91*AK93,SUMIF($C:$C,B91,$AA:$AA)-K91*COUNTA(M91:W91))))</f>
        <v>0</v>
      </c>
      <c r="Y92" s="466"/>
      <c r="Z92" s="534"/>
      <c r="AA92" s="462">
        <f t="shared" ref="AA92:AA93" si="93">+SUM(M92:W92)-U92*0.25</f>
        <v>47</v>
      </c>
      <c r="AB92" s="360"/>
      <c r="AC92" s="360"/>
      <c r="AD92" s="362"/>
      <c r="AE92" s="363"/>
      <c r="AF92" s="346"/>
      <c r="AG92" s="347">
        <f t="shared" si="1"/>
        <v>0</v>
      </c>
      <c r="AH92" s="341">
        <f t="shared" si="2"/>
        <v>0</v>
      </c>
      <c r="AI92" s="341"/>
      <c r="AJ92" s="341"/>
      <c r="AK92" s="348"/>
      <c r="AL92" s="349">
        <f>+IF(AK93=7.75,SUM(M92:S92)+T92*0.75,IF(AK93=8,SUM(M92:T92),IF(AK93=7.25,SUM(M92:S92)+T92*0.25,IF(AK93=8.25,SUM(M92:T92)+U92*0.25,IF(AK93=8.75,SUM(M92:T92)+U92*0.75,0)))))</f>
        <v>47</v>
      </c>
      <c r="AM92" s="341">
        <f>+AL92-AA92</f>
        <v>0</v>
      </c>
      <c r="AN92" s="341"/>
      <c r="AO92" s="341"/>
      <c r="AP92" s="341"/>
      <c r="AQ92" s="438"/>
      <c r="AR92" s="434"/>
      <c r="AT92" s="390"/>
      <c r="AV92" s="390"/>
    </row>
    <row r="93" spans="2:59" s="98" customFormat="1" ht="62.25" customHeight="1" thickBot="1" x14ac:dyDescent="0.95">
      <c r="B93" s="364">
        <f>+B91</f>
        <v>17</v>
      </c>
      <c r="C93" s="410"/>
      <c r="D93" s="174" t="s">
        <v>379</v>
      </c>
      <c r="E93" s="175">
        <f>+E92+100</f>
        <v>117</v>
      </c>
      <c r="F93" s="175"/>
      <c r="G93" s="542" t="str">
        <f t="shared" si="91"/>
        <v>2215-518-800</v>
      </c>
      <c r="H93" s="117"/>
      <c r="I93" s="442"/>
      <c r="J93" s="165">
        <f>+IF(K93="","",IF(K91=0,"",(K91*J91)/(K93*60)))</f>
        <v>0.8794736842105263</v>
      </c>
      <c r="K93" s="118">
        <v>38</v>
      </c>
      <c r="L93" s="104" t="s">
        <v>19</v>
      </c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173"/>
      <c r="Y93" s="467">
        <v>15.5</v>
      </c>
      <c r="Z93" s="365">
        <v>15.5</v>
      </c>
      <c r="AA93" s="465">
        <f t="shared" si="93"/>
        <v>0</v>
      </c>
      <c r="AB93" s="367"/>
      <c r="AC93" s="367"/>
      <c r="AD93" s="368">
        <f>+IFERROR(AD91/(K91*$AQ$3),"")</f>
        <v>6.2857142857142861E-2</v>
      </c>
      <c r="AE93" s="369"/>
      <c r="AF93" s="347"/>
      <c r="AG93" s="347">
        <f t="shared" si="1"/>
        <v>0</v>
      </c>
      <c r="AH93" s="341">
        <f t="shared" si="2"/>
        <v>0</v>
      </c>
      <c r="AI93" s="341"/>
      <c r="AJ93" s="356"/>
      <c r="AK93" s="370">
        <f>+$AJ$4</f>
        <v>8.75</v>
      </c>
      <c r="AL93" s="349">
        <f>+IF(AK93=7.75,SUM(M93:S93)+T93*0.75,IF(AK93=8,SUM(M93:T93),IF(AK93=7.25,SUM(M93:S93)+T93*0.25,IF(AK93=8.25,SUM(M93:T93)+U93*0.25,IF(AK93=8.75,SUM(M93:T93)+U93*0.75,0)))))</f>
        <v>0</v>
      </c>
      <c r="AM93" s="341">
        <f>+AL93-AA93</f>
        <v>0</v>
      </c>
      <c r="AN93" s="341"/>
      <c r="AO93" s="341"/>
      <c r="AP93" s="341"/>
      <c r="AQ93" s="369"/>
      <c r="AR93" s="434"/>
      <c r="AT93" s="390">
        <v>0.30095238095238097</v>
      </c>
      <c r="AV93" s="390"/>
    </row>
    <row r="94" spans="2:59" s="98" customFormat="1" ht="62.25" customHeight="1" thickTop="1" x14ac:dyDescent="0.9">
      <c r="B94" s="342">
        <f>+B95</f>
        <v>17</v>
      </c>
      <c r="C94" s="405"/>
      <c r="D94" s="106"/>
      <c r="E94" s="106"/>
      <c r="F94" s="106"/>
      <c r="G94" s="539" t="s">
        <v>442</v>
      </c>
      <c r="H94" s="106"/>
      <c r="I94" s="111"/>
      <c r="J94" s="107" t="s">
        <v>20</v>
      </c>
      <c r="K94" s="108" t="s">
        <v>23</v>
      </c>
      <c r="L94" s="100" t="s">
        <v>21</v>
      </c>
      <c r="M94" s="448">
        <v>60</v>
      </c>
      <c r="N94" s="448">
        <v>120</v>
      </c>
      <c r="O94" s="448"/>
      <c r="P94" s="448"/>
      <c r="Q94" s="448"/>
      <c r="R94" s="448">
        <v>60</v>
      </c>
      <c r="S94" s="448">
        <v>120</v>
      </c>
      <c r="T94" s="448"/>
      <c r="U94" s="448"/>
      <c r="V94" s="448"/>
      <c r="W94" s="448"/>
      <c r="X94" s="447">
        <f t="shared" ref="X94" si="94">IF(AQ95="","",SUM(M94:W94)-(-(AQ95-SUM(M94:W94))/$AQ$3)*SUM($M$2:$W$2))</f>
        <v>360</v>
      </c>
      <c r="Y94" s="466"/>
      <c r="Z94" s="533">
        <f>+X96</f>
        <v>-325</v>
      </c>
      <c r="AA94" s="447">
        <f t="shared" si="77"/>
        <v>360</v>
      </c>
      <c r="AB94" s="343">
        <f>+AC94+AA94</f>
        <v>780</v>
      </c>
      <c r="AC94" s="343">
        <v>420</v>
      </c>
      <c r="AD94" s="344"/>
      <c r="AE94" s="345"/>
      <c r="AF94" s="346"/>
      <c r="AG94" s="347">
        <f t="shared" ref="AG94:AG101" si="95">TRUNC(AF94)+(AF94-TRUNC(AF94))*60/100</f>
        <v>0</v>
      </c>
      <c r="AH94" s="341">
        <f t="shared" ref="AH94:AH101" si="96">+AF94*60</f>
        <v>0</v>
      </c>
      <c r="AI94" s="341"/>
      <c r="AJ94" s="341"/>
      <c r="AK94" s="348"/>
      <c r="AL94" s="349"/>
      <c r="AM94" s="341"/>
      <c r="AN94" s="341"/>
      <c r="AO94" s="341"/>
      <c r="AP94" s="341"/>
      <c r="AQ94" s="350"/>
      <c r="AR94" s="434"/>
      <c r="AT94" s="390"/>
      <c r="AV94" s="390"/>
    </row>
    <row r="95" spans="2:59" s="98" customFormat="1" ht="62.25" customHeight="1" x14ac:dyDescent="0.9">
      <c r="B95" s="351">
        <v>17</v>
      </c>
      <c r="C95" s="406">
        <f>+B95</f>
        <v>17</v>
      </c>
      <c r="D95" s="407" t="s">
        <v>441</v>
      </c>
      <c r="E95" s="111"/>
      <c r="F95" s="111" t="s">
        <v>35</v>
      </c>
      <c r="G95" s="539" t="str">
        <f t="shared" ref="G95:G97" si="97">+G94</f>
        <v>2259-600-730</v>
      </c>
      <c r="H95" s="111"/>
      <c r="I95" s="111" t="s">
        <v>33</v>
      </c>
      <c r="J95" s="113">
        <v>35.68</v>
      </c>
      <c r="K95" s="130">
        <v>65</v>
      </c>
      <c r="L95" s="101" t="s">
        <v>17</v>
      </c>
      <c r="M95" s="214"/>
      <c r="N95" s="214"/>
      <c r="O95" s="214"/>
      <c r="P95" s="214"/>
      <c r="Q95" s="214">
        <v>0</v>
      </c>
      <c r="R95" s="214">
        <v>0</v>
      </c>
      <c r="S95" s="214">
        <v>0</v>
      </c>
      <c r="T95" s="214">
        <v>0</v>
      </c>
      <c r="U95" s="214">
        <v>0</v>
      </c>
      <c r="V95" s="214"/>
      <c r="W95" s="214"/>
      <c r="X95" s="123">
        <f>+IF(H96="s",0,IF(AA95=0,0,IF(COUNTA(M95:W95)=AK97+0.25,SUMIF($C:$C,B95,$AA:$AA)/AK97,SUMIF($C:$C,B95,$AA:$AA)/(COUNTA(M95:W95)))))</f>
        <v>0</v>
      </c>
      <c r="Y95" s="466"/>
      <c r="Z95" s="534"/>
      <c r="AA95" s="134">
        <f t="shared" si="77"/>
        <v>0</v>
      </c>
      <c r="AB95" s="354">
        <f>+AA95+AC95</f>
        <v>0</v>
      </c>
      <c r="AC95" s="354">
        <v>0</v>
      </c>
      <c r="AD95" s="355">
        <f>+AB94-AB95</f>
        <v>780</v>
      </c>
      <c r="AE95" s="131">
        <f>+IF(((AA96+(AA97/2))*60)=0,"",(J95*AA95)/((AA96+(AA97/2))*60))</f>
        <v>0</v>
      </c>
      <c r="AF95" s="347">
        <f>+AA96+AA97/2</f>
        <v>295</v>
      </c>
      <c r="AG95" s="347">
        <f t="shared" si="95"/>
        <v>295</v>
      </c>
      <c r="AH95" s="341">
        <f t="shared" si="96"/>
        <v>17700</v>
      </c>
      <c r="AI95" s="341">
        <f>+AA95*J95</f>
        <v>0</v>
      </c>
      <c r="AJ95" s="356">
        <f>+AA95-(AF95*K95/K97)</f>
        <v>-435.79545454545456</v>
      </c>
      <c r="AK95" s="348"/>
      <c r="AL95" s="349"/>
      <c r="AM95" s="341"/>
      <c r="AN95" s="341"/>
      <c r="AO95" s="341"/>
      <c r="AP95" s="341"/>
      <c r="AQ95" s="339">
        <f>-360+AA94</f>
        <v>0</v>
      </c>
      <c r="AR95" s="434">
        <v>1.5</v>
      </c>
      <c r="AT95" s="390">
        <v>420</v>
      </c>
      <c r="AV95" s="390">
        <f t="shared" ref="AV95" si="98">+AT95-AD95</f>
        <v>-360</v>
      </c>
    </row>
    <row r="96" spans="2:59" s="98" customFormat="1" ht="62.25" customHeight="1" x14ac:dyDescent="0.9">
      <c r="B96" s="357">
        <f>+B95</f>
        <v>17</v>
      </c>
      <c r="C96" s="408"/>
      <c r="D96" s="184"/>
      <c r="E96" s="111">
        <f>+B95</f>
        <v>17</v>
      </c>
      <c r="F96" s="409"/>
      <c r="G96" s="539" t="str">
        <f t="shared" si="97"/>
        <v>2259-600-730</v>
      </c>
      <c r="H96" s="411" t="s">
        <v>413</v>
      </c>
      <c r="I96" s="113">
        <f>+IFERROR(IF(K97=0,0,IF((LOOKUP(2,1/(M96:W96&lt;&gt;""),M96:W96)-K97)&lt;0,0,IF(K97=0,"",LOOKUP(2,1/(M96:W96&lt;&gt;""),M96:W96)-K97))),0)</f>
        <v>0</v>
      </c>
      <c r="J96" s="113"/>
      <c r="K96" s="114" t="s">
        <v>22</v>
      </c>
      <c r="L96" s="102" t="s">
        <v>18</v>
      </c>
      <c r="M96" s="448">
        <v>10</v>
      </c>
      <c r="N96" s="448">
        <v>25</v>
      </c>
      <c r="O96" s="448">
        <v>30</v>
      </c>
      <c r="P96" s="448">
        <v>40</v>
      </c>
      <c r="Q96" s="448">
        <v>40</v>
      </c>
      <c r="R96" s="448">
        <v>40</v>
      </c>
      <c r="S96" s="448">
        <v>40</v>
      </c>
      <c r="T96" s="448">
        <v>40</v>
      </c>
      <c r="U96" s="448">
        <v>40</v>
      </c>
      <c r="V96" s="448"/>
      <c r="W96" s="448"/>
      <c r="X96" s="160">
        <f>+IF(H96="l",IF(COUNTA(M95:W95)=AK97+0.25,AA95-K95*AK97,AA95-(K95*COUNTA(M95:W95))),IF(H96="s",0,IF(COUNTA(M95:W95)=AK97+0.25,SUMIF($C:$C,B95,$AA:$AA)-K95*AK97,SUMIF($C:$C,B95,$AA:$AA)-K95*COUNTA(M95:W95))))</f>
        <v>-325</v>
      </c>
      <c r="Y96" s="466"/>
      <c r="Z96" s="534"/>
      <c r="AA96" s="462">
        <f t="shared" ref="AA96:AA97" si="99">+SUM(M96:W96)-U96*0.25</f>
        <v>295</v>
      </c>
      <c r="AB96" s="360"/>
      <c r="AC96" s="360"/>
      <c r="AD96" s="362"/>
      <c r="AE96" s="363"/>
      <c r="AF96" s="346"/>
      <c r="AG96" s="347">
        <f t="shared" si="95"/>
        <v>0</v>
      </c>
      <c r="AH96" s="341">
        <f t="shared" si="96"/>
        <v>0</v>
      </c>
      <c r="AI96" s="341"/>
      <c r="AJ96" s="341"/>
      <c r="AK96" s="348"/>
      <c r="AL96" s="349">
        <f>+IF(AK97=7.75,SUM(M96:S96)+T96*0.75,IF(AK97=8,SUM(M96:T96),IF(AK97=7.25,SUM(M96:S96)+T96*0.25,IF(AK97=8.25,SUM(M96:T96)+U96*0.25,IF(AK97=8.75,SUM(M96:T96)+U96*0.75,0)))))</f>
        <v>295</v>
      </c>
      <c r="AM96" s="341">
        <f>+AL96-AA96</f>
        <v>0</v>
      </c>
      <c r="AN96" s="341"/>
      <c r="AO96" s="341"/>
      <c r="AP96" s="341"/>
      <c r="AQ96" s="438"/>
      <c r="AR96" s="434"/>
      <c r="AT96" s="390"/>
      <c r="AV96" s="390"/>
    </row>
    <row r="97" spans="2:48" s="98" customFormat="1" ht="62.25" customHeight="1" thickBot="1" x14ac:dyDescent="0.95">
      <c r="B97" s="364">
        <f>+B95</f>
        <v>17</v>
      </c>
      <c r="C97" s="410"/>
      <c r="D97" s="174" t="s">
        <v>379</v>
      </c>
      <c r="E97" s="175">
        <f>+E96+100</f>
        <v>117</v>
      </c>
      <c r="F97" s="175"/>
      <c r="G97" s="539" t="str">
        <f t="shared" si="97"/>
        <v>2259-600-730</v>
      </c>
      <c r="H97" s="117"/>
      <c r="I97" s="442"/>
      <c r="J97" s="165">
        <f>+IF(K97="","",IF(K95=0,"",(K95*J95)/(K97*60)))</f>
        <v>0.87848484848484842</v>
      </c>
      <c r="K97" s="118">
        <v>44</v>
      </c>
      <c r="L97" s="104" t="s">
        <v>19</v>
      </c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173"/>
      <c r="Y97" s="467">
        <v>0</v>
      </c>
      <c r="Z97" s="371">
        <f>+IF(COUNTA(M95:W95)=$AJ$4+0.25,$AJ$4-(AA95/K95),COUNTA(M95:W95)-(AA95/K95))+Y97</f>
        <v>5</v>
      </c>
      <c r="AA97" s="465">
        <f t="shared" si="99"/>
        <v>0</v>
      </c>
      <c r="AB97" s="367"/>
      <c r="AC97" s="367"/>
      <c r="AD97" s="368">
        <f>+IFERROR(AD95/(K95*$AQ$3),"")</f>
        <v>1.3714285714285714</v>
      </c>
      <c r="AE97" s="369"/>
      <c r="AF97" s="347"/>
      <c r="AG97" s="347">
        <f t="shared" si="95"/>
        <v>0</v>
      </c>
      <c r="AH97" s="341">
        <f t="shared" si="96"/>
        <v>0</v>
      </c>
      <c r="AI97" s="341"/>
      <c r="AJ97" s="356"/>
      <c r="AK97" s="370">
        <f>+$AJ$4</f>
        <v>8.75</v>
      </c>
      <c r="AL97" s="349">
        <f>+IF(AK97=7.75,SUM(M97:S97)+T97*0.75,IF(AK97=8,SUM(M97:T97),IF(AK97=7.25,SUM(M97:S97)+T97*0.25,IF(AK97=8.25,SUM(M97:T97)+U97*0.25,IF(AK97=8.75,SUM(M97:T97)+U97*0.75,0)))))</f>
        <v>0</v>
      </c>
      <c r="AM97" s="341">
        <f>+AL97-AA97</f>
        <v>0</v>
      </c>
      <c r="AN97" s="341"/>
      <c r="AO97" s="341"/>
      <c r="AP97" s="341"/>
      <c r="AQ97" s="369"/>
      <c r="AR97" s="434"/>
      <c r="AT97" s="390">
        <v>0.7384615384615385</v>
      </c>
      <c r="AV97" s="390"/>
    </row>
    <row r="98" spans="2:48" s="98" customFormat="1" ht="62.25" customHeight="1" thickTop="1" x14ac:dyDescent="0.9">
      <c r="B98" s="373">
        <f>+B99</f>
        <v>18</v>
      </c>
      <c r="C98" s="405"/>
      <c r="D98" s="106"/>
      <c r="E98" s="106"/>
      <c r="F98" s="106"/>
      <c r="G98" s="540" t="s">
        <v>432</v>
      </c>
      <c r="H98" s="106"/>
      <c r="I98" s="106"/>
      <c r="J98" s="107" t="s">
        <v>20</v>
      </c>
      <c r="K98" s="108" t="s">
        <v>23</v>
      </c>
      <c r="L98" s="100" t="s">
        <v>21</v>
      </c>
      <c r="M98" s="448">
        <v>60</v>
      </c>
      <c r="N98" s="448">
        <v>60</v>
      </c>
      <c r="O98" s="448">
        <v>60</v>
      </c>
      <c r="P98" s="448">
        <v>60</v>
      </c>
      <c r="Q98" s="448">
        <v>60</v>
      </c>
      <c r="R98" s="448">
        <v>60</v>
      </c>
      <c r="S98" s="448"/>
      <c r="T98" s="448"/>
      <c r="U98" s="448"/>
      <c r="V98" s="448"/>
      <c r="W98" s="448"/>
      <c r="X98" s="447">
        <f t="shared" ref="X98" si="100">IF(AQ99="","",SUM(M98:W98)-(-(AQ99-SUM(M98:W98))/$AQ$3)*SUM($M$2:$W$2))</f>
        <v>360</v>
      </c>
      <c r="Y98" s="466"/>
      <c r="Z98" s="533">
        <f>+X100</f>
        <v>-51</v>
      </c>
      <c r="AA98" s="447">
        <f t="shared" si="77"/>
        <v>360</v>
      </c>
      <c r="AB98" s="343">
        <f>+AC98+AA98</f>
        <v>5353</v>
      </c>
      <c r="AC98" s="343">
        <v>4993</v>
      </c>
      <c r="AD98" s="344"/>
      <c r="AE98" s="345"/>
      <c r="AF98" s="346"/>
      <c r="AG98" s="347">
        <f t="shared" si="95"/>
        <v>0</v>
      </c>
      <c r="AH98" s="341">
        <f t="shared" si="96"/>
        <v>0</v>
      </c>
      <c r="AI98" s="341"/>
      <c r="AJ98" s="341"/>
      <c r="AK98" s="348"/>
      <c r="AL98" s="349"/>
      <c r="AM98" s="341"/>
      <c r="AN98" s="341"/>
      <c r="AO98" s="341"/>
      <c r="AP98" s="341"/>
      <c r="AQ98" s="350"/>
      <c r="AR98" s="434"/>
      <c r="AT98" s="390"/>
      <c r="AV98" s="390"/>
    </row>
    <row r="99" spans="2:48" s="98" customFormat="1" ht="62.25" customHeight="1" x14ac:dyDescent="0.9">
      <c r="B99" s="374">
        <v>18</v>
      </c>
      <c r="C99" s="406">
        <f>+B99</f>
        <v>18</v>
      </c>
      <c r="D99" s="407" t="s">
        <v>431</v>
      </c>
      <c r="E99" s="111"/>
      <c r="F99" s="111" t="s">
        <v>35</v>
      </c>
      <c r="G99" s="541" t="str">
        <f t="shared" ref="G99:G101" si="101">+G98</f>
        <v>2158-755-712</v>
      </c>
      <c r="H99" s="111"/>
      <c r="I99" s="111" t="s">
        <v>33</v>
      </c>
      <c r="J99" s="113">
        <v>51.42</v>
      </c>
      <c r="K99" s="130">
        <v>52</v>
      </c>
      <c r="L99" s="101" t="s">
        <v>17</v>
      </c>
      <c r="M99" s="214">
        <v>22</v>
      </c>
      <c r="N99" s="214">
        <v>52</v>
      </c>
      <c r="O99" s="214">
        <v>46</v>
      </c>
      <c r="P99" s="214">
        <v>52</v>
      </c>
      <c r="Q99" s="214">
        <v>52</v>
      </c>
      <c r="R99" s="214">
        <v>48</v>
      </c>
      <c r="S99" s="214">
        <v>40</v>
      </c>
      <c r="T99" s="214">
        <v>52</v>
      </c>
      <c r="U99" s="214">
        <v>40</v>
      </c>
      <c r="V99" s="214"/>
      <c r="W99" s="214"/>
      <c r="X99" s="123">
        <f>+IF(H100="s",0,IF(AA99=0,0,IF(COUNTA(M99:W99)=AK101+0.25,SUMIF($C:$C,B99,$AA:$AA)/AK101,SUMIF($C:$C,B99,$AA:$AA)/(COUNTA(M99:W99)))))</f>
        <v>46.171428571428571</v>
      </c>
      <c r="Y99" s="466"/>
      <c r="Z99" s="534"/>
      <c r="AA99" s="134">
        <f t="shared" si="77"/>
        <v>404</v>
      </c>
      <c r="AB99" s="354">
        <f>+AA99+AC99</f>
        <v>4603</v>
      </c>
      <c r="AC99" s="354">
        <v>4199</v>
      </c>
      <c r="AD99" s="355">
        <f>+AB98-AB99</f>
        <v>750</v>
      </c>
      <c r="AE99" s="131">
        <f>+IF(((AA100+(AA101/2))*60)=0,"",(J99*AA99)/((AA100+(AA101/2))*60))</f>
        <v>0.77935396736072038</v>
      </c>
      <c r="AF99" s="347">
        <f>+AA100+AA101/2</f>
        <v>444.25</v>
      </c>
      <c r="AG99" s="347">
        <f t="shared" si="95"/>
        <v>444.15</v>
      </c>
      <c r="AH99" s="341">
        <f t="shared" si="96"/>
        <v>26655</v>
      </c>
      <c r="AI99" s="341">
        <f>+AA99*J99</f>
        <v>20773.68</v>
      </c>
      <c r="AJ99" s="356">
        <f>+AA99-(AF99*K99/K101)</f>
        <v>-48.960784313725469</v>
      </c>
      <c r="AK99" s="348"/>
      <c r="AL99" s="349"/>
      <c r="AM99" s="341"/>
      <c r="AN99" s="341"/>
      <c r="AO99" s="341"/>
      <c r="AP99" s="341"/>
      <c r="AQ99" s="339">
        <f t="shared" si="79"/>
        <v>16.5</v>
      </c>
      <c r="AR99" s="434">
        <v>1.5</v>
      </c>
      <c r="AT99" s="390">
        <v>794</v>
      </c>
      <c r="AV99" s="390">
        <f t="shared" ref="AV99" si="102">+AT99-AD99</f>
        <v>44</v>
      </c>
    </row>
    <row r="100" spans="2:48" s="98" customFormat="1" ht="62.25" customHeight="1" x14ac:dyDescent="0.9">
      <c r="B100" s="357">
        <f>+B99</f>
        <v>18</v>
      </c>
      <c r="C100" s="408"/>
      <c r="D100" s="184"/>
      <c r="E100" s="111">
        <f>+B99</f>
        <v>18</v>
      </c>
      <c r="F100" s="409"/>
      <c r="G100" s="541" t="str">
        <f t="shared" si="101"/>
        <v>2158-755-712</v>
      </c>
      <c r="H100" s="411"/>
      <c r="I100" s="113">
        <f>+IFERROR(IF(K101=0,0,IF((LOOKUP(2,1/(M100:W100&lt;&gt;""),M100:W100)-K101)&lt;0,0,IF(K101=0,"",LOOKUP(2,1/(M100:W100&lt;&gt;""),M100:W100)-K101))),0)</f>
        <v>0</v>
      </c>
      <c r="J100" s="113"/>
      <c r="K100" s="114" t="s">
        <v>22</v>
      </c>
      <c r="L100" s="102" t="s">
        <v>18</v>
      </c>
      <c r="M100" s="448">
        <v>48</v>
      </c>
      <c r="N100" s="448">
        <v>50</v>
      </c>
      <c r="O100" s="448">
        <v>50</v>
      </c>
      <c r="P100" s="448">
        <v>50</v>
      </c>
      <c r="Q100" s="448">
        <v>50</v>
      </c>
      <c r="R100" s="448">
        <v>50</v>
      </c>
      <c r="S100" s="448">
        <v>50</v>
      </c>
      <c r="T100" s="448">
        <v>50</v>
      </c>
      <c r="U100" s="448">
        <v>50</v>
      </c>
      <c r="V100" s="448"/>
      <c r="W100" s="448"/>
      <c r="X100" s="160">
        <f>+IF(H100="l",IF(COUNTA(M99:W99)=AK101+0.25,AA99-K99*AK101,AA99-(K99*COUNTA(M99:W99))),IF(H100="s",0,IF(COUNTA(M99:W99)=AK101+0.25,SUMIF($C:$C,B99,$AA:$AA)-K99*AK101,SUMIF($C:$C,B99,$AA:$AA)-K99*COUNTA(M99:W99))))</f>
        <v>-51</v>
      </c>
      <c r="Y100" s="466"/>
      <c r="Z100" s="534"/>
      <c r="AA100" s="462">
        <f t="shared" ref="AA100:AA101" si="103">+SUM(M100:W100)-U100*0.25</f>
        <v>435.5</v>
      </c>
      <c r="AB100" s="361"/>
      <c r="AC100" s="361"/>
      <c r="AD100" s="362"/>
      <c r="AE100" s="363"/>
      <c r="AF100" s="346"/>
      <c r="AG100" s="347">
        <f t="shared" si="95"/>
        <v>0</v>
      </c>
      <c r="AH100" s="341">
        <f t="shared" si="96"/>
        <v>0</v>
      </c>
      <c r="AI100" s="341"/>
      <c r="AJ100" s="341"/>
      <c r="AK100" s="348"/>
      <c r="AL100" s="349">
        <f>+IF(AK101=7.75,SUM(M100:S100)+T100*0.75,IF(AK101=8,SUM(M100:T100),IF(AK101=7.25,SUM(M100:S100)+T100*0.25,IF(AK101=8.25,SUM(M100:T100)+U100*0.25,IF(AK101=8.75,SUM(M100:T100)+U100*0.75,0)))))</f>
        <v>435.5</v>
      </c>
      <c r="AM100" s="341">
        <f>+AL100-AA100</f>
        <v>0</v>
      </c>
      <c r="AN100" s="341"/>
      <c r="AO100" s="341"/>
      <c r="AP100" s="341"/>
      <c r="AQ100" s="438"/>
      <c r="AR100" s="434"/>
      <c r="AT100" s="390"/>
      <c r="AV100" s="390"/>
    </row>
    <row r="101" spans="2:48" s="98" customFormat="1" ht="62.25" customHeight="1" thickBot="1" x14ac:dyDescent="0.95">
      <c r="B101" s="375">
        <f>+B99</f>
        <v>18</v>
      </c>
      <c r="C101" s="410"/>
      <c r="D101" s="413" t="s">
        <v>308</v>
      </c>
      <c r="E101" s="175">
        <f>+E100+100</f>
        <v>118</v>
      </c>
      <c r="F101" s="175"/>
      <c r="G101" s="542" t="str">
        <f t="shared" si="101"/>
        <v>2158-755-712</v>
      </c>
      <c r="H101" s="117"/>
      <c r="I101" s="442"/>
      <c r="J101" s="165">
        <f>+IF(K101="","",IF(K99=0,"",(K99*J99)/(K101*60)))</f>
        <v>0.87380392156862752</v>
      </c>
      <c r="K101" s="118">
        <v>51</v>
      </c>
      <c r="L101" s="104" t="s">
        <v>19</v>
      </c>
      <c r="M101" s="216">
        <v>2</v>
      </c>
      <c r="N101" s="216">
        <v>2</v>
      </c>
      <c r="O101" s="216">
        <v>2</v>
      </c>
      <c r="P101" s="216">
        <v>2</v>
      </c>
      <c r="Q101" s="216">
        <v>2</v>
      </c>
      <c r="R101" s="216">
        <v>2</v>
      </c>
      <c r="S101" s="216">
        <v>2</v>
      </c>
      <c r="T101" s="216">
        <v>2</v>
      </c>
      <c r="U101" s="216">
        <v>2</v>
      </c>
      <c r="V101" s="216"/>
      <c r="W101" s="216"/>
      <c r="X101" s="173"/>
      <c r="Y101" s="467">
        <v>28.44</v>
      </c>
      <c r="Z101" s="365">
        <v>28.44</v>
      </c>
      <c r="AA101" s="465">
        <f t="shared" si="103"/>
        <v>17.5</v>
      </c>
      <c r="AB101" s="367"/>
      <c r="AC101" s="367"/>
      <c r="AD101" s="368">
        <f>+IFERROR(AD99/(K99*$AQ$3),"")</f>
        <v>1.6483516483516483</v>
      </c>
      <c r="AE101" s="369"/>
      <c r="AF101" s="347"/>
      <c r="AG101" s="347">
        <f t="shared" si="95"/>
        <v>0</v>
      </c>
      <c r="AH101" s="341">
        <f t="shared" si="96"/>
        <v>0</v>
      </c>
      <c r="AI101" s="341"/>
      <c r="AJ101" s="356"/>
      <c r="AK101" s="370">
        <f>+$AJ$4</f>
        <v>8.75</v>
      </c>
      <c r="AL101" s="349">
        <f>+IF(AK101=7.75,SUM(M101:S101)+T101*0.75,IF(AK101=8,SUM(M101:T101),IF(AK101=7.25,SUM(M101:S101)+T101*0.25,IF(AK101=8.25,SUM(M101:T101)+U101*0.25,IF(AK101=8.75,SUM(M101:T101)+U101*0.75,0)))))</f>
        <v>17.5</v>
      </c>
      <c r="AM101" s="341">
        <f>+AL101-AA101</f>
        <v>0</v>
      </c>
      <c r="AN101" s="341"/>
      <c r="AO101" s="341"/>
      <c r="AP101" s="341"/>
      <c r="AQ101" s="369"/>
      <c r="AR101" s="434"/>
      <c r="AT101" s="390">
        <v>1.7450549450549451</v>
      </c>
      <c r="AV101" s="390"/>
    </row>
    <row r="102" spans="2:48" s="419" customFormat="1" ht="91.5" customHeight="1" thickTop="1" thickBot="1" x14ac:dyDescent="0.95">
      <c r="B102" s="414"/>
      <c r="C102" s="414"/>
      <c r="D102" s="415"/>
      <c r="E102" s="415"/>
      <c r="F102" s="415"/>
      <c r="G102" s="415"/>
      <c r="H102" s="415"/>
      <c r="I102" s="415"/>
      <c r="J102" s="415"/>
      <c r="K102" s="415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  <c r="V102" s="416"/>
      <c r="W102" s="416"/>
      <c r="X102" s="415"/>
      <c r="Y102" s="415"/>
      <c r="Z102" s="415"/>
      <c r="AA102" s="415"/>
      <c r="AB102" s="415"/>
      <c r="AC102" s="415"/>
      <c r="AD102" s="415"/>
      <c r="AE102" s="417"/>
      <c r="AF102" s="418"/>
      <c r="AG102" s="418"/>
      <c r="AK102" s="420"/>
      <c r="AL102" s="421"/>
      <c r="AR102" s="435"/>
    </row>
    <row r="103" spans="2:48" s="419" customFormat="1" ht="91.5" customHeight="1" thickTop="1" thickBot="1" x14ac:dyDescent="0.95">
      <c r="B103" s="414"/>
      <c r="C103" s="414"/>
      <c r="D103" s="415"/>
      <c r="E103" s="415"/>
      <c r="F103" s="415"/>
      <c r="G103" s="415"/>
      <c r="H103" s="415"/>
      <c r="I103" s="415"/>
      <c r="J103" s="415"/>
      <c r="K103" s="415"/>
      <c r="L103" s="378" t="s">
        <v>21</v>
      </c>
      <c r="M103" s="379">
        <f t="shared" ref="M103:W103" si="104">+SUMIF($L$6:$L$102,$L$103,M6:M102)</f>
        <v>880</v>
      </c>
      <c r="N103" s="379">
        <f t="shared" si="104"/>
        <v>844</v>
      </c>
      <c r="O103" s="379">
        <f t="shared" si="104"/>
        <v>518</v>
      </c>
      <c r="P103" s="379">
        <f t="shared" si="104"/>
        <v>480</v>
      </c>
      <c r="Q103" s="379">
        <f t="shared" si="104"/>
        <v>150</v>
      </c>
      <c r="R103" s="379">
        <f t="shared" si="104"/>
        <v>710</v>
      </c>
      <c r="S103" s="379">
        <f t="shared" si="104"/>
        <v>930</v>
      </c>
      <c r="T103" s="379">
        <f t="shared" si="104"/>
        <v>220</v>
      </c>
      <c r="U103" s="379">
        <f t="shared" si="104"/>
        <v>60</v>
      </c>
      <c r="V103" s="379">
        <f t="shared" si="104"/>
        <v>0</v>
      </c>
      <c r="W103" s="379">
        <f t="shared" si="104"/>
        <v>0</v>
      </c>
      <c r="X103" s="332"/>
      <c r="Y103" s="332"/>
      <c r="Z103" s="537">
        <f>+SUM(M103:W103)</f>
        <v>4792</v>
      </c>
      <c r="AA103" s="538"/>
      <c r="AB103" s="415"/>
      <c r="AC103" s="415"/>
      <c r="AD103" s="415"/>
      <c r="AE103" s="417"/>
      <c r="AF103" s="418"/>
      <c r="AG103" s="418"/>
      <c r="AK103" s="420"/>
      <c r="AR103" s="435"/>
    </row>
    <row r="104" spans="2:48" s="419" customFormat="1" ht="91.5" customHeight="1" thickTop="1" thickBot="1" x14ac:dyDescent="0.95">
      <c r="B104" s="414"/>
      <c r="C104" s="414"/>
      <c r="D104" s="415"/>
      <c r="E104" s="415"/>
      <c r="F104" s="415"/>
      <c r="G104" s="415"/>
      <c r="H104" s="415"/>
      <c r="I104" s="415"/>
      <c r="J104" s="415"/>
      <c r="K104" s="415"/>
      <c r="L104" s="380"/>
      <c r="M104" s="376"/>
      <c r="N104" s="376"/>
      <c r="O104" s="376"/>
      <c r="P104" s="376"/>
      <c r="Q104" s="376"/>
      <c r="R104" s="376"/>
      <c r="S104" s="376"/>
      <c r="T104" s="376"/>
      <c r="U104" s="376"/>
      <c r="V104" s="376"/>
      <c r="W104" s="376"/>
      <c r="X104" s="332"/>
      <c r="Y104" s="332"/>
      <c r="Z104" s="332"/>
      <c r="AA104" s="332"/>
      <c r="AB104" s="415"/>
      <c r="AC104" s="415"/>
      <c r="AD104" s="415"/>
      <c r="AE104" s="417"/>
      <c r="AF104" s="418"/>
      <c r="AG104" s="418"/>
      <c r="AK104" s="420"/>
      <c r="AR104" s="435"/>
    </row>
    <row r="105" spans="2:48" s="419" customFormat="1" ht="91.5" customHeight="1" thickTop="1" thickBot="1" x14ac:dyDescent="0.95">
      <c r="B105" s="414"/>
      <c r="C105" s="414"/>
      <c r="D105" s="415"/>
      <c r="E105" s="415"/>
      <c r="F105" s="415"/>
      <c r="G105" s="415"/>
      <c r="H105" s="415"/>
      <c r="I105" s="415"/>
      <c r="J105" s="415"/>
      <c r="K105" s="415"/>
      <c r="L105" s="378" t="s">
        <v>17</v>
      </c>
      <c r="M105" s="379">
        <f t="shared" ref="M105:W105" si="105">+SUMIF($L$6:$L$102,$L$105,M6:M102)</f>
        <v>421</v>
      </c>
      <c r="N105" s="379">
        <f t="shared" si="105"/>
        <v>485</v>
      </c>
      <c r="O105" s="379">
        <f t="shared" si="105"/>
        <v>498</v>
      </c>
      <c r="P105" s="379">
        <f t="shared" si="105"/>
        <v>549</v>
      </c>
      <c r="Q105" s="379">
        <f t="shared" si="105"/>
        <v>511</v>
      </c>
      <c r="R105" s="379">
        <f t="shared" si="105"/>
        <v>469</v>
      </c>
      <c r="S105" s="379">
        <f t="shared" si="105"/>
        <v>452</v>
      </c>
      <c r="T105" s="379">
        <f t="shared" si="105"/>
        <v>485</v>
      </c>
      <c r="U105" s="379">
        <f t="shared" si="105"/>
        <v>362</v>
      </c>
      <c r="V105" s="379">
        <f t="shared" si="105"/>
        <v>0</v>
      </c>
      <c r="W105" s="379">
        <f t="shared" si="105"/>
        <v>0</v>
      </c>
      <c r="X105" s="332"/>
      <c r="Y105" s="332"/>
      <c r="Z105" s="537">
        <f>+SUM(M105:W105)</f>
        <v>4232</v>
      </c>
      <c r="AA105" s="538"/>
      <c r="AB105" s="415"/>
      <c r="AC105" s="415"/>
      <c r="AD105" s="415"/>
      <c r="AE105" s="417"/>
      <c r="AF105" s="418"/>
      <c r="AG105" s="418"/>
      <c r="AK105" s="420"/>
      <c r="AR105" s="435"/>
    </row>
    <row r="106" spans="2:48" s="419" customFormat="1" ht="91.5" customHeight="1" thickTop="1" thickBot="1" x14ac:dyDescent="0.95">
      <c r="B106" s="414"/>
      <c r="C106" s="414"/>
      <c r="D106" s="415"/>
      <c r="E106" s="415"/>
      <c r="F106" s="415"/>
      <c r="G106" s="415"/>
      <c r="H106" s="415"/>
      <c r="I106" s="415"/>
      <c r="J106" s="415"/>
      <c r="K106" s="415"/>
      <c r="L106" s="380"/>
      <c r="M106" s="376"/>
      <c r="N106" s="376"/>
      <c r="O106" s="376"/>
      <c r="P106" s="376"/>
      <c r="Q106" s="376"/>
      <c r="R106" s="376"/>
      <c r="S106" s="376"/>
      <c r="T106" s="376"/>
      <c r="U106" s="376"/>
      <c r="V106" s="376"/>
      <c r="W106" s="376"/>
      <c r="X106" s="332"/>
      <c r="Y106" s="332"/>
      <c r="Z106" s="332"/>
      <c r="AA106" s="332"/>
      <c r="AB106" s="415"/>
      <c r="AC106" s="415"/>
      <c r="AD106" s="415"/>
      <c r="AE106" s="417"/>
      <c r="AF106" s="418"/>
      <c r="AG106" s="418"/>
      <c r="AK106" s="420"/>
      <c r="AR106" s="435"/>
    </row>
    <row r="107" spans="2:48" s="419" customFormat="1" ht="91.5" customHeight="1" thickTop="1" thickBot="1" x14ac:dyDescent="0.95">
      <c r="B107" s="414"/>
      <c r="C107" s="414"/>
      <c r="D107" s="422"/>
      <c r="E107" s="422"/>
      <c r="F107" s="422"/>
      <c r="G107" s="422"/>
      <c r="H107" s="422"/>
      <c r="I107" s="422"/>
      <c r="J107" s="423"/>
      <c r="K107" s="422"/>
      <c r="L107" s="378" t="s">
        <v>19</v>
      </c>
      <c r="M107" s="379">
        <f t="shared" ref="M107:W107" si="106">+SUMIF($L$6:$L$102,$L$107,M6:M102)</f>
        <v>9</v>
      </c>
      <c r="N107" s="379">
        <f t="shared" si="106"/>
        <v>9</v>
      </c>
      <c r="O107" s="379">
        <f t="shared" si="106"/>
        <v>9</v>
      </c>
      <c r="P107" s="379">
        <f t="shared" si="106"/>
        <v>9</v>
      </c>
      <c r="Q107" s="379">
        <f t="shared" si="106"/>
        <v>9</v>
      </c>
      <c r="R107" s="379">
        <f t="shared" si="106"/>
        <v>9</v>
      </c>
      <c r="S107" s="379">
        <f t="shared" si="106"/>
        <v>9</v>
      </c>
      <c r="T107" s="379">
        <f t="shared" si="106"/>
        <v>7</v>
      </c>
      <c r="U107" s="379">
        <f t="shared" si="106"/>
        <v>7</v>
      </c>
      <c r="V107" s="379">
        <f t="shared" si="106"/>
        <v>0</v>
      </c>
      <c r="W107" s="379">
        <f t="shared" si="106"/>
        <v>0</v>
      </c>
      <c r="X107" s="381"/>
      <c r="Y107" s="381"/>
      <c r="Z107" s="332"/>
      <c r="AA107" s="332"/>
      <c r="AB107" s="415"/>
      <c r="AC107" s="415"/>
      <c r="AD107" s="415"/>
      <c r="AE107" s="417"/>
      <c r="AF107" s="418"/>
      <c r="AG107" s="418"/>
      <c r="AK107" s="420"/>
      <c r="AR107" s="435"/>
    </row>
    <row r="108" spans="2:48" s="419" customFormat="1" ht="62.25" customHeight="1" thickTop="1" x14ac:dyDescent="0.9">
      <c r="B108" s="414"/>
      <c r="C108" s="414"/>
      <c r="D108" s="422"/>
      <c r="E108" s="422"/>
      <c r="F108" s="422"/>
      <c r="G108" s="422"/>
      <c r="H108" s="422"/>
      <c r="I108" s="424"/>
      <c r="J108" s="423"/>
      <c r="K108" s="422"/>
      <c r="L108" s="380"/>
      <c r="M108" s="382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32"/>
      <c r="Y108" s="332"/>
      <c r="Z108" s="332"/>
      <c r="AA108" s="332"/>
      <c r="AB108" s="415"/>
      <c r="AC108" s="415"/>
      <c r="AD108" s="425"/>
      <c r="AE108" s="417"/>
      <c r="AF108" s="418"/>
      <c r="AG108" s="418"/>
      <c r="AK108" s="420"/>
      <c r="AR108" s="435"/>
    </row>
    <row r="109" spans="2:48" s="98" customFormat="1" ht="62.25" customHeight="1" thickBot="1" x14ac:dyDescent="0.95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384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91"/>
      <c r="AC109" s="91"/>
      <c r="AD109" s="91"/>
      <c r="AE109" s="95"/>
      <c r="AF109" s="158"/>
      <c r="AG109" s="158"/>
      <c r="AK109" s="183"/>
      <c r="AR109" s="434"/>
    </row>
    <row r="110" spans="2:48" s="98" customFormat="1" ht="88.5" customHeight="1" thickTop="1" thickBot="1" x14ac:dyDescent="0.95">
      <c r="B110" s="94"/>
      <c r="C110" s="94"/>
      <c r="D110" s="92"/>
      <c r="E110" s="92"/>
      <c r="F110" s="92"/>
      <c r="G110" s="92"/>
      <c r="H110" s="92"/>
      <c r="I110" s="91"/>
      <c r="J110" s="93"/>
      <c r="K110" s="212" t="s">
        <v>18</v>
      </c>
      <c r="L110" s="385" t="s">
        <v>180</v>
      </c>
      <c r="M110" s="379">
        <f t="shared" ref="M110:W110" si="107">+IF(M113=0,0,SUMIFS($J$6:$J$102,$L$6:$L$102,$K$110))</f>
        <v>8</v>
      </c>
      <c r="N110" s="379">
        <f t="shared" si="107"/>
        <v>8</v>
      </c>
      <c r="O110" s="379">
        <f t="shared" si="107"/>
        <v>8</v>
      </c>
      <c r="P110" s="379">
        <f t="shared" si="107"/>
        <v>8</v>
      </c>
      <c r="Q110" s="379">
        <f t="shared" si="107"/>
        <v>8</v>
      </c>
      <c r="R110" s="379">
        <f t="shared" si="107"/>
        <v>8</v>
      </c>
      <c r="S110" s="379">
        <f t="shared" si="107"/>
        <v>8</v>
      </c>
      <c r="T110" s="379">
        <f t="shared" si="107"/>
        <v>8</v>
      </c>
      <c r="U110" s="379">
        <f t="shared" si="107"/>
        <v>8</v>
      </c>
      <c r="V110" s="379">
        <f t="shared" si="107"/>
        <v>0</v>
      </c>
      <c r="W110" s="379">
        <f t="shared" si="107"/>
        <v>0</v>
      </c>
      <c r="X110" s="383"/>
      <c r="Y110" s="383"/>
      <c r="Z110" s="340"/>
      <c r="AA110" s="340"/>
      <c r="AB110" s="91"/>
      <c r="AC110" s="91"/>
      <c r="AD110" s="91"/>
      <c r="AE110" s="95"/>
      <c r="AF110" s="158"/>
      <c r="AG110" s="158"/>
      <c r="AK110" s="183"/>
      <c r="AR110" s="434"/>
    </row>
    <row r="111" spans="2:48" s="98" customFormat="1" ht="62.25" customHeight="1" thickTop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84"/>
      <c r="M111" s="386"/>
      <c r="N111" s="386"/>
      <c r="O111" s="386"/>
      <c r="P111" s="386"/>
      <c r="Q111" s="386"/>
      <c r="R111" s="386"/>
      <c r="S111" s="386"/>
      <c r="T111" s="386"/>
      <c r="U111" s="386"/>
      <c r="V111" s="386"/>
      <c r="W111" s="386"/>
      <c r="X111" s="340"/>
      <c r="Y111" s="340"/>
      <c r="Z111" s="340"/>
      <c r="AA111" s="340"/>
      <c r="AB111" s="91"/>
      <c r="AC111" s="91"/>
      <c r="AD111" s="91"/>
      <c r="AE111" s="95"/>
      <c r="AF111" s="158"/>
      <c r="AG111" s="158"/>
      <c r="AK111" s="183"/>
      <c r="AR111" s="434"/>
    </row>
    <row r="112" spans="2:48" s="98" customFormat="1" ht="62.25" customHeight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212"/>
      <c r="L112" s="384"/>
      <c r="M112" s="340"/>
      <c r="N112" s="340"/>
      <c r="O112" s="340"/>
      <c r="P112" s="340"/>
      <c r="Q112" s="387"/>
      <c r="R112" s="387"/>
      <c r="S112" s="387"/>
      <c r="T112" s="387"/>
      <c r="U112" s="387"/>
      <c r="V112" s="387"/>
      <c r="W112" s="387"/>
      <c r="X112" s="340"/>
      <c r="Y112" s="340"/>
      <c r="Z112" s="340"/>
      <c r="AA112" s="340"/>
      <c r="AB112" s="91"/>
      <c r="AC112" s="91"/>
      <c r="AD112" s="91"/>
      <c r="AE112" s="95"/>
      <c r="AF112" s="158"/>
      <c r="AG112" s="158"/>
      <c r="AK112" s="183"/>
      <c r="AR112" s="434"/>
    </row>
    <row r="113" spans="2:44" s="98" customFormat="1" ht="98.25" customHeight="1" thickTop="1" thickBot="1" x14ac:dyDescent="0.95">
      <c r="B113" s="94"/>
      <c r="C113" s="94"/>
      <c r="D113" s="92"/>
      <c r="E113" s="92"/>
      <c r="F113" s="92"/>
      <c r="G113" s="92"/>
      <c r="H113" s="92"/>
      <c r="I113" s="92"/>
      <c r="J113" s="93"/>
      <c r="K113" s="212"/>
      <c r="L113" s="385" t="s">
        <v>18</v>
      </c>
      <c r="M113" s="379">
        <f t="shared" ref="M113:W113" si="108">+SUMIF($L$6:$L$102,$L$113,M6:M102)</f>
        <v>615</v>
      </c>
      <c r="N113" s="379">
        <f t="shared" si="108"/>
        <v>629</v>
      </c>
      <c r="O113" s="379">
        <f t="shared" si="108"/>
        <v>629</v>
      </c>
      <c r="P113" s="379">
        <f t="shared" si="108"/>
        <v>631</v>
      </c>
      <c r="Q113" s="379">
        <f t="shared" si="108"/>
        <v>629</v>
      </c>
      <c r="R113" s="379">
        <f t="shared" si="108"/>
        <v>629</v>
      </c>
      <c r="S113" s="379">
        <f t="shared" si="108"/>
        <v>629</v>
      </c>
      <c r="T113" s="379">
        <f t="shared" si="108"/>
        <v>629</v>
      </c>
      <c r="U113" s="379">
        <f t="shared" si="108"/>
        <v>629</v>
      </c>
      <c r="V113" s="379">
        <f t="shared" si="108"/>
        <v>0</v>
      </c>
      <c r="W113" s="379">
        <f t="shared" si="108"/>
        <v>0</v>
      </c>
      <c r="X113" s="340"/>
      <c r="Y113" s="340"/>
      <c r="Z113" s="340"/>
      <c r="AA113" s="340"/>
      <c r="AB113" s="91"/>
      <c r="AC113" s="91"/>
      <c r="AD113" s="91"/>
      <c r="AE113" s="95"/>
      <c r="AF113" s="158"/>
      <c r="AG113" s="158"/>
      <c r="AK113" s="183"/>
      <c r="AR113" s="434"/>
    </row>
    <row r="114" spans="2:44" s="98" customFormat="1" ht="62.25" customHeight="1" thickTop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212"/>
      <c r="L114" s="384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40"/>
      <c r="Y114" s="340"/>
      <c r="Z114" s="340"/>
      <c r="AA114" s="340"/>
      <c r="AB114" s="91"/>
      <c r="AC114" s="91"/>
      <c r="AD114" s="91"/>
      <c r="AE114" s="95"/>
      <c r="AF114" s="158"/>
      <c r="AG114" s="158"/>
      <c r="AK114" s="183"/>
      <c r="AR114" s="434"/>
    </row>
    <row r="115" spans="2:44" s="98" customFormat="1" ht="62.25" customHeight="1" thickBot="1" x14ac:dyDescent="0.95">
      <c r="B115" s="94"/>
      <c r="C115" s="94"/>
      <c r="D115" s="92"/>
      <c r="E115" s="92"/>
      <c r="F115" s="92"/>
      <c r="G115" s="92"/>
      <c r="H115" s="92"/>
      <c r="I115" s="92"/>
      <c r="J115" s="93"/>
      <c r="K115" s="212"/>
      <c r="L115" s="384"/>
      <c r="M115" s="340"/>
      <c r="N115" s="340"/>
      <c r="O115" s="340"/>
      <c r="P115" s="340"/>
      <c r="Q115" s="387"/>
      <c r="R115" s="387"/>
      <c r="S115" s="387"/>
      <c r="T115" s="387"/>
      <c r="U115" s="387"/>
      <c r="V115" s="387"/>
      <c r="W115" s="387"/>
      <c r="X115" s="340"/>
      <c r="Y115" s="340"/>
      <c r="Z115" s="340"/>
      <c r="AA115" s="340"/>
      <c r="AB115" s="91"/>
      <c r="AC115" s="91"/>
      <c r="AD115" s="91"/>
      <c r="AE115" s="95"/>
      <c r="AF115" s="158"/>
      <c r="AG115" s="158"/>
      <c r="AK115" s="183"/>
      <c r="AR115" s="434"/>
    </row>
    <row r="116" spans="2:44" s="98" customFormat="1" ht="94.5" customHeight="1" thickTop="1" thickBot="1" x14ac:dyDescent="0.95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385" t="s">
        <v>13</v>
      </c>
      <c r="M116" s="379">
        <f>+M113+M110+M107</f>
        <v>632</v>
      </c>
      <c r="N116" s="379">
        <f t="shared" ref="N116:W116" si="109">+N113+N110+N107</f>
        <v>646</v>
      </c>
      <c r="O116" s="379">
        <f t="shared" si="109"/>
        <v>646</v>
      </c>
      <c r="P116" s="379">
        <f t="shared" si="109"/>
        <v>648</v>
      </c>
      <c r="Q116" s="379">
        <f t="shared" si="109"/>
        <v>646</v>
      </c>
      <c r="R116" s="379">
        <f t="shared" si="109"/>
        <v>646</v>
      </c>
      <c r="S116" s="379">
        <f t="shared" si="109"/>
        <v>646</v>
      </c>
      <c r="T116" s="379">
        <f t="shared" si="109"/>
        <v>644</v>
      </c>
      <c r="U116" s="379">
        <f t="shared" si="109"/>
        <v>644</v>
      </c>
      <c r="V116" s="379">
        <f t="shared" si="109"/>
        <v>0</v>
      </c>
      <c r="W116" s="379">
        <f t="shared" si="109"/>
        <v>0</v>
      </c>
      <c r="X116" s="340"/>
      <c r="Y116" s="340"/>
      <c r="Z116" s="340"/>
      <c r="AA116" s="340"/>
      <c r="AB116" s="91"/>
      <c r="AC116" s="91"/>
      <c r="AD116" s="91"/>
      <c r="AE116" s="95"/>
      <c r="AF116" s="155"/>
      <c r="AG116" s="155"/>
      <c r="AK116" s="183"/>
      <c r="AR116" s="434"/>
    </row>
    <row r="117" spans="2:44" s="98" customFormat="1" ht="62.25" thickTop="1" x14ac:dyDescent="0.9">
      <c r="B117" s="94"/>
      <c r="C117" s="94"/>
      <c r="D117" s="92"/>
      <c r="E117" s="92"/>
      <c r="F117" s="92"/>
      <c r="G117" s="92"/>
      <c r="H117" s="92"/>
      <c r="I117" s="92"/>
      <c r="J117" s="93"/>
      <c r="K117" s="92"/>
      <c r="L117" s="389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91"/>
      <c r="AC117" s="91"/>
      <c r="AD117" s="91"/>
      <c r="AE117" s="95"/>
      <c r="AF117" s="158"/>
      <c r="AG117" s="158"/>
      <c r="AK117" s="183"/>
      <c r="AR117" s="434"/>
    </row>
    <row r="118" spans="2:44" x14ac:dyDescent="0.9">
      <c r="J118" s="91"/>
      <c r="K118" s="91"/>
      <c r="T118" s="515"/>
      <c r="U118" s="515"/>
      <c r="V118" s="515"/>
      <c r="AF118" s="158"/>
      <c r="AG118" s="158"/>
    </row>
    <row r="119" spans="2:44" ht="105" customHeight="1" x14ac:dyDescent="0.9">
      <c r="B119" s="426"/>
      <c r="AF119" s="158"/>
      <c r="AG119" s="158"/>
    </row>
    <row r="120" spans="2:44" s="98" customFormat="1" x14ac:dyDescent="0.9">
      <c r="B120" s="94"/>
      <c r="C120" s="94"/>
      <c r="D120" s="92"/>
      <c r="E120" s="92"/>
      <c r="F120" s="92"/>
      <c r="G120" s="92"/>
      <c r="H120" s="92"/>
      <c r="I120" s="92"/>
      <c r="J120" s="93"/>
      <c r="K120" s="92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8"/>
      <c r="AG120" s="158"/>
      <c r="AK120" s="183"/>
      <c r="AR120" s="434"/>
    </row>
    <row r="121" spans="2:44" s="98" customFormat="1" x14ac:dyDescent="0.9">
      <c r="B121" s="94"/>
      <c r="C121" s="94"/>
      <c r="D121" s="92"/>
      <c r="E121" s="92"/>
      <c r="F121" s="92"/>
      <c r="G121" s="92"/>
      <c r="H121" s="92"/>
      <c r="I121" s="91"/>
      <c r="J121" s="93"/>
      <c r="K121" s="92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8"/>
      <c r="AG121" s="158"/>
      <c r="AK121" s="183"/>
      <c r="AR121" s="434"/>
    </row>
    <row r="122" spans="2:44" s="98" customFormat="1" x14ac:dyDescent="0.9">
      <c r="B122" s="94"/>
      <c r="C122" s="94"/>
      <c r="D122" s="92"/>
      <c r="E122" s="92"/>
      <c r="F122" s="92"/>
      <c r="G122" s="92"/>
      <c r="H122" s="92"/>
      <c r="I122" s="92"/>
      <c r="J122" s="93"/>
      <c r="K122" s="92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8"/>
      <c r="AG122" s="158"/>
      <c r="AK122" s="183"/>
      <c r="AR122" s="434"/>
    </row>
    <row r="123" spans="2:44" s="98" customFormat="1" ht="66" customHeight="1" x14ac:dyDescent="0.9">
      <c r="B123" s="94"/>
      <c r="C123" s="94"/>
      <c r="D123" s="92"/>
      <c r="E123" s="92"/>
      <c r="F123" s="92"/>
      <c r="G123" s="92"/>
      <c r="H123" s="92"/>
      <c r="I123" s="92"/>
      <c r="J123" s="93"/>
      <c r="K123" s="92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8"/>
      <c r="AG123" s="158"/>
      <c r="AK123" s="183"/>
      <c r="AR123" s="434"/>
    </row>
    <row r="125" spans="2:44" s="92" customFormat="1" x14ac:dyDescent="0.7">
      <c r="B125" s="94"/>
      <c r="C125" s="94"/>
      <c r="D125" s="92">
        <v>2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30" spans="2:44" s="92" customFormat="1" x14ac:dyDescent="0.7">
      <c r="B130" s="94"/>
      <c r="C130" s="94"/>
      <c r="H130" s="92">
        <v>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/>
      <c r="AF130" s="155"/>
      <c r="AG130" s="155"/>
      <c r="AH130" s="98"/>
      <c r="AI130" s="98"/>
      <c r="AJ130" s="98"/>
      <c r="AK130" s="183"/>
      <c r="AL130" s="91"/>
      <c r="AM130" s="91"/>
      <c r="AR130" s="243"/>
    </row>
    <row r="131" spans="2:44" s="92" customFormat="1" x14ac:dyDescent="0.7">
      <c r="B131" s="94"/>
      <c r="C131" s="94"/>
      <c r="H131" s="92">
        <v>6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/>
      <c r="AF131" s="155"/>
      <c r="AG131" s="155"/>
      <c r="AH131" s="98"/>
      <c r="AI131" s="98"/>
      <c r="AJ131" s="98"/>
      <c r="AK131" s="183"/>
      <c r="AL131" s="91"/>
      <c r="AM131" s="91"/>
      <c r="AR131" s="243"/>
    </row>
    <row r="132" spans="2:44" s="92" customFormat="1" x14ac:dyDescent="0.7">
      <c r="B132" s="94"/>
      <c r="C132" s="94"/>
      <c r="H132" s="92">
        <v>7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5"/>
      <c r="AF132" s="155"/>
      <c r="AG132" s="155"/>
      <c r="AH132" s="98"/>
      <c r="AI132" s="98"/>
      <c r="AJ132" s="98"/>
      <c r="AK132" s="183"/>
      <c r="AL132" s="91"/>
      <c r="AM132" s="91"/>
      <c r="AR132" s="243"/>
    </row>
    <row r="133" spans="2:44" s="92" customFormat="1" x14ac:dyDescent="0.7">
      <c r="B133" s="94"/>
      <c r="C133" s="94"/>
      <c r="H133" s="92">
        <v>8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5"/>
      <c r="AG133" s="155"/>
      <c r="AH133" s="98"/>
      <c r="AI133" s="98"/>
      <c r="AJ133" s="98"/>
      <c r="AK133" s="183"/>
      <c r="AL133" s="91"/>
      <c r="AM133" s="91"/>
      <c r="AR133" s="243"/>
    </row>
    <row r="134" spans="2:44" s="92" customFormat="1" x14ac:dyDescent="0.7">
      <c r="B134" s="94"/>
      <c r="C134" s="94"/>
      <c r="H134" s="92">
        <v>11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5"/>
      <c r="AF134" s="155"/>
      <c r="AG134" s="155"/>
      <c r="AH134" s="98"/>
      <c r="AI134" s="98"/>
      <c r="AJ134" s="98"/>
      <c r="AK134" s="183"/>
      <c r="AL134" s="91"/>
      <c r="AM134" s="91"/>
      <c r="AR134" s="243"/>
    </row>
    <row r="135" spans="2:44" s="92" customFormat="1" x14ac:dyDescent="0.7">
      <c r="B135" s="94"/>
      <c r="C135" s="94"/>
      <c r="H135" s="92">
        <v>12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5"/>
      <c r="AF135" s="155"/>
      <c r="AG135" s="155"/>
      <c r="AH135" s="98"/>
      <c r="AI135" s="98"/>
      <c r="AJ135" s="98"/>
      <c r="AK135" s="183"/>
      <c r="AL135" s="91"/>
      <c r="AM135" s="91"/>
      <c r="AR135" s="243"/>
    </row>
    <row r="136" spans="2:44" s="92" customFormat="1" x14ac:dyDescent="0.7">
      <c r="B136" s="94"/>
      <c r="C136" s="94"/>
      <c r="H136" s="92">
        <v>13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5"/>
      <c r="AF136" s="155"/>
      <c r="AG136" s="155"/>
      <c r="AH136" s="98"/>
      <c r="AI136" s="98"/>
      <c r="AJ136" s="98"/>
      <c r="AK136" s="183"/>
      <c r="AL136" s="91"/>
      <c r="AM136" s="91"/>
      <c r="AR136" s="243"/>
    </row>
    <row r="137" spans="2:44" s="92" customFormat="1" x14ac:dyDescent="0.7">
      <c r="B137" s="94"/>
      <c r="C137" s="94"/>
      <c r="H137" s="92">
        <v>14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5"/>
      <c r="AF137" s="155"/>
      <c r="AG137" s="155"/>
      <c r="AH137" s="98"/>
      <c r="AI137" s="98"/>
      <c r="AJ137" s="98"/>
      <c r="AK137" s="183"/>
      <c r="AL137" s="91"/>
      <c r="AM137" s="91"/>
      <c r="AR137" s="243"/>
    </row>
    <row r="138" spans="2:44" s="92" customFormat="1" x14ac:dyDescent="0.7">
      <c r="B138" s="94"/>
      <c r="C138" s="94"/>
      <c r="H138" s="92">
        <v>15</v>
      </c>
      <c r="J138" s="93"/>
      <c r="L138" s="99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5"/>
      <c r="AF138" s="155"/>
      <c r="AG138" s="155"/>
      <c r="AH138" s="98"/>
      <c r="AI138" s="98"/>
      <c r="AJ138" s="98"/>
      <c r="AK138" s="183"/>
      <c r="AL138" s="91"/>
      <c r="AM138" s="91"/>
      <c r="AR138" s="243"/>
    </row>
    <row r="139" spans="2:44" s="92" customFormat="1" x14ac:dyDescent="0.7">
      <c r="B139" s="94"/>
      <c r="C139" s="94"/>
      <c r="H139" s="92">
        <v>17</v>
      </c>
      <c r="J139" s="93"/>
      <c r="L139" s="99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5"/>
      <c r="AF139" s="155"/>
      <c r="AG139" s="155"/>
      <c r="AH139" s="98"/>
      <c r="AI139" s="98"/>
      <c r="AJ139" s="98"/>
      <c r="AK139" s="183"/>
      <c r="AL139" s="91"/>
      <c r="AM139" s="91"/>
      <c r="AR139" s="243"/>
    </row>
    <row r="140" spans="2:44" s="92" customFormat="1" x14ac:dyDescent="0.7">
      <c r="B140" s="94"/>
      <c r="C140" s="94"/>
      <c r="H140" s="92">
        <v>18</v>
      </c>
      <c r="J140" s="93"/>
      <c r="L140" s="99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5"/>
      <c r="AF140" s="155"/>
      <c r="AG140" s="155"/>
      <c r="AH140" s="98"/>
      <c r="AI140" s="98"/>
      <c r="AJ140" s="98"/>
      <c r="AK140" s="183"/>
      <c r="AL140" s="91"/>
      <c r="AM140" s="91"/>
      <c r="AR140" s="243"/>
    </row>
    <row r="141" spans="2:44" s="92" customFormat="1" x14ac:dyDescent="0.7">
      <c r="B141" s="94"/>
      <c r="C141" s="94"/>
      <c r="H141" s="92">
        <v>19</v>
      </c>
      <c r="J141" s="93"/>
      <c r="L141" s="99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5"/>
      <c r="AF141" s="155"/>
      <c r="AG141" s="155"/>
      <c r="AH141" s="98"/>
      <c r="AI141" s="98"/>
      <c r="AJ141" s="98"/>
      <c r="AK141" s="183"/>
      <c r="AL141" s="91"/>
      <c r="AM141" s="91"/>
      <c r="AR141" s="243"/>
    </row>
    <row r="197" spans="2:44" s="92" customFormat="1" x14ac:dyDescent="0.7">
      <c r="B197" s="94"/>
      <c r="C197" s="94"/>
      <c r="G197" s="92">
        <v>1</v>
      </c>
      <c r="J197" s="93"/>
      <c r="L197" s="99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5"/>
      <c r="AF197" s="155"/>
      <c r="AG197" s="155"/>
      <c r="AH197" s="98"/>
      <c r="AI197" s="98"/>
      <c r="AJ197" s="98"/>
      <c r="AK197" s="183"/>
      <c r="AL197" s="91"/>
      <c r="AM197" s="91"/>
      <c r="AR197" s="243"/>
    </row>
  </sheetData>
  <sheetProtection algorithmName="SHA-512" hashValue="VNDDvJ4KRX+K74smHOR4WzA+EcqULZHrXhWnGelgm79dyadK9ADLJ8Mh8C794d3PGf2Yd6aQqAUuSmsPFBiBXg==" saltValue="JqPCri+jgvjnFNzygV33cQ==" spinCount="100000" sheet="1" autoFilter="0"/>
  <autoFilter ref="A5:CR101">
    <filterColumn colId="9" showButton="0"/>
  </autoFilter>
  <mergeCells count="70">
    <mergeCell ref="T118:V118"/>
    <mergeCell ref="Z70:Z72"/>
    <mergeCell ref="Z78:Z80"/>
    <mergeCell ref="AW79:BF79"/>
    <mergeCell ref="Z82:Z84"/>
    <mergeCell ref="AW83:BG83"/>
    <mergeCell ref="Z86:Z88"/>
    <mergeCell ref="AW87:BG87"/>
    <mergeCell ref="Z74:Z76"/>
    <mergeCell ref="Z90:Z92"/>
    <mergeCell ref="Z94:Z96"/>
    <mergeCell ref="Z98:Z100"/>
    <mergeCell ref="Z103:AA103"/>
    <mergeCell ref="Z105:AA105"/>
    <mergeCell ref="Z58:Z60"/>
    <mergeCell ref="AW59:BF59"/>
    <mergeCell ref="Z62:Z64"/>
    <mergeCell ref="Z66:Z68"/>
    <mergeCell ref="Z38:Z40"/>
    <mergeCell ref="Z42:Z44"/>
    <mergeCell ref="AW43:BF43"/>
    <mergeCell ref="Z46:Z48"/>
    <mergeCell ref="AW47:BF47"/>
    <mergeCell ref="Z54:Z56"/>
    <mergeCell ref="Z50:Z52"/>
    <mergeCell ref="AW51:BF51"/>
    <mergeCell ref="Z34:Z36"/>
    <mergeCell ref="J5:K5"/>
    <mergeCell ref="Z6:Z8"/>
    <mergeCell ref="AW7:BF7"/>
    <mergeCell ref="Z10:Z12"/>
    <mergeCell ref="AW11:BF11"/>
    <mergeCell ref="Z14:Z16"/>
    <mergeCell ref="AW15:BF15"/>
    <mergeCell ref="Z18:Z20"/>
    <mergeCell ref="AW19:BF19"/>
    <mergeCell ref="Z22:Z24"/>
    <mergeCell ref="Z26:Z28"/>
    <mergeCell ref="Z30:Z32"/>
    <mergeCell ref="AD1:AE1"/>
    <mergeCell ref="AD2:AE3"/>
    <mergeCell ref="H3:I3"/>
    <mergeCell ref="K3:L3"/>
    <mergeCell ref="B4:G4"/>
    <mergeCell ref="K4:L4"/>
    <mergeCell ref="AD4:AE4"/>
    <mergeCell ref="G6:G9"/>
    <mergeCell ref="G10:G13"/>
    <mergeCell ref="G14:G17"/>
    <mergeCell ref="G18:G21"/>
    <mergeCell ref="G22:G25"/>
    <mergeCell ref="G26:G29"/>
    <mergeCell ref="G30:G33"/>
    <mergeCell ref="G34:G37"/>
    <mergeCell ref="G38:G41"/>
    <mergeCell ref="G42:G45"/>
    <mergeCell ref="G46:G49"/>
    <mergeCell ref="G50:G53"/>
    <mergeCell ref="G54:G57"/>
    <mergeCell ref="G58:G61"/>
    <mergeCell ref="G62:G65"/>
    <mergeCell ref="G86:G89"/>
    <mergeCell ref="G90:G93"/>
    <mergeCell ref="G94:G97"/>
    <mergeCell ref="G98:G101"/>
    <mergeCell ref="G66:G69"/>
    <mergeCell ref="G70:G73"/>
    <mergeCell ref="G74:G77"/>
    <mergeCell ref="G78:G81"/>
    <mergeCell ref="G82:G85"/>
  </mergeCells>
  <conditionalFormatting sqref="AD2:AE3">
    <cfRule type="cellIs" dxfId="12581" priority="507" operator="lessThan">
      <formula>0.85</formula>
    </cfRule>
  </conditionalFormatting>
  <conditionalFormatting sqref="AM1:AM5 AM102:AM1048576">
    <cfRule type="cellIs" dxfId="12580" priority="506" operator="notEqual">
      <formula>0</formula>
    </cfRule>
  </conditionalFormatting>
  <conditionalFormatting sqref="AQ102:AQ104 AQ6 AQ58">
    <cfRule type="cellIs" dxfId="12579" priority="505" operator="lessThan">
      <formula>0</formula>
    </cfRule>
  </conditionalFormatting>
  <conditionalFormatting sqref="X102:Y102 X54:X73 X78:X101">
    <cfRule type="cellIs" dxfId="12578" priority="504" operator="lessThan">
      <formula>0</formula>
    </cfRule>
  </conditionalFormatting>
  <conditionalFormatting sqref="AM22:AM25">
    <cfRule type="cellIs" dxfId="12577" priority="502" operator="notEqual">
      <formula>0</formula>
    </cfRule>
  </conditionalFormatting>
  <conditionalFormatting sqref="I24">
    <cfRule type="cellIs" dxfId="12576" priority="501" operator="greaterThan">
      <formula>0</formula>
    </cfRule>
  </conditionalFormatting>
  <conditionalFormatting sqref="AQ6 AQ8:AQ9">
    <cfRule type="cellIs" dxfId="12575" priority="500" operator="lessThan">
      <formula>0</formula>
    </cfRule>
  </conditionalFormatting>
  <conditionalFormatting sqref="J24">
    <cfRule type="cellIs" dxfId="12574" priority="499" operator="greaterThan">
      <formula>0</formula>
    </cfRule>
  </conditionalFormatting>
  <conditionalFormatting sqref="AM70:AM73">
    <cfRule type="cellIs" dxfId="12573" priority="497" operator="notEqual">
      <formula>0</formula>
    </cfRule>
  </conditionalFormatting>
  <conditionalFormatting sqref="I72">
    <cfRule type="cellIs" dxfId="12572" priority="496" operator="greaterThan">
      <formula>0</formula>
    </cfRule>
  </conditionalFormatting>
  <conditionalFormatting sqref="AM18:AM21">
    <cfRule type="cellIs" dxfId="12571" priority="491" operator="notEqual">
      <formula>0</formula>
    </cfRule>
  </conditionalFormatting>
  <conditionalFormatting sqref="I20">
    <cfRule type="cellIs" dxfId="12570" priority="490" operator="greaterThan">
      <formula>0</formula>
    </cfRule>
  </conditionalFormatting>
  <conditionalFormatting sqref="J20">
    <cfRule type="cellIs" dxfId="12569" priority="489" operator="greaterThan">
      <formula>0</formula>
    </cfRule>
  </conditionalFormatting>
  <conditionalFormatting sqref="AM6:AM9">
    <cfRule type="cellIs" dxfId="12568" priority="488" operator="notEqual">
      <formula>0</formula>
    </cfRule>
  </conditionalFormatting>
  <conditionalFormatting sqref="I8">
    <cfRule type="cellIs" dxfId="12567" priority="487" operator="greaterThan">
      <formula>0</formula>
    </cfRule>
  </conditionalFormatting>
  <conditionalFormatting sqref="AQ6 AQ8:AQ9">
    <cfRule type="cellIs" dxfId="12566" priority="486" operator="lessThan">
      <formula>0</formula>
    </cfRule>
  </conditionalFormatting>
  <conditionalFormatting sqref="AM14:AM17">
    <cfRule type="cellIs" dxfId="12565" priority="484" operator="notEqual">
      <formula>0</formula>
    </cfRule>
  </conditionalFormatting>
  <conditionalFormatting sqref="I16">
    <cfRule type="cellIs" dxfId="12564" priority="483" operator="greaterThan">
      <formula>0</formula>
    </cfRule>
  </conditionalFormatting>
  <conditionalFormatting sqref="AM42:AM45">
    <cfRule type="cellIs" dxfId="12563" priority="481" operator="notEqual">
      <formula>0</formula>
    </cfRule>
  </conditionalFormatting>
  <conditionalFormatting sqref="I44">
    <cfRule type="cellIs" dxfId="12562" priority="480" operator="greaterThan">
      <formula>0</formula>
    </cfRule>
  </conditionalFormatting>
  <conditionalFormatting sqref="AM90:AM93">
    <cfRule type="cellIs" dxfId="12561" priority="478" operator="notEqual">
      <formula>0</formula>
    </cfRule>
  </conditionalFormatting>
  <conditionalFormatting sqref="I92">
    <cfRule type="cellIs" dxfId="12560" priority="477" operator="greaterThan">
      <formula>0</formula>
    </cfRule>
  </conditionalFormatting>
  <conditionalFormatting sqref="AM62:AM65">
    <cfRule type="cellIs" dxfId="12559" priority="475" operator="notEqual">
      <formula>0</formula>
    </cfRule>
  </conditionalFormatting>
  <conditionalFormatting sqref="I64">
    <cfRule type="cellIs" dxfId="12558" priority="474" operator="greaterThan">
      <formula>0</formula>
    </cfRule>
  </conditionalFormatting>
  <conditionalFormatting sqref="J64">
    <cfRule type="cellIs" dxfId="12557" priority="473" operator="greaterThan">
      <formula>0</formula>
    </cfRule>
  </conditionalFormatting>
  <conditionalFormatting sqref="AQ6 AQ8:AQ9">
    <cfRule type="cellIs" dxfId="12556" priority="472" operator="lessThan">
      <formula>0</formula>
    </cfRule>
  </conditionalFormatting>
  <conditionalFormatting sqref="AQ6 AQ8:AQ9">
    <cfRule type="cellIs" dxfId="12555" priority="471" operator="lessThan">
      <formula>0</formula>
    </cfRule>
  </conditionalFormatting>
  <conditionalFormatting sqref="J92">
    <cfRule type="cellIs" dxfId="12554" priority="470" operator="greaterThan">
      <formula>0</formula>
    </cfRule>
  </conditionalFormatting>
  <conditionalFormatting sqref="J44">
    <cfRule type="cellIs" dxfId="12553" priority="469" operator="greaterThan">
      <formula>0</formula>
    </cfRule>
  </conditionalFormatting>
  <conditionalFormatting sqref="AM66:AM69">
    <cfRule type="cellIs" dxfId="12552" priority="466" operator="notEqual">
      <formula>0</formula>
    </cfRule>
  </conditionalFormatting>
  <conditionalFormatting sqref="I68">
    <cfRule type="cellIs" dxfId="12551" priority="465" operator="greaterThan">
      <formula>0</formula>
    </cfRule>
  </conditionalFormatting>
  <conditionalFormatting sqref="J68">
    <cfRule type="cellIs" dxfId="12550" priority="464" operator="greaterThan">
      <formula>0</formula>
    </cfRule>
  </conditionalFormatting>
  <conditionalFormatting sqref="AM78:AM81">
    <cfRule type="cellIs" dxfId="12549" priority="462" operator="notEqual">
      <formula>0</formula>
    </cfRule>
  </conditionalFormatting>
  <conditionalFormatting sqref="I80">
    <cfRule type="cellIs" dxfId="12548" priority="461" operator="greaterThan">
      <formula>0</formula>
    </cfRule>
  </conditionalFormatting>
  <conditionalFormatting sqref="AM82:AM85">
    <cfRule type="cellIs" dxfId="12547" priority="459" operator="notEqual">
      <formula>0</formula>
    </cfRule>
  </conditionalFormatting>
  <conditionalFormatting sqref="I84">
    <cfRule type="cellIs" dxfId="12546" priority="458" operator="greaterThan">
      <formula>0</formula>
    </cfRule>
  </conditionalFormatting>
  <conditionalFormatting sqref="AM98:AM101">
    <cfRule type="cellIs" dxfId="12545" priority="456" operator="notEqual">
      <formula>0</formula>
    </cfRule>
  </conditionalFormatting>
  <conditionalFormatting sqref="I100">
    <cfRule type="cellIs" dxfId="12544" priority="455" operator="greaterThan">
      <formula>0</formula>
    </cfRule>
  </conditionalFormatting>
  <conditionalFormatting sqref="J80">
    <cfRule type="cellIs" dxfId="12543" priority="454" operator="greaterThan">
      <formula>0</formula>
    </cfRule>
  </conditionalFormatting>
  <conditionalFormatting sqref="J84">
    <cfRule type="cellIs" dxfId="12542" priority="453" operator="greaterThan">
      <formula>0</formula>
    </cfRule>
  </conditionalFormatting>
  <conditionalFormatting sqref="J100">
    <cfRule type="cellIs" dxfId="12541" priority="452" operator="greaterThan">
      <formula>0</formula>
    </cfRule>
  </conditionalFormatting>
  <conditionalFormatting sqref="AM30:AM33">
    <cfRule type="cellIs" dxfId="12540" priority="450" operator="notEqual">
      <formula>0</formula>
    </cfRule>
  </conditionalFormatting>
  <conditionalFormatting sqref="I32">
    <cfRule type="cellIs" dxfId="12539" priority="449" operator="greaterThan">
      <formula>0</formula>
    </cfRule>
  </conditionalFormatting>
  <conditionalFormatting sqref="J32">
    <cfRule type="cellIs" dxfId="12538" priority="448" operator="greaterThan">
      <formula>0</formula>
    </cfRule>
  </conditionalFormatting>
  <conditionalFormatting sqref="J16">
    <cfRule type="cellIs" dxfId="12537" priority="447" operator="greaterThan">
      <formula>0</formula>
    </cfRule>
  </conditionalFormatting>
  <conditionalFormatting sqref="AM58:AM61">
    <cfRule type="cellIs" dxfId="12536" priority="445" operator="notEqual">
      <formula>0</formula>
    </cfRule>
  </conditionalFormatting>
  <conditionalFormatting sqref="I60">
    <cfRule type="cellIs" dxfId="12535" priority="444" operator="greaterThan">
      <formula>0</formula>
    </cfRule>
  </conditionalFormatting>
  <conditionalFormatting sqref="J60">
    <cfRule type="cellIs" dxfId="12534" priority="443" operator="greaterThan">
      <formula>0</formula>
    </cfRule>
  </conditionalFormatting>
  <conditionalFormatting sqref="AM46:AM49">
    <cfRule type="cellIs" dxfId="12533" priority="441" operator="notEqual">
      <formula>0</formula>
    </cfRule>
  </conditionalFormatting>
  <conditionalFormatting sqref="I48">
    <cfRule type="cellIs" dxfId="12532" priority="440" operator="greaterThan">
      <formula>0</formula>
    </cfRule>
  </conditionalFormatting>
  <conditionalFormatting sqref="AM34:AM37">
    <cfRule type="cellIs" dxfId="12531" priority="438" operator="notEqual">
      <formula>0</formula>
    </cfRule>
  </conditionalFormatting>
  <conditionalFormatting sqref="I36">
    <cfRule type="cellIs" dxfId="12530" priority="437" operator="greaterThan">
      <formula>0</formula>
    </cfRule>
  </conditionalFormatting>
  <conditionalFormatting sqref="J36">
    <cfRule type="cellIs" dxfId="12529" priority="436" operator="greaterThan">
      <formula>0</formula>
    </cfRule>
  </conditionalFormatting>
  <conditionalFormatting sqref="J8">
    <cfRule type="cellIs" dxfId="12528" priority="435" operator="greaterThan">
      <formula>0</formula>
    </cfRule>
  </conditionalFormatting>
  <conditionalFormatting sqref="J72">
    <cfRule type="cellIs" dxfId="12527" priority="434" operator="greaterThan">
      <formula>0</formula>
    </cfRule>
  </conditionalFormatting>
  <conditionalFormatting sqref="AQ8:AQ9">
    <cfRule type="cellIs" dxfId="12526" priority="433" operator="lessThan">
      <formula>0</formula>
    </cfRule>
  </conditionalFormatting>
  <conditionalFormatting sqref="AQ8:AQ9">
    <cfRule type="cellIs" dxfId="12525" priority="432" operator="lessThan">
      <formula>0</formula>
    </cfRule>
  </conditionalFormatting>
  <conditionalFormatting sqref="AQ8:AQ9">
    <cfRule type="cellIs" dxfId="12524" priority="431" operator="lessThan">
      <formula>0</formula>
    </cfRule>
  </conditionalFormatting>
  <conditionalFormatting sqref="AQ8:AQ9">
    <cfRule type="cellIs" dxfId="12523" priority="430" operator="lessThan">
      <formula>0</formula>
    </cfRule>
  </conditionalFormatting>
  <conditionalFormatting sqref="AQ7">
    <cfRule type="cellIs" dxfId="12522" priority="429" operator="lessThan">
      <formula>0</formula>
    </cfRule>
  </conditionalFormatting>
  <conditionalFormatting sqref="AQ7">
    <cfRule type="cellIs" dxfId="12521" priority="428" operator="lessThan">
      <formula>0</formula>
    </cfRule>
  </conditionalFormatting>
  <conditionalFormatting sqref="AQ7">
    <cfRule type="cellIs" dxfId="12520" priority="427" operator="lessThan">
      <formula>0</formula>
    </cfRule>
  </conditionalFormatting>
  <conditionalFormatting sqref="AQ7">
    <cfRule type="cellIs" dxfId="12519" priority="426" operator="lessThan">
      <formula>0</formula>
    </cfRule>
  </conditionalFormatting>
  <conditionalFormatting sqref="AQ7">
    <cfRule type="cellIs" dxfId="12518" priority="425" operator="lessThan">
      <formula>0</formula>
    </cfRule>
  </conditionalFormatting>
  <conditionalFormatting sqref="AQ7">
    <cfRule type="cellIs" dxfId="12517" priority="424" operator="lessThan">
      <formula>0</formula>
    </cfRule>
  </conditionalFormatting>
  <conditionalFormatting sqref="AQ7">
    <cfRule type="cellIs" dxfId="12516" priority="423" operator="lessThan">
      <formula>0</formula>
    </cfRule>
  </conditionalFormatting>
  <conditionalFormatting sqref="AQ7">
    <cfRule type="cellIs" dxfId="12515" priority="422" operator="lessThan">
      <formula>0</formula>
    </cfRule>
  </conditionalFormatting>
  <conditionalFormatting sqref="AQ7">
    <cfRule type="cellIs" dxfId="12514" priority="421" operator="lessThan">
      <formula>0</formula>
    </cfRule>
  </conditionalFormatting>
  <conditionalFormatting sqref="AQ7">
    <cfRule type="cellIs" dxfId="12513" priority="420" operator="lessThan">
      <formula>0</formula>
    </cfRule>
  </conditionalFormatting>
  <conditionalFormatting sqref="AQ7">
    <cfRule type="cellIs" dxfId="12512" priority="419" operator="lessThan">
      <formula>0</formula>
    </cfRule>
  </conditionalFormatting>
  <conditionalFormatting sqref="AQ7">
    <cfRule type="cellIs" dxfId="12511" priority="418" operator="lessThan">
      <formula>0</formula>
    </cfRule>
  </conditionalFormatting>
  <conditionalFormatting sqref="AQ7">
    <cfRule type="cellIs" dxfId="12510" priority="417" operator="lessThan">
      <formula>0</formula>
    </cfRule>
  </conditionalFormatting>
  <conditionalFormatting sqref="AQ7">
    <cfRule type="cellIs" dxfId="12509" priority="416" operator="lessThan">
      <formula>0</formula>
    </cfRule>
  </conditionalFormatting>
  <conditionalFormatting sqref="AQ7">
    <cfRule type="cellIs" dxfId="12508" priority="415" operator="lessThan">
      <formula>0</formula>
    </cfRule>
  </conditionalFormatting>
  <conditionalFormatting sqref="AQ7">
    <cfRule type="cellIs" dxfId="12507" priority="414" operator="lessThan">
      <formula>0</formula>
    </cfRule>
  </conditionalFormatting>
  <conditionalFormatting sqref="AM54:AM57">
    <cfRule type="cellIs" dxfId="12506" priority="412" operator="notEqual">
      <formula>0</formula>
    </cfRule>
  </conditionalFormatting>
  <conditionalFormatting sqref="I56">
    <cfRule type="cellIs" dxfId="12505" priority="411" operator="greaterThan">
      <formula>0</formula>
    </cfRule>
  </conditionalFormatting>
  <conditionalFormatting sqref="J56">
    <cfRule type="cellIs" dxfId="12504" priority="410" operator="greaterThan">
      <formula>0</formula>
    </cfRule>
  </conditionalFormatting>
  <conditionalFormatting sqref="AQ7">
    <cfRule type="cellIs" dxfId="12503" priority="394" operator="lessThan">
      <formula>0</formula>
    </cfRule>
  </conditionalFormatting>
  <conditionalFormatting sqref="AQ6 AQ10 AQ14 AQ18 AQ22 AQ26 AQ30 AQ34 AQ38 AQ42 AQ46 AQ50 AQ54 AQ58 AQ62 AQ66 AQ70 AQ74 AQ78 AQ82 AQ86 AQ90 AQ94 AQ98">
    <cfRule type="cellIs" dxfId="12502" priority="393" operator="lessThan">
      <formula>0</formula>
    </cfRule>
  </conditionalFormatting>
  <conditionalFormatting sqref="AQ6 AQ8:AQ10 AQ12:AQ14 AQ16:AQ18 AQ20:AQ22 AQ24:AQ26 AQ28:AQ30 AQ32:AQ34 AQ36:AQ38 AQ40:AQ42 AQ44:AQ46 AQ48:AQ50 AQ52:AQ54 AQ56:AQ58 AQ60:AQ62 AQ64:AQ66 AQ68:AQ70 AQ72:AQ74 AQ76:AQ78 AQ80:AQ82 AQ84:AQ86 AQ88:AQ90 AQ92:AQ94 AQ96:AQ98 AQ100:AQ101">
    <cfRule type="cellIs" dxfId="12501" priority="392" operator="lessThan">
      <formula>0</formula>
    </cfRule>
  </conditionalFormatting>
  <conditionalFormatting sqref="AQ6 AQ8:AQ10 AQ12:AQ14 AQ16:AQ18 AQ20:AQ22 AQ24:AQ26 AQ28:AQ30 AQ32:AQ34 AQ36:AQ38 AQ40:AQ42 AQ44:AQ46 AQ48:AQ50 AQ52:AQ54 AQ56:AQ58 AQ60:AQ62 AQ64:AQ66 AQ68:AQ70 AQ72:AQ74 AQ76:AQ78 AQ80:AQ82 AQ84:AQ86 AQ88:AQ90 AQ92:AQ94 AQ96:AQ98 AQ100:AQ101">
    <cfRule type="cellIs" dxfId="12500" priority="391" operator="lessThan">
      <formula>0</formula>
    </cfRule>
  </conditionalFormatting>
  <conditionalFormatting sqref="AQ6 AQ8:AQ10 AQ12:AQ14 AQ16:AQ18 AQ20:AQ22 AQ24:AQ26 AQ28:AQ30 AQ32:AQ34 AQ36:AQ38 AQ40:AQ42 AQ44:AQ46 AQ48:AQ50 AQ52:AQ54 AQ56:AQ58 AQ60:AQ62 AQ64:AQ66 AQ68:AQ70 AQ72:AQ74 AQ76:AQ78 AQ80:AQ82 AQ84:AQ86 AQ88:AQ90 AQ92:AQ94 AQ96:AQ98 AQ100:AQ101">
    <cfRule type="cellIs" dxfId="12499" priority="390" operator="lessThan">
      <formula>0</formula>
    </cfRule>
  </conditionalFormatting>
  <conditionalFormatting sqref="AQ6 AQ8:AQ10 AQ12:AQ14 AQ16:AQ18 AQ20:AQ22 AQ24:AQ26 AQ28:AQ30 AQ32:AQ34 AQ36:AQ38 AQ40:AQ42 AQ44:AQ46 AQ48:AQ50 AQ52:AQ54 AQ56:AQ58 AQ60:AQ62 AQ64:AQ66 AQ68:AQ70 AQ72:AQ74 AQ76:AQ78 AQ80:AQ82 AQ84:AQ86 AQ88:AQ90 AQ92:AQ94 AQ96:AQ98 AQ100:AQ101">
    <cfRule type="cellIs" dxfId="12498" priority="389" operator="lessThan">
      <formula>0</formula>
    </cfRule>
  </conditionalFormatting>
  <conditionalFormatting sqref="AQ8:AQ9 AQ12:AQ13 AQ16:AQ17 AQ20:AQ21 AQ24:AQ25 AQ28:AQ29 AQ32:AQ33 AQ36:AQ37 AQ40:AQ41 AQ44:AQ45 AQ48:AQ49 AQ52:AQ53 AQ56:AQ57 AQ60:AQ61 AQ64:AQ65 AQ68:AQ69 AQ72:AQ73 AQ76:AQ77 AQ80:AQ81 AQ84:AQ85 AQ88:AQ89 AQ92:AQ93 AQ96:AQ97 AQ100:AQ101">
    <cfRule type="cellIs" dxfId="12497" priority="388" operator="lessThan">
      <formula>0</formula>
    </cfRule>
  </conditionalFormatting>
  <conditionalFormatting sqref="AQ8:AQ9 AQ12:AQ13 AQ16:AQ17 AQ20:AQ21 AQ24:AQ25 AQ28:AQ29 AQ32:AQ33 AQ36:AQ37 AQ40:AQ41 AQ44:AQ45 AQ48:AQ49 AQ52:AQ53 AQ56:AQ57 AQ60:AQ61 AQ64:AQ65 AQ68:AQ69 AQ72:AQ73 AQ76:AQ77 AQ80:AQ81 AQ84:AQ85 AQ88:AQ89 AQ92:AQ93 AQ96:AQ97 AQ100:AQ101">
    <cfRule type="cellIs" dxfId="12496" priority="387" operator="lessThan">
      <formula>0</formula>
    </cfRule>
  </conditionalFormatting>
  <conditionalFormatting sqref="AQ8:AQ9 AQ12:AQ13 AQ16:AQ17 AQ20:AQ21 AQ24:AQ25 AQ28:AQ29 AQ32:AQ33 AQ36:AQ37 AQ40:AQ41 AQ44:AQ45 AQ48:AQ49 AQ52:AQ53 AQ56:AQ57 AQ60:AQ61 AQ64:AQ65 AQ68:AQ69 AQ72:AQ73 AQ76:AQ77 AQ80:AQ81 AQ84:AQ85 AQ88:AQ89 AQ92:AQ93 AQ96:AQ97 AQ100:AQ101">
    <cfRule type="cellIs" dxfId="12495" priority="386" operator="lessThan">
      <formula>0</formula>
    </cfRule>
  </conditionalFormatting>
  <conditionalFormatting sqref="AQ8:AQ9 AQ12:AQ13 AQ16:AQ17 AQ20:AQ21 AQ24:AQ25 AQ28:AQ29 AQ32:AQ33 AQ36:AQ37 AQ40:AQ41 AQ44:AQ45 AQ48:AQ49 AQ52:AQ53 AQ56:AQ57 AQ60:AQ61 AQ64:AQ65 AQ68:AQ69 AQ72:AQ73 AQ76:AQ77 AQ80:AQ81 AQ84:AQ85 AQ88:AQ89 AQ92:AQ93 AQ96:AQ97 AQ100:AQ101">
    <cfRule type="cellIs" dxfId="12494" priority="385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93" priority="384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92" priority="383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91" priority="382" operator="lessThan">
      <formula>0</formula>
    </cfRule>
  </conditionalFormatting>
  <conditionalFormatting sqref="AQ7">
    <cfRule type="cellIs" dxfId="12490" priority="409" operator="lessThan">
      <formula>0</formula>
    </cfRule>
  </conditionalFormatting>
  <conditionalFormatting sqref="AQ7">
    <cfRule type="cellIs" dxfId="12489" priority="408" operator="lessThan">
      <formula>0</formula>
    </cfRule>
  </conditionalFormatting>
  <conditionalFormatting sqref="AQ7">
    <cfRule type="cellIs" dxfId="12488" priority="407" operator="lessThan">
      <formula>0</formula>
    </cfRule>
  </conditionalFormatting>
  <conditionalFormatting sqref="AQ7">
    <cfRule type="cellIs" dxfId="12487" priority="406" operator="lessThan">
      <formula>0</formula>
    </cfRule>
  </conditionalFormatting>
  <conditionalFormatting sqref="AQ7">
    <cfRule type="cellIs" dxfId="12486" priority="405" operator="lessThan">
      <formula>0</formula>
    </cfRule>
  </conditionalFormatting>
  <conditionalFormatting sqref="AQ7">
    <cfRule type="cellIs" dxfId="12485" priority="404" operator="lessThan">
      <formula>0</formula>
    </cfRule>
  </conditionalFormatting>
  <conditionalFormatting sqref="AQ7">
    <cfRule type="cellIs" dxfId="12484" priority="403" operator="lessThan">
      <formula>0</formula>
    </cfRule>
  </conditionalFormatting>
  <conditionalFormatting sqref="AQ7">
    <cfRule type="cellIs" dxfId="12483" priority="402" operator="lessThan">
      <formula>0</formula>
    </cfRule>
  </conditionalFormatting>
  <conditionalFormatting sqref="AQ7">
    <cfRule type="cellIs" dxfId="12482" priority="401" operator="lessThan">
      <formula>0</formula>
    </cfRule>
  </conditionalFormatting>
  <conditionalFormatting sqref="AQ7">
    <cfRule type="cellIs" dxfId="12481" priority="400" operator="lessThan">
      <formula>0</formula>
    </cfRule>
  </conditionalFormatting>
  <conditionalFormatting sqref="AQ7">
    <cfRule type="cellIs" dxfId="12480" priority="399" operator="lessThan">
      <formula>0</formula>
    </cfRule>
  </conditionalFormatting>
  <conditionalFormatting sqref="AQ7">
    <cfRule type="cellIs" dxfId="12479" priority="398" operator="lessThan">
      <formula>0</formula>
    </cfRule>
  </conditionalFormatting>
  <conditionalFormatting sqref="AQ7">
    <cfRule type="cellIs" dxfId="12478" priority="397" operator="lessThan">
      <formula>0</formula>
    </cfRule>
  </conditionalFormatting>
  <conditionalFormatting sqref="AQ7">
    <cfRule type="cellIs" dxfId="12477" priority="396" operator="lessThan">
      <formula>0</formula>
    </cfRule>
  </conditionalFormatting>
  <conditionalFormatting sqref="AQ7">
    <cfRule type="cellIs" dxfId="12476" priority="395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75" priority="381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74" priority="380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73" priority="379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72" priority="378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71" priority="377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70" priority="376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9" priority="375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8" priority="374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7" priority="373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6" priority="372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5" priority="371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4" priority="370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3" priority="369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2" priority="368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1" priority="367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60" priority="366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9" priority="365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8" priority="364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7" priority="363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6" priority="362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5" priority="361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4" priority="360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3" priority="359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2" priority="358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1" priority="357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50" priority="356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49" priority="355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48" priority="354" operator="lessThan">
      <formula>0</formula>
    </cfRule>
  </conditionalFormatting>
  <conditionalFormatting sqref="AQ7 AQ11 AQ15 AQ19 AQ23 AQ27 AQ31 AQ35 AQ39 AQ43 AQ47 AQ51 AQ55 AQ59 AQ63 AQ67 AQ71 AQ75 AQ79 AQ83 AQ87 AQ91 AQ95 AQ99">
    <cfRule type="cellIs" dxfId="12447" priority="353" operator="lessThan">
      <formula>0</formula>
    </cfRule>
  </conditionalFormatting>
  <conditionalFormatting sqref="AQ10">
    <cfRule type="cellIs" dxfId="12446" priority="352" operator="lessThan">
      <formula>0</formula>
    </cfRule>
  </conditionalFormatting>
  <conditionalFormatting sqref="AQ10 AQ12:AQ13">
    <cfRule type="cellIs" dxfId="12445" priority="351" operator="lessThan">
      <formula>0</formula>
    </cfRule>
  </conditionalFormatting>
  <conditionalFormatting sqref="AM10:AM13">
    <cfRule type="cellIs" dxfId="12444" priority="350" operator="notEqual">
      <formula>0</formula>
    </cfRule>
  </conditionalFormatting>
  <conditionalFormatting sqref="I12">
    <cfRule type="cellIs" dxfId="12443" priority="349" operator="greaterThan">
      <formula>0</formula>
    </cfRule>
  </conditionalFormatting>
  <conditionalFormatting sqref="AQ10 AQ12:AQ13">
    <cfRule type="cellIs" dxfId="12442" priority="348" operator="lessThan">
      <formula>0</formula>
    </cfRule>
  </conditionalFormatting>
  <conditionalFormatting sqref="AQ10 AQ12:AQ13">
    <cfRule type="cellIs" dxfId="12441" priority="347" operator="lessThan">
      <formula>0</formula>
    </cfRule>
  </conditionalFormatting>
  <conditionalFormatting sqref="AQ10 AQ12:AQ13">
    <cfRule type="cellIs" dxfId="12440" priority="346" operator="lessThan">
      <formula>0</formula>
    </cfRule>
  </conditionalFormatting>
  <conditionalFormatting sqref="J12">
    <cfRule type="cellIs" dxfId="12439" priority="345" operator="greaterThan">
      <formula>0</formula>
    </cfRule>
  </conditionalFormatting>
  <conditionalFormatting sqref="AQ12:AQ13">
    <cfRule type="cellIs" dxfId="12438" priority="344" operator="lessThan">
      <formula>0</formula>
    </cfRule>
  </conditionalFormatting>
  <conditionalFormatting sqref="AQ12:AQ13">
    <cfRule type="cellIs" dxfId="12437" priority="343" operator="lessThan">
      <formula>0</formula>
    </cfRule>
  </conditionalFormatting>
  <conditionalFormatting sqref="AQ12:AQ13">
    <cfRule type="cellIs" dxfId="12436" priority="342" operator="lessThan">
      <formula>0</formula>
    </cfRule>
  </conditionalFormatting>
  <conditionalFormatting sqref="AQ12:AQ13">
    <cfRule type="cellIs" dxfId="12435" priority="341" operator="lessThan">
      <formula>0</formula>
    </cfRule>
  </conditionalFormatting>
  <conditionalFormatting sqref="AQ11">
    <cfRule type="cellIs" dxfId="12434" priority="340" operator="lessThan">
      <formula>0</formula>
    </cfRule>
  </conditionalFormatting>
  <conditionalFormatting sqref="AQ11">
    <cfRule type="cellIs" dxfId="12433" priority="339" operator="lessThan">
      <formula>0</formula>
    </cfRule>
  </conditionalFormatting>
  <conditionalFormatting sqref="AQ11">
    <cfRule type="cellIs" dxfId="12432" priority="338" operator="lessThan">
      <formula>0</formula>
    </cfRule>
  </conditionalFormatting>
  <conditionalFormatting sqref="AQ11">
    <cfRule type="cellIs" dxfId="12431" priority="337" operator="lessThan">
      <formula>0</formula>
    </cfRule>
  </conditionalFormatting>
  <conditionalFormatting sqref="AQ11">
    <cfRule type="cellIs" dxfId="12430" priority="336" operator="lessThan">
      <formula>0</formula>
    </cfRule>
  </conditionalFormatting>
  <conditionalFormatting sqref="AQ11">
    <cfRule type="cellIs" dxfId="12429" priority="335" operator="lessThan">
      <formula>0</formula>
    </cfRule>
  </conditionalFormatting>
  <conditionalFormatting sqref="AQ11">
    <cfRule type="cellIs" dxfId="12428" priority="334" operator="lessThan">
      <formula>0</formula>
    </cfRule>
  </conditionalFormatting>
  <conditionalFormatting sqref="AQ11">
    <cfRule type="cellIs" dxfId="12427" priority="333" operator="lessThan">
      <formula>0</formula>
    </cfRule>
  </conditionalFormatting>
  <conditionalFormatting sqref="AQ11">
    <cfRule type="cellIs" dxfId="12426" priority="332" operator="lessThan">
      <formula>0</formula>
    </cfRule>
  </conditionalFormatting>
  <conditionalFormatting sqref="AQ11">
    <cfRule type="cellIs" dxfId="12425" priority="331" operator="lessThan">
      <formula>0</formula>
    </cfRule>
  </conditionalFormatting>
  <conditionalFormatting sqref="AQ11">
    <cfRule type="cellIs" dxfId="12424" priority="330" operator="lessThan">
      <formula>0</formula>
    </cfRule>
  </conditionalFormatting>
  <conditionalFormatting sqref="AQ11">
    <cfRule type="cellIs" dxfId="12423" priority="329" operator="lessThan">
      <formula>0</formula>
    </cfRule>
  </conditionalFormatting>
  <conditionalFormatting sqref="AQ11">
    <cfRule type="cellIs" dxfId="12422" priority="328" operator="lessThan">
      <formula>0</formula>
    </cfRule>
  </conditionalFormatting>
  <conditionalFormatting sqref="AQ11">
    <cfRule type="cellIs" dxfId="12421" priority="327" operator="lessThan">
      <formula>0</formula>
    </cfRule>
  </conditionalFormatting>
  <conditionalFormatting sqref="AQ11">
    <cfRule type="cellIs" dxfId="12420" priority="326" operator="lessThan">
      <formula>0</formula>
    </cfRule>
  </conditionalFormatting>
  <conditionalFormatting sqref="AQ11">
    <cfRule type="cellIs" dxfId="12419" priority="325" operator="lessThan">
      <formula>0</formula>
    </cfRule>
  </conditionalFormatting>
  <conditionalFormatting sqref="AQ11">
    <cfRule type="cellIs" dxfId="12418" priority="309" operator="lessThan">
      <formula>0</formula>
    </cfRule>
  </conditionalFormatting>
  <conditionalFormatting sqref="AQ11">
    <cfRule type="cellIs" dxfId="12417" priority="324" operator="lessThan">
      <formula>0</formula>
    </cfRule>
  </conditionalFormatting>
  <conditionalFormatting sqref="AQ11">
    <cfRule type="cellIs" dxfId="12416" priority="323" operator="lessThan">
      <formula>0</formula>
    </cfRule>
  </conditionalFormatting>
  <conditionalFormatting sqref="AQ11">
    <cfRule type="cellIs" dxfId="12415" priority="322" operator="lessThan">
      <formula>0</formula>
    </cfRule>
  </conditionalFormatting>
  <conditionalFormatting sqref="AQ11">
    <cfRule type="cellIs" dxfId="12414" priority="321" operator="lessThan">
      <formula>0</formula>
    </cfRule>
  </conditionalFormatting>
  <conditionalFormatting sqref="AQ11">
    <cfRule type="cellIs" dxfId="12413" priority="320" operator="lessThan">
      <formula>0</formula>
    </cfRule>
  </conditionalFormatting>
  <conditionalFormatting sqref="AQ11">
    <cfRule type="cellIs" dxfId="12412" priority="319" operator="lessThan">
      <formula>0</formula>
    </cfRule>
  </conditionalFormatting>
  <conditionalFormatting sqref="AQ11">
    <cfRule type="cellIs" dxfId="12411" priority="318" operator="lessThan">
      <formula>0</formula>
    </cfRule>
  </conditionalFormatting>
  <conditionalFormatting sqref="AQ11">
    <cfRule type="cellIs" dxfId="12410" priority="317" operator="lessThan">
      <formula>0</formula>
    </cfRule>
  </conditionalFormatting>
  <conditionalFormatting sqref="AQ11">
    <cfRule type="cellIs" dxfId="12409" priority="316" operator="lessThan">
      <formula>0</formula>
    </cfRule>
  </conditionalFormatting>
  <conditionalFormatting sqref="AQ11">
    <cfRule type="cellIs" dxfId="12408" priority="315" operator="lessThan">
      <formula>0</formula>
    </cfRule>
  </conditionalFormatting>
  <conditionalFormatting sqref="AQ11">
    <cfRule type="cellIs" dxfId="12407" priority="314" operator="lessThan">
      <formula>0</formula>
    </cfRule>
  </conditionalFormatting>
  <conditionalFormatting sqref="AQ11">
    <cfRule type="cellIs" dxfId="12406" priority="313" operator="lessThan">
      <formula>0</formula>
    </cfRule>
  </conditionalFormatting>
  <conditionalFormatting sqref="AQ11">
    <cfRule type="cellIs" dxfId="12405" priority="312" operator="lessThan">
      <formula>0</formula>
    </cfRule>
  </conditionalFormatting>
  <conditionalFormatting sqref="AQ11">
    <cfRule type="cellIs" dxfId="12404" priority="311" operator="lessThan">
      <formula>0</formula>
    </cfRule>
  </conditionalFormatting>
  <conditionalFormatting sqref="AQ11">
    <cfRule type="cellIs" dxfId="12403" priority="310" operator="lessThan">
      <formula>0</formula>
    </cfRule>
  </conditionalFormatting>
  <conditionalFormatting sqref="AM26:AM29">
    <cfRule type="cellIs" dxfId="12402" priority="306" operator="notEqual">
      <formula>0</formula>
    </cfRule>
  </conditionalFormatting>
  <conditionalFormatting sqref="I28">
    <cfRule type="cellIs" dxfId="12401" priority="305" operator="greaterThan">
      <formula>0</formula>
    </cfRule>
  </conditionalFormatting>
  <conditionalFormatting sqref="J28">
    <cfRule type="cellIs" dxfId="12400" priority="304" operator="greaterThan">
      <formula>0</formula>
    </cfRule>
  </conditionalFormatting>
  <conditionalFormatting sqref="AQ26">
    <cfRule type="cellIs" dxfId="12399" priority="303" operator="lessThan">
      <formula>0</formula>
    </cfRule>
  </conditionalFormatting>
  <conditionalFormatting sqref="AQ26 AQ28:AQ29">
    <cfRule type="cellIs" dxfId="12398" priority="302" operator="lessThan">
      <formula>0</formula>
    </cfRule>
  </conditionalFormatting>
  <conditionalFormatting sqref="AQ26 AQ28:AQ29">
    <cfRule type="cellIs" dxfId="12397" priority="301" operator="lessThan">
      <formula>0</formula>
    </cfRule>
  </conditionalFormatting>
  <conditionalFormatting sqref="AQ26 AQ28:AQ29">
    <cfRule type="cellIs" dxfId="12396" priority="300" operator="lessThan">
      <formula>0</formula>
    </cfRule>
  </conditionalFormatting>
  <conditionalFormatting sqref="AQ26 AQ28:AQ29">
    <cfRule type="cellIs" dxfId="12395" priority="299" operator="lessThan">
      <formula>0</formula>
    </cfRule>
  </conditionalFormatting>
  <conditionalFormatting sqref="AQ28:AQ29">
    <cfRule type="cellIs" dxfId="12394" priority="298" operator="lessThan">
      <formula>0</formula>
    </cfRule>
  </conditionalFormatting>
  <conditionalFormatting sqref="AQ28:AQ29">
    <cfRule type="cellIs" dxfId="12393" priority="297" operator="lessThan">
      <formula>0</formula>
    </cfRule>
  </conditionalFormatting>
  <conditionalFormatting sqref="AQ28:AQ29">
    <cfRule type="cellIs" dxfId="12392" priority="296" operator="lessThan">
      <formula>0</formula>
    </cfRule>
  </conditionalFormatting>
  <conditionalFormatting sqref="AQ28:AQ29">
    <cfRule type="cellIs" dxfId="12391" priority="295" operator="lessThan">
      <formula>0</formula>
    </cfRule>
  </conditionalFormatting>
  <conditionalFormatting sqref="AQ27">
    <cfRule type="cellIs" dxfId="12390" priority="294" operator="lessThan">
      <formula>0</formula>
    </cfRule>
  </conditionalFormatting>
  <conditionalFormatting sqref="AQ27">
    <cfRule type="cellIs" dxfId="12389" priority="293" operator="lessThan">
      <formula>0</formula>
    </cfRule>
  </conditionalFormatting>
  <conditionalFormatting sqref="AQ27">
    <cfRule type="cellIs" dxfId="12388" priority="292" operator="lessThan">
      <formula>0</formula>
    </cfRule>
  </conditionalFormatting>
  <conditionalFormatting sqref="AQ27">
    <cfRule type="cellIs" dxfId="12387" priority="291" operator="lessThan">
      <formula>0</formula>
    </cfRule>
  </conditionalFormatting>
  <conditionalFormatting sqref="AQ27">
    <cfRule type="cellIs" dxfId="12386" priority="290" operator="lessThan">
      <formula>0</formula>
    </cfRule>
  </conditionalFormatting>
  <conditionalFormatting sqref="AQ27">
    <cfRule type="cellIs" dxfId="12385" priority="289" operator="lessThan">
      <formula>0</formula>
    </cfRule>
  </conditionalFormatting>
  <conditionalFormatting sqref="AQ27">
    <cfRule type="cellIs" dxfId="12384" priority="288" operator="lessThan">
      <formula>0</formula>
    </cfRule>
  </conditionalFormatting>
  <conditionalFormatting sqref="AQ27">
    <cfRule type="cellIs" dxfId="12383" priority="287" operator="lessThan">
      <formula>0</formula>
    </cfRule>
  </conditionalFormatting>
  <conditionalFormatting sqref="AQ27">
    <cfRule type="cellIs" dxfId="12382" priority="286" operator="lessThan">
      <formula>0</formula>
    </cfRule>
  </conditionalFormatting>
  <conditionalFormatting sqref="AQ27">
    <cfRule type="cellIs" dxfId="12381" priority="285" operator="lessThan">
      <formula>0</formula>
    </cfRule>
  </conditionalFormatting>
  <conditionalFormatting sqref="AQ27">
    <cfRule type="cellIs" dxfId="12380" priority="284" operator="lessThan">
      <formula>0</formula>
    </cfRule>
  </conditionalFormatting>
  <conditionalFormatting sqref="AQ27">
    <cfRule type="cellIs" dxfId="12379" priority="283" operator="lessThan">
      <formula>0</formula>
    </cfRule>
  </conditionalFormatting>
  <conditionalFormatting sqref="AQ27">
    <cfRule type="cellIs" dxfId="12378" priority="282" operator="lessThan">
      <formula>0</formula>
    </cfRule>
  </conditionalFormatting>
  <conditionalFormatting sqref="AQ27">
    <cfRule type="cellIs" dxfId="12377" priority="281" operator="lessThan">
      <formula>0</formula>
    </cfRule>
  </conditionalFormatting>
  <conditionalFormatting sqref="AQ27">
    <cfRule type="cellIs" dxfId="12376" priority="280" operator="lessThan">
      <formula>0</formula>
    </cfRule>
  </conditionalFormatting>
  <conditionalFormatting sqref="AQ27">
    <cfRule type="cellIs" dxfId="12375" priority="279" operator="lessThan">
      <formula>0</formula>
    </cfRule>
  </conditionalFormatting>
  <conditionalFormatting sqref="AQ27">
    <cfRule type="cellIs" dxfId="12374" priority="278" operator="lessThan">
      <formula>0</formula>
    </cfRule>
  </conditionalFormatting>
  <conditionalFormatting sqref="AQ27">
    <cfRule type="cellIs" dxfId="12373" priority="277" operator="lessThan">
      <formula>0</formula>
    </cfRule>
  </conditionalFormatting>
  <conditionalFormatting sqref="AQ27">
    <cfRule type="cellIs" dxfId="12372" priority="276" operator="lessThan">
      <formula>0</formula>
    </cfRule>
  </conditionalFormatting>
  <conditionalFormatting sqref="AQ27">
    <cfRule type="cellIs" dxfId="12371" priority="275" operator="lessThan">
      <formula>0</formula>
    </cfRule>
  </conditionalFormatting>
  <conditionalFormatting sqref="AQ27">
    <cfRule type="cellIs" dxfId="12370" priority="274" operator="lessThan">
      <formula>0</formula>
    </cfRule>
  </conditionalFormatting>
  <conditionalFormatting sqref="AQ27">
    <cfRule type="cellIs" dxfId="12369" priority="273" operator="lessThan">
      <formula>0</formula>
    </cfRule>
  </conditionalFormatting>
  <conditionalFormatting sqref="AQ27">
    <cfRule type="cellIs" dxfId="12368" priority="272" operator="lessThan">
      <formula>0</formula>
    </cfRule>
  </conditionalFormatting>
  <conditionalFormatting sqref="AQ27">
    <cfRule type="cellIs" dxfId="12367" priority="271" operator="lessThan">
      <formula>0</formula>
    </cfRule>
  </conditionalFormatting>
  <conditionalFormatting sqref="AQ27">
    <cfRule type="cellIs" dxfId="12366" priority="270" operator="lessThan">
      <formula>0</formula>
    </cfRule>
  </conditionalFormatting>
  <conditionalFormatting sqref="AQ27">
    <cfRule type="cellIs" dxfId="12365" priority="269" operator="lessThan">
      <formula>0</formula>
    </cfRule>
  </conditionalFormatting>
  <conditionalFormatting sqref="AQ27">
    <cfRule type="cellIs" dxfId="12364" priority="268" operator="lessThan">
      <formula>0</formula>
    </cfRule>
  </conditionalFormatting>
  <conditionalFormatting sqref="AQ27">
    <cfRule type="cellIs" dxfId="12363" priority="267" operator="lessThan">
      <formula>0</formula>
    </cfRule>
  </conditionalFormatting>
  <conditionalFormatting sqref="AQ27">
    <cfRule type="cellIs" dxfId="12362" priority="266" operator="lessThan">
      <formula>0</formula>
    </cfRule>
  </conditionalFormatting>
  <conditionalFormatting sqref="AQ27">
    <cfRule type="cellIs" dxfId="12361" priority="265" operator="lessThan">
      <formula>0</formula>
    </cfRule>
  </conditionalFormatting>
  <conditionalFormatting sqref="AQ27">
    <cfRule type="cellIs" dxfId="12360" priority="264" operator="lessThan">
      <formula>0</formula>
    </cfRule>
  </conditionalFormatting>
  <conditionalFormatting sqref="AQ27">
    <cfRule type="cellIs" dxfId="12359" priority="263" operator="lessThan">
      <formula>0</formula>
    </cfRule>
  </conditionalFormatting>
  <conditionalFormatting sqref="AM94:AM97">
    <cfRule type="cellIs" dxfId="12358" priority="261" operator="notEqual">
      <formula>0</formula>
    </cfRule>
  </conditionalFormatting>
  <conditionalFormatting sqref="I96">
    <cfRule type="cellIs" dxfId="12357" priority="260" operator="greaterThan">
      <formula>0</formula>
    </cfRule>
  </conditionalFormatting>
  <conditionalFormatting sqref="J96">
    <cfRule type="cellIs" dxfId="12356" priority="259" operator="greaterThan">
      <formula>0</formula>
    </cfRule>
  </conditionalFormatting>
  <conditionalFormatting sqref="AQ94">
    <cfRule type="cellIs" dxfId="12355" priority="258" operator="lessThan">
      <formula>0</formula>
    </cfRule>
  </conditionalFormatting>
  <conditionalFormatting sqref="AQ94 AQ96:AQ97">
    <cfRule type="cellIs" dxfId="12354" priority="257" operator="lessThan">
      <formula>0</formula>
    </cfRule>
  </conditionalFormatting>
  <conditionalFormatting sqref="AQ94 AQ96:AQ97">
    <cfRule type="cellIs" dxfId="12353" priority="256" operator="lessThan">
      <formula>0</formula>
    </cfRule>
  </conditionalFormatting>
  <conditionalFormatting sqref="AQ94 AQ96:AQ97">
    <cfRule type="cellIs" dxfId="12352" priority="255" operator="lessThan">
      <formula>0</formula>
    </cfRule>
  </conditionalFormatting>
  <conditionalFormatting sqref="AQ94 AQ96:AQ97">
    <cfRule type="cellIs" dxfId="12351" priority="254" operator="lessThan">
      <formula>0</formula>
    </cfRule>
  </conditionalFormatting>
  <conditionalFormatting sqref="AQ96:AQ97">
    <cfRule type="cellIs" dxfId="12350" priority="253" operator="lessThan">
      <formula>0</formula>
    </cfRule>
  </conditionalFormatting>
  <conditionalFormatting sqref="AQ96:AQ97">
    <cfRule type="cellIs" dxfId="12349" priority="252" operator="lessThan">
      <formula>0</formula>
    </cfRule>
  </conditionalFormatting>
  <conditionalFormatting sqref="AQ96:AQ97">
    <cfRule type="cellIs" dxfId="12348" priority="251" operator="lessThan">
      <formula>0</formula>
    </cfRule>
  </conditionalFormatting>
  <conditionalFormatting sqref="AQ96:AQ97">
    <cfRule type="cellIs" dxfId="12347" priority="250" operator="lessThan">
      <formula>0</formula>
    </cfRule>
  </conditionalFormatting>
  <conditionalFormatting sqref="AQ95">
    <cfRule type="cellIs" dxfId="12346" priority="249" operator="lessThan">
      <formula>0</formula>
    </cfRule>
  </conditionalFormatting>
  <conditionalFormatting sqref="AQ95">
    <cfRule type="cellIs" dxfId="12345" priority="248" operator="lessThan">
      <formula>0</formula>
    </cfRule>
  </conditionalFormatting>
  <conditionalFormatting sqref="AQ95">
    <cfRule type="cellIs" dxfId="12344" priority="247" operator="lessThan">
      <formula>0</formula>
    </cfRule>
  </conditionalFormatting>
  <conditionalFormatting sqref="AQ95">
    <cfRule type="cellIs" dxfId="12343" priority="246" operator="lessThan">
      <formula>0</formula>
    </cfRule>
  </conditionalFormatting>
  <conditionalFormatting sqref="AQ95">
    <cfRule type="cellIs" dxfId="12342" priority="245" operator="lessThan">
      <formula>0</formula>
    </cfRule>
  </conditionalFormatting>
  <conditionalFormatting sqref="AQ95">
    <cfRule type="cellIs" dxfId="12341" priority="244" operator="lessThan">
      <formula>0</formula>
    </cfRule>
  </conditionalFormatting>
  <conditionalFormatting sqref="AQ95">
    <cfRule type="cellIs" dxfId="12340" priority="243" operator="lessThan">
      <formula>0</formula>
    </cfRule>
  </conditionalFormatting>
  <conditionalFormatting sqref="AQ95">
    <cfRule type="cellIs" dxfId="12339" priority="242" operator="lessThan">
      <formula>0</formula>
    </cfRule>
  </conditionalFormatting>
  <conditionalFormatting sqref="AQ95">
    <cfRule type="cellIs" dxfId="12338" priority="241" operator="lessThan">
      <formula>0</formula>
    </cfRule>
  </conditionalFormatting>
  <conditionalFormatting sqref="AQ95">
    <cfRule type="cellIs" dxfId="12337" priority="240" operator="lessThan">
      <formula>0</formula>
    </cfRule>
  </conditionalFormatting>
  <conditionalFormatting sqref="AQ95">
    <cfRule type="cellIs" dxfId="12336" priority="239" operator="lessThan">
      <formula>0</formula>
    </cfRule>
  </conditionalFormatting>
  <conditionalFormatting sqref="AQ95">
    <cfRule type="cellIs" dxfId="12335" priority="238" operator="lessThan">
      <formula>0</formula>
    </cfRule>
  </conditionalFormatting>
  <conditionalFormatting sqref="AQ95">
    <cfRule type="cellIs" dxfId="12334" priority="237" operator="lessThan">
      <formula>0</formula>
    </cfRule>
  </conditionalFormatting>
  <conditionalFormatting sqref="AQ95">
    <cfRule type="cellIs" dxfId="12333" priority="236" operator="lessThan">
      <formula>0</formula>
    </cfRule>
  </conditionalFormatting>
  <conditionalFormatting sqref="AQ95">
    <cfRule type="cellIs" dxfId="12332" priority="235" operator="lessThan">
      <formula>0</formula>
    </cfRule>
  </conditionalFormatting>
  <conditionalFormatting sqref="AQ95">
    <cfRule type="cellIs" dxfId="12331" priority="234" operator="lessThan">
      <formula>0</formula>
    </cfRule>
  </conditionalFormatting>
  <conditionalFormatting sqref="AQ95">
    <cfRule type="cellIs" dxfId="12330" priority="233" operator="lessThan">
      <formula>0</formula>
    </cfRule>
  </conditionalFormatting>
  <conditionalFormatting sqref="AQ95">
    <cfRule type="cellIs" dxfId="12329" priority="232" operator="lessThan">
      <formula>0</formula>
    </cfRule>
  </conditionalFormatting>
  <conditionalFormatting sqref="AQ95">
    <cfRule type="cellIs" dxfId="12328" priority="231" operator="lessThan">
      <formula>0</formula>
    </cfRule>
  </conditionalFormatting>
  <conditionalFormatting sqref="AQ95">
    <cfRule type="cellIs" dxfId="12327" priority="230" operator="lessThan">
      <formula>0</formula>
    </cfRule>
  </conditionalFormatting>
  <conditionalFormatting sqref="AQ95">
    <cfRule type="cellIs" dxfId="12326" priority="229" operator="lessThan">
      <formula>0</formula>
    </cfRule>
  </conditionalFormatting>
  <conditionalFormatting sqref="AQ95">
    <cfRule type="cellIs" dxfId="12325" priority="228" operator="lessThan">
      <formula>0</formula>
    </cfRule>
  </conditionalFormatting>
  <conditionalFormatting sqref="AQ95">
    <cfRule type="cellIs" dxfId="12324" priority="227" operator="lessThan">
      <formula>0</formula>
    </cfRule>
  </conditionalFormatting>
  <conditionalFormatting sqref="AQ95">
    <cfRule type="cellIs" dxfId="12323" priority="226" operator="lessThan">
      <formula>0</formula>
    </cfRule>
  </conditionalFormatting>
  <conditionalFormatting sqref="AQ95">
    <cfRule type="cellIs" dxfId="12322" priority="225" operator="lessThan">
      <formula>0</formula>
    </cfRule>
  </conditionalFormatting>
  <conditionalFormatting sqref="AQ95">
    <cfRule type="cellIs" dxfId="12321" priority="224" operator="lessThan">
      <formula>0</formula>
    </cfRule>
  </conditionalFormatting>
  <conditionalFormatting sqref="AQ95">
    <cfRule type="cellIs" dxfId="12320" priority="223" operator="lessThan">
      <formula>0</formula>
    </cfRule>
  </conditionalFormatting>
  <conditionalFormatting sqref="AQ95">
    <cfRule type="cellIs" dxfId="12319" priority="222" operator="lessThan">
      <formula>0</formula>
    </cfRule>
  </conditionalFormatting>
  <conditionalFormatting sqref="AQ95">
    <cfRule type="cellIs" dxfId="12318" priority="221" operator="lessThan">
      <formula>0</formula>
    </cfRule>
  </conditionalFormatting>
  <conditionalFormatting sqref="AQ95">
    <cfRule type="cellIs" dxfId="12317" priority="220" operator="lessThan">
      <formula>0</formula>
    </cfRule>
  </conditionalFormatting>
  <conditionalFormatting sqref="AQ95">
    <cfRule type="cellIs" dxfId="12316" priority="219" operator="lessThan">
      <formula>0</formula>
    </cfRule>
  </conditionalFormatting>
  <conditionalFormatting sqref="AQ95">
    <cfRule type="cellIs" dxfId="12315" priority="218" operator="lessThan">
      <formula>0</formula>
    </cfRule>
  </conditionalFormatting>
  <conditionalFormatting sqref="Y7">
    <cfRule type="iconSet" priority="216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12314" priority="215" operator="lessThan">
      <formula>0</formula>
    </cfRule>
  </conditionalFormatting>
  <conditionalFormatting sqref="Y6:Y8">
    <cfRule type="cellIs" dxfId="12313" priority="214" operator="lessThan">
      <formula>0</formula>
    </cfRule>
  </conditionalFormatting>
  <conditionalFormatting sqref="AM86:AM89">
    <cfRule type="cellIs" dxfId="12312" priority="212" operator="notEqual">
      <formula>0</formula>
    </cfRule>
  </conditionalFormatting>
  <conditionalFormatting sqref="I88">
    <cfRule type="cellIs" dxfId="12311" priority="211" operator="greaterThan">
      <formula>0</formula>
    </cfRule>
  </conditionalFormatting>
  <conditionalFormatting sqref="J88">
    <cfRule type="cellIs" dxfId="12310" priority="210" operator="greaterThan">
      <formula>0</formula>
    </cfRule>
  </conditionalFormatting>
  <conditionalFormatting sqref="AQ86">
    <cfRule type="cellIs" dxfId="12309" priority="209" operator="lessThan">
      <formula>0</formula>
    </cfRule>
  </conditionalFormatting>
  <conditionalFormatting sqref="AQ86 AQ88:AQ89">
    <cfRule type="cellIs" dxfId="12308" priority="208" operator="lessThan">
      <formula>0</formula>
    </cfRule>
  </conditionalFormatting>
  <conditionalFormatting sqref="AQ86 AQ88:AQ89">
    <cfRule type="cellIs" dxfId="12307" priority="207" operator="lessThan">
      <formula>0</formula>
    </cfRule>
  </conditionalFormatting>
  <conditionalFormatting sqref="AQ86 AQ88:AQ89">
    <cfRule type="cellIs" dxfId="12306" priority="206" operator="lessThan">
      <formula>0</formula>
    </cfRule>
  </conditionalFormatting>
  <conditionalFormatting sqref="AQ86 AQ88:AQ89">
    <cfRule type="cellIs" dxfId="12305" priority="205" operator="lessThan">
      <formula>0</formula>
    </cfRule>
  </conditionalFormatting>
  <conditionalFormatting sqref="AQ88:AQ89">
    <cfRule type="cellIs" dxfId="12304" priority="204" operator="lessThan">
      <formula>0</formula>
    </cfRule>
  </conditionalFormatting>
  <conditionalFormatting sqref="AQ88:AQ89">
    <cfRule type="cellIs" dxfId="12303" priority="203" operator="lessThan">
      <formula>0</formula>
    </cfRule>
  </conditionalFormatting>
  <conditionalFormatting sqref="AQ88:AQ89">
    <cfRule type="cellIs" dxfId="12302" priority="202" operator="lessThan">
      <formula>0</formula>
    </cfRule>
  </conditionalFormatting>
  <conditionalFormatting sqref="AQ88:AQ89">
    <cfRule type="cellIs" dxfId="12301" priority="201" operator="lessThan">
      <formula>0</formula>
    </cfRule>
  </conditionalFormatting>
  <conditionalFormatting sqref="AQ87">
    <cfRule type="cellIs" dxfId="12300" priority="200" operator="lessThan">
      <formula>0</formula>
    </cfRule>
  </conditionalFormatting>
  <conditionalFormatting sqref="AQ87">
    <cfRule type="cellIs" dxfId="12299" priority="199" operator="lessThan">
      <formula>0</formula>
    </cfRule>
  </conditionalFormatting>
  <conditionalFormatting sqref="AQ87">
    <cfRule type="cellIs" dxfId="12298" priority="198" operator="lessThan">
      <formula>0</formula>
    </cfRule>
  </conditionalFormatting>
  <conditionalFormatting sqref="AQ87">
    <cfRule type="cellIs" dxfId="12297" priority="197" operator="lessThan">
      <formula>0</formula>
    </cfRule>
  </conditionalFormatting>
  <conditionalFormatting sqref="AQ87">
    <cfRule type="cellIs" dxfId="12296" priority="196" operator="lessThan">
      <formula>0</formula>
    </cfRule>
  </conditionalFormatting>
  <conditionalFormatting sqref="AQ87">
    <cfRule type="cellIs" dxfId="12295" priority="195" operator="lessThan">
      <formula>0</formula>
    </cfRule>
  </conditionalFormatting>
  <conditionalFormatting sqref="AQ87">
    <cfRule type="cellIs" dxfId="12294" priority="194" operator="lessThan">
      <formula>0</formula>
    </cfRule>
  </conditionalFormatting>
  <conditionalFormatting sqref="AQ87">
    <cfRule type="cellIs" dxfId="12293" priority="193" operator="lessThan">
      <formula>0</formula>
    </cfRule>
  </conditionalFormatting>
  <conditionalFormatting sqref="AQ87">
    <cfRule type="cellIs" dxfId="12292" priority="192" operator="lessThan">
      <formula>0</formula>
    </cfRule>
  </conditionalFormatting>
  <conditionalFormatting sqref="AQ87">
    <cfRule type="cellIs" dxfId="12291" priority="191" operator="lessThan">
      <formula>0</formula>
    </cfRule>
  </conditionalFormatting>
  <conditionalFormatting sqref="AQ87">
    <cfRule type="cellIs" dxfId="12290" priority="190" operator="lessThan">
      <formula>0</formula>
    </cfRule>
  </conditionalFormatting>
  <conditionalFormatting sqref="AQ87">
    <cfRule type="cellIs" dxfId="12289" priority="189" operator="lessThan">
      <formula>0</formula>
    </cfRule>
  </conditionalFormatting>
  <conditionalFormatting sqref="AQ87">
    <cfRule type="cellIs" dxfId="12288" priority="188" operator="lessThan">
      <formula>0</formula>
    </cfRule>
  </conditionalFormatting>
  <conditionalFormatting sqref="AQ87">
    <cfRule type="cellIs" dxfId="12287" priority="187" operator="lessThan">
      <formula>0</formula>
    </cfRule>
  </conditionalFormatting>
  <conditionalFormatting sqref="AQ87">
    <cfRule type="cellIs" dxfId="12286" priority="186" operator="lessThan">
      <formula>0</formula>
    </cfRule>
  </conditionalFormatting>
  <conditionalFormatting sqref="AQ87">
    <cfRule type="cellIs" dxfId="12285" priority="185" operator="lessThan">
      <formula>0</formula>
    </cfRule>
  </conditionalFormatting>
  <conditionalFormatting sqref="AQ87">
    <cfRule type="cellIs" dxfId="12284" priority="184" operator="lessThan">
      <formula>0</formula>
    </cfRule>
  </conditionalFormatting>
  <conditionalFormatting sqref="AQ87">
    <cfRule type="cellIs" dxfId="12283" priority="183" operator="lessThan">
      <formula>0</formula>
    </cfRule>
  </conditionalFormatting>
  <conditionalFormatting sqref="AQ87">
    <cfRule type="cellIs" dxfId="12282" priority="182" operator="lessThan">
      <formula>0</formula>
    </cfRule>
  </conditionalFormatting>
  <conditionalFormatting sqref="AQ87">
    <cfRule type="cellIs" dxfId="12281" priority="181" operator="lessThan">
      <formula>0</formula>
    </cfRule>
  </conditionalFormatting>
  <conditionalFormatting sqref="AQ87">
    <cfRule type="cellIs" dxfId="12280" priority="180" operator="lessThan">
      <formula>0</formula>
    </cfRule>
  </conditionalFormatting>
  <conditionalFormatting sqref="AQ87">
    <cfRule type="cellIs" dxfId="12279" priority="179" operator="lessThan">
      <formula>0</formula>
    </cfRule>
  </conditionalFormatting>
  <conditionalFormatting sqref="AQ87">
    <cfRule type="cellIs" dxfId="12278" priority="178" operator="lessThan">
      <formula>0</formula>
    </cfRule>
  </conditionalFormatting>
  <conditionalFormatting sqref="AQ87">
    <cfRule type="cellIs" dxfId="12277" priority="177" operator="lessThan">
      <formula>0</formula>
    </cfRule>
  </conditionalFormatting>
  <conditionalFormatting sqref="AQ87">
    <cfRule type="cellIs" dxfId="12276" priority="176" operator="lessThan">
      <formula>0</formula>
    </cfRule>
  </conditionalFormatting>
  <conditionalFormatting sqref="AQ87">
    <cfRule type="cellIs" dxfId="12275" priority="175" operator="lessThan">
      <formula>0</formula>
    </cfRule>
  </conditionalFormatting>
  <conditionalFormatting sqref="AQ87">
    <cfRule type="cellIs" dxfId="12274" priority="174" operator="lessThan">
      <formula>0</formula>
    </cfRule>
  </conditionalFormatting>
  <conditionalFormatting sqref="AQ87">
    <cfRule type="cellIs" dxfId="12273" priority="173" operator="lessThan">
      <formula>0</formula>
    </cfRule>
  </conditionalFormatting>
  <conditionalFormatting sqref="AQ87">
    <cfRule type="cellIs" dxfId="12272" priority="172" operator="lessThan">
      <formula>0</formula>
    </cfRule>
  </conditionalFormatting>
  <conditionalFormatting sqref="AQ87">
    <cfRule type="cellIs" dxfId="12271" priority="171" operator="lessThan">
      <formula>0</formula>
    </cfRule>
  </conditionalFormatting>
  <conditionalFormatting sqref="AQ87">
    <cfRule type="cellIs" dxfId="12270" priority="170" operator="lessThan">
      <formula>0</formula>
    </cfRule>
  </conditionalFormatting>
  <conditionalFormatting sqref="AQ87">
    <cfRule type="cellIs" dxfId="12269" priority="169" operator="lessThan">
      <formula>0</formula>
    </cfRule>
  </conditionalFormatting>
  <conditionalFormatting sqref="Y9">
    <cfRule type="cellIs" dxfId="12268" priority="168" operator="lessThan">
      <formula>0</formula>
    </cfRule>
  </conditionalFormatting>
  <conditionalFormatting sqref="Y59 Y11 Y15 Y19 Y23 Y27 Y31 Y35 Y43 Y47 Y55 Y63 Y67 Y71 Y79 Y83 Y87 Y91 Y95 Y99">
    <cfRule type="iconSet" priority="167">
      <iconSet>
        <cfvo type="percent" val="0"/>
        <cfvo type="percent" val="&quot;$I$6&quot;"/>
        <cfvo type="percent" val="#REF!"/>
      </iconSet>
    </cfRule>
  </conditionalFormatting>
  <conditionalFormatting sqref="Y12 Y16 Y20 Y24 Y28 Y32 Y36 Y44 Y48 Y56 Y60 Y64 Y68 Y72 Y80 Y84 Y88 Y92 Y96 Y100">
    <cfRule type="cellIs" dxfId="12267" priority="166" operator="lessThan">
      <formula>0</formula>
    </cfRule>
  </conditionalFormatting>
  <conditionalFormatting sqref="Y10:Y12 Y14:Y16 Y18:Y20 Y22:Y24 Y26:Y28 Y30:Y32 Y34:Y36 Y42:Y44 Y46:Y48 Y54:Y56 Y58:Y60 Y62:Y64 Y66:Y68 Y70:Y72 Y78:Y80 Y82:Y84 Y86:Y88 Y90:Y92 Y94:Y96 Y98:Y100">
    <cfRule type="cellIs" dxfId="12266" priority="165" operator="lessThan">
      <formula>0</formula>
    </cfRule>
  </conditionalFormatting>
  <conditionalFormatting sqref="Y13 Y17 Y21 Y25 Y29 Y33 Y37 Y45 Y49 Y57 Y61 Y65 Y69 Y73 Y81 Y85 Y89 Y93 Y97 Y101">
    <cfRule type="cellIs" dxfId="12265" priority="164" operator="lessThan">
      <formula>0</formula>
    </cfRule>
  </conditionalFormatting>
  <conditionalFormatting sqref="X7">
    <cfRule type="iconSet" priority="163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2264" priority="162" operator="lessThan">
      <formula>0</formula>
    </cfRule>
  </conditionalFormatting>
  <conditionalFormatting sqref="X6:X9">
    <cfRule type="cellIs" dxfId="12263" priority="161" operator="lessThan">
      <formula>0</formula>
    </cfRule>
  </conditionalFormatting>
  <conditionalFormatting sqref="X59 X11 X15 X19 X23 X27 X31 X35 X43 X47 X55 X63 X67 X71 X79 X83 X87 X91 X95 X99">
    <cfRule type="iconSet" priority="160">
      <iconSet>
        <cfvo type="percent" val="0"/>
        <cfvo type="percent" val="&quot;$I$6&quot;"/>
        <cfvo type="percent" val="#REF!"/>
      </iconSet>
    </cfRule>
  </conditionalFormatting>
  <conditionalFormatting sqref="X12 X16 X20 X24 X28 X32 X36 X44 X48 X56 X60 X64 X68 X72 X80 X84 X88 X92 X96 X100">
    <cfRule type="cellIs" dxfId="12262" priority="159" operator="lessThan">
      <formula>0</formula>
    </cfRule>
  </conditionalFormatting>
  <conditionalFormatting sqref="X10:X37 X42:X49">
    <cfRule type="cellIs" dxfId="12261" priority="158" operator="lessThan">
      <formula>0</formula>
    </cfRule>
  </conditionalFormatting>
  <conditionalFormatting sqref="J48">
    <cfRule type="cellIs" dxfId="12260" priority="157" operator="greaterThan">
      <formula>0</formula>
    </cfRule>
  </conditionalFormatting>
  <conditionalFormatting sqref="AM38:AM41">
    <cfRule type="cellIs" dxfId="12259" priority="155" operator="notEqual">
      <formula>0</formula>
    </cfRule>
  </conditionalFormatting>
  <conditionalFormatting sqref="I40">
    <cfRule type="cellIs" dxfId="12258" priority="154" operator="greaterThan">
      <formula>0</formula>
    </cfRule>
  </conditionalFormatting>
  <conditionalFormatting sqref="J40">
    <cfRule type="cellIs" dxfId="12257" priority="153" operator="greaterThan">
      <formula>0</formula>
    </cfRule>
  </conditionalFormatting>
  <conditionalFormatting sqref="AQ38">
    <cfRule type="cellIs" dxfId="12256" priority="152" operator="lessThan">
      <formula>0</formula>
    </cfRule>
  </conditionalFormatting>
  <conditionalFormatting sqref="AQ38 AQ40:AQ41">
    <cfRule type="cellIs" dxfId="12255" priority="151" operator="lessThan">
      <formula>0</formula>
    </cfRule>
  </conditionalFormatting>
  <conditionalFormatting sqref="AQ38 AQ40:AQ41">
    <cfRule type="cellIs" dxfId="12254" priority="150" operator="lessThan">
      <formula>0</formula>
    </cfRule>
  </conditionalFormatting>
  <conditionalFormatting sqref="AQ38 AQ40:AQ41">
    <cfRule type="cellIs" dxfId="12253" priority="149" operator="lessThan">
      <formula>0</formula>
    </cfRule>
  </conditionalFormatting>
  <conditionalFormatting sqref="AQ38 AQ40:AQ41">
    <cfRule type="cellIs" dxfId="12252" priority="148" operator="lessThan">
      <formula>0</formula>
    </cfRule>
  </conditionalFormatting>
  <conditionalFormatting sqref="AQ40:AQ41">
    <cfRule type="cellIs" dxfId="12251" priority="147" operator="lessThan">
      <formula>0</formula>
    </cfRule>
  </conditionalFormatting>
  <conditionalFormatting sqref="AQ40:AQ41">
    <cfRule type="cellIs" dxfId="12250" priority="146" operator="lessThan">
      <formula>0</formula>
    </cfRule>
  </conditionalFormatting>
  <conditionalFormatting sqref="AQ40:AQ41">
    <cfRule type="cellIs" dxfId="12249" priority="145" operator="lessThan">
      <formula>0</formula>
    </cfRule>
  </conditionalFormatting>
  <conditionalFormatting sqref="AQ40:AQ41">
    <cfRule type="cellIs" dxfId="12248" priority="144" operator="lessThan">
      <formula>0</formula>
    </cfRule>
  </conditionalFormatting>
  <conditionalFormatting sqref="AQ39">
    <cfRule type="cellIs" dxfId="12247" priority="143" operator="lessThan">
      <formula>0</formula>
    </cfRule>
  </conditionalFormatting>
  <conditionalFormatting sqref="AQ39">
    <cfRule type="cellIs" dxfId="12246" priority="142" operator="lessThan">
      <formula>0</formula>
    </cfRule>
  </conditionalFormatting>
  <conditionalFormatting sqref="AQ39">
    <cfRule type="cellIs" dxfId="12245" priority="141" operator="lessThan">
      <formula>0</formula>
    </cfRule>
  </conditionalFormatting>
  <conditionalFormatting sqref="AQ39">
    <cfRule type="cellIs" dxfId="12244" priority="140" operator="lessThan">
      <formula>0</formula>
    </cfRule>
  </conditionalFormatting>
  <conditionalFormatting sqref="AQ39">
    <cfRule type="cellIs" dxfId="12243" priority="139" operator="lessThan">
      <formula>0</formula>
    </cfRule>
  </conditionalFormatting>
  <conditionalFormatting sqref="AQ39">
    <cfRule type="cellIs" dxfId="12242" priority="138" operator="lessThan">
      <formula>0</formula>
    </cfRule>
  </conditionalFormatting>
  <conditionalFormatting sqref="AQ39">
    <cfRule type="cellIs" dxfId="12241" priority="137" operator="lessThan">
      <formula>0</formula>
    </cfRule>
  </conditionalFormatting>
  <conditionalFormatting sqref="AQ39">
    <cfRule type="cellIs" dxfId="12240" priority="136" operator="lessThan">
      <formula>0</formula>
    </cfRule>
  </conditionalFormatting>
  <conditionalFormatting sqref="AQ39">
    <cfRule type="cellIs" dxfId="12239" priority="135" operator="lessThan">
      <formula>0</formula>
    </cfRule>
  </conditionalFormatting>
  <conditionalFormatting sqref="AQ39">
    <cfRule type="cellIs" dxfId="12238" priority="134" operator="lessThan">
      <formula>0</formula>
    </cfRule>
  </conditionalFormatting>
  <conditionalFormatting sqref="AQ39">
    <cfRule type="cellIs" dxfId="12237" priority="133" operator="lessThan">
      <formula>0</formula>
    </cfRule>
  </conditionalFormatting>
  <conditionalFormatting sqref="AQ39">
    <cfRule type="cellIs" dxfId="12236" priority="132" operator="lessThan">
      <formula>0</formula>
    </cfRule>
  </conditionalFormatting>
  <conditionalFormatting sqref="AQ39">
    <cfRule type="cellIs" dxfId="12235" priority="131" operator="lessThan">
      <formula>0</formula>
    </cfRule>
  </conditionalFormatting>
  <conditionalFormatting sqref="AQ39">
    <cfRule type="cellIs" dxfId="12234" priority="130" operator="lessThan">
      <formula>0</formula>
    </cfRule>
  </conditionalFormatting>
  <conditionalFormatting sqref="AQ39">
    <cfRule type="cellIs" dxfId="12233" priority="129" operator="lessThan">
      <formula>0</formula>
    </cfRule>
  </conditionalFormatting>
  <conditionalFormatting sqref="AQ39">
    <cfRule type="cellIs" dxfId="12232" priority="128" operator="lessThan">
      <formula>0</formula>
    </cfRule>
  </conditionalFormatting>
  <conditionalFormatting sqref="AQ39">
    <cfRule type="cellIs" dxfId="12231" priority="127" operator="lessThan">
      <formula>0</formula>
    </cfRule>
  </conditionalFormatting>
  <conditionalFormatting sqref="AQ39">
    <cfRule type="cellIs" dxfId="12230" priority="126" operator="lessThan">
      <formula>0</formula>
    </cfRule>
  </conditionalFormatting>
  <conditionalFormatting sqref="AQ39">
    <cfRule type="cellIs" dxfId="12229" priority="125" operator="lessThan">
      <formula>0</formula>
    </cfRule>
  </conditionalFormatting>
  <conditionalFormatting sqref="AQ39">
    <cfRule type="cellIs" dxfId="12228" priority="124" operator="lessThan">
      <formula>0</formula>
    </cfRule>
  </conditionalFormatting>
  <conditionalFormatting sqref="AQ39">
    <cfRule type="cellIs" dxfId="12227" priority="123" operator="lessThan">
      <formula>0</formula>
    </cfRule>
  </conditionalFormatting>
  <conditionalFormatting sqref="AQ39">
    <cfRule type="cellIs" dxfId="12226" priority="122" operator="lessThan">
      <formula>0</formula>
    </cfRule>
  </conditionalFormatting>
  <conditionalFormatting sqref="AQ39">
    <cfRule type="cellIs" dxfId="12225" priority="121" operator="lessThan">
      <formula>0</formula>
    </cfRule>
  </conditionalFormatting>
  <conditionalFormatting sqref="AQ39">
    <cfRule type="cellIs" dxfId="12224" priority="120" operator="lessThan">
      <formula>0</formula>
    </cfRule>
  </conditionalFormatting>
  <conditionalFormatting sqref="AQ39">
    <cfRule type="cellIs" dxfId="12223" priority="119" operator="lessThan">
      <formula>0</formula>
    </cfRule>
  </conditionalFormatting>
  <conditionalFormatting sqref="AQ39">
    <cfRule type="cellIs" dxfId="12222" priority="118" operator="lessThan">
      <formula>0</formula>
    </cfRule>
  </conditionalFormatting>
  <conditionalFormatting sqref="AQ39">
    <cfRule type="cellIs" dxfId="12221" priority="117" operator="lessThan">
      <formula>0</formula>
    </cfRule>
  </conditionalFormatting>
  <conditionalFormatting sqref="AQ39">
    <cfRule type="cellIs" dxfId="12220" priority="116" operator="lessThan">
      <formula>0</formula>
    </cfRule>
  </conditionalFormatting>
  <conditionalFormatting sqref="AQ39">
    <cfRule type="cellIs" dxfId="12219" priority="115" operator="lessThan">
      <formula>0</formula>
    </cfRule>
  </conditionalFormatting>
  <conditionalFormatting sqref="AQ39">
    <cfRule type="cellIs" dxfId="12218" priority="114" operator="lessThan">
      <formula>0</formula>
    </cfRule>
  </conditionalFormatting>
  <conditionalFormatting sqref="AQ39">
    <cfRule type="cellIs" dxfId="12217" priority="113" operator="lessThan">
      <formula>0</formula>
    </cfRule>
  </conditionalFormatting>
  <conditionalFormatting sqref="AQ39">
    <cfRule type="cellIs" dxfId="12216" priority="112" operator="lessThan">
      <formula>0</formula>
    </cfRule>
  </conditionalFormatting>
  <conditionalFormatting sqref="Y39">
    <cfRule type="iconSet" priority="111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12215" priority="110" operator="lessThan">
      <formula>0</formula>
    </cfRule>
  </conditionalFormatting>
  <conditionalFormatting sqref="Y38:Y40">
    <cfRule type="cellIs" dxfId="12214" priority="109" operator="lessThan">
      <formula>0</formula>
    </cfRule>
  </conditionalFormatting>
  <conditionalFormatting sqref="Y41">
    <cfRule type="cellIs" dxfId="12213" priority="108" operator="lessThan">
      <formula>0</formula>
    </cfRule>
  </conditionalFormatting>
  <conditionalFormatting sqref="X39">
    <cfRule type="iconSet" priority="107">
      <iconSet>
        <cfvo type="percent" val="0"/>
        <cfvo type="percent" val="&quot;$I$6&quot;"/>
        <cfvo type="percent" val="#REF!"/>
      </iconSet>
    </cfRule>
  </conditionalFormatting>
  <conditionalFormatting sqref="X40">
    <cfRule type="cellIs" dxfId="12212" priority="106" operator="lessThan">
      <formula>0</formula>
    </cfRule>
  </conditionalFormatting>
  <conditionalFormatting sqref="X38:X41">
    <cfRule type="cellIs" dxfId="12211" priority="105" operator="lessThan">
      <formula>0</formula>
    </cfRule>
  </conditionalFormatting>
  <conditionalFormatting sqref="AM50:AM53">
    <cfRule type="cellIs" dxfId="12210" priority="103" operator="notEqual">
      <formula>0</formula>
    </cfRule>
  </conditionalFormatting>
  <conditionalFormatting sqref="I52">
    <cfRule type="cellIs" dxfId="12209" priority="102" operator="greaterThan">
      <formula>0</formula>
    </cfRule>
  </conditionalFormatting>
  <conditionalFormatting sqref="AQ50">
    <cfRule type="cellIs" dxfId="12208" priority="101" operator="lessThan">
      <formula>0</formula>
    </cfRule>
  </conditionalFormatting>
  <conditionalFormatting sqref="AQ50 AQ52:AQ53">
    <cfRule type="cellIs" dxfId="12207" priority="100" operator="lessThan">
      <formula>0</formula>
    </cfRule>
  </conditionalFormatting>
  <conditionalFormatting sqref="AQ50 AQ52:AQ53">
    <cfRule type="cellIs" dxfId="12206" priority="99" operator="lessThan">
      <formula>0</formula>
    </cfRule>
  </conditionalFormatting>
  <conditionalFormatting sqref="AQ50 AQ52:AQ53">
    <cfRule type="cellIs" dxfId="12205" priority="98" operator="lessThan">
      <formula>0</formula>
    </cfRule>
  </conditionalFormatting>
  <conditionalFormatting sqref="AQ50 AQ52:AQ53">
    <cfRule type="cellIs" dxfId="12204" priority="97" operator="lessThan">
      <formula>0</formula>
    </cfRule>
  </conditionalFormatting>
  <conditionalFormatting sqref="AQ52:AQ53">
    <cfRule type="cellIs" dxfId="12203" priority="96" operator="lessThan">
      <formula>0</formula>
    </cfRule>
  </conditionalFormatting>
  <conditionalFormatting sqref="AQ52:AQ53">
    <cfRule type="cellIs" dxfId="12202" priority="95" operator="lessThan">
      <formula>0</formula>
    </cfRule>
  </conditionalFormatting>
  <conditionalFormatting sqref="AQ52:AQ53">
    <cfRule type="cellIs" dxfId="12201" priority="94" operator="lessThan">
      <formula>0</formula>
    </cfRule>
  </conditionalFormatting>
  <conditionalFormatting sqref="AQ52:AQ53">
    <cfRule type="cellIs" dxfId="12200" priority="93" operator="lessThan">
      <formula>0</formula>
    </cfRule>
  </conditionalFormatting>
  <conditionalFormatting sqref="AQ51">
    <cfRule type="cellIs" dxfId="12199" priority="92" operator="lessThan">
      <formula>0</formula>
    </cfRule>
  </conditionalFormatting>
  <conditionalFormatting sqref="AQ51">
    <cfRule type="cellIs" dxfId="12198" priority="91" operator="lessThan">
      <formula>0</formula>
    </cfRule>
  </conditionalFormatting>
  <conditionalFormatting sqref="AQ51">
    <cfRule type="cellIs" dxfId="12197" priority="90" operator="lessThan">
      <formula>0</formula>
    </cfRule>
  </conditionalFormatting>
  <conditionalFormatting sqref="AQ51">
    <cfRule type="cellIs" dxfId="12196" priority="89" operator="lessThan">
      <formula>0</formula>
    </cfRule>
  </conditionalFormatting>
  <conditionalFormatting sqref="AQ51">
    <cfRule type="cellIs" dxfId="12195" priority="88" operator="lessThan">
      <formula>0</formula>
    </cfRule>
  </conditionalFormatting>
  <conditionalFormatting sqref="AQ51">
    <cfRule type="cellIs" dxfId="12194" priority="87" operator="lessThan">
      <formula>0</formula>
    </cfRule>
  </conditionalFormatting>
  <conditionalFormatting sqref="AQ51">
    <cfRule type="cellIs" dxfId="12193" priority="86" operator="lessThan">
      <formula>0</formula>
    </cfRule>
  </conditionalFormatting>
  <conditionalFormatting sqref="AQ51">
    <cfRule type="cellIs" dxfId="12192" priority="85" operator="lessThan">
      <formula>0</formula>
    </cfRule>
  </conditionalFormatting>
  <conditionalFormatting sqref="AQ51">
    <cfRule type="cellIs" dxfId="12191" priority="84" operator="lessThan">
      <formula>0</formula>
    </cfRule>
  </conditionalFormatting>
  <conditionalFormatting sqref="AQ51">
    <cfRule type="cellIs" dxfId="12190" priority="83" operator="lessThan">
      <formula>0</formula>
    </cfRule>
  </conditionalFormatting>
  <conditionalFormatting sqref="AQ51">
    <cfRule type="cellIs" dxfId="12189" priority="82" operator="lessThan">
      <formula>0</formula>
    </cfRule>
  </conditionalFormatting>
  <conditionalFormatting sqref="AQ51">
    <cfRule type="cellIs" dxfId="12188" priority="81" operator="lessThan">
      <formula>0</formula>
    </cfRule>
  </conditionalFormatting>
  <conditionalFormatting sqref="AQ51">
    <cfRule type="cellIs" dxfId="12187" priority="80" operator="lessThan">
      <formula>0</formula>
    </cfRule>
  </conditionalFormatting>
  <conditionalFormatting sqref="AQ51">
    <cfRule type="cellIs" dxfId="12186" priority="79" operator="lessThan">
      <formula>0</formula>
    </cfRule>
  </conditionalFormatting>
  <conditionalFormatting sqref="AQ51">
    <cfRule type="cellIs" dxfId="12185" priority="78" operator="lessThan">
      <formula>0</formula>
    </cfRule>
  </conditionalFormatting>
  <conditionalFormatting sqref="AQ51">
    <cfRule type="cellIs" dxfId="12184" priority="77" operator="lessThan">
      <formula>0</formula>
    </cfRule>
  </conditionalFormatting>
  <conditionalFormatting sqref="AQ51">
    <cfRule type="cellIs" dxfId="12183" priority="76" operator="lessThan">
      <formula>0</formula>
    </cfRule>
  </conditionalFormatting>
  <conditionalFormatting sqref="AQ51">
    <cfRule type="cellIs" dxfId="12182" priority="75" operator="lessThan">
      <formula>0</formula>
    </cfRule>
  </conditionalFormatting>
  <conditionalFormatting sqref="AQ51">
    <cfRule type="cellIs" dxfId="12181" priority="74" operator="lessThan">
      <formula>0</formula>
    </cfRule>
  </conditionalFormatting>
  <conditionalFormatting sqref="AQ51">
    <cfRule type="cellIs" dxfId="12180" priority="73" operator="lessThan">
      <formula>0</formula>
    </cfRule>
  </conditionalFormatting>
  <conditionalFormatting sqref="AQ51">
    <cfRule type="cellIs" dxfId="12179" priority="72" operator="lessThan">
      <formula>0</formula>
    </cfRule>
  </conditionalFormatting>
  <conditionalFormatting sqref="AQ51">
    <cfRule type="cellIs" dxfId="12178" priority="71" operator="lessThan">
      <formula>0</formula>
    </cfRule>
  </conditionalFormatting>
  <conditionalFormatting sqref="AQ51">
    <cfRule type="cellIs" dxfId="12177" priority="70" operator="lessThan">
      <formula>0</formula>
    </cfRule>
  </conditionalFormatting>
  <conditionalFormatting sqref="AQ51">
    <cfRule type="cellIs" dxfId="12176" priority="69" operator="lessThan">
      <formula>0</formula>
    </cfRule>
  </conditionalFormatting>
  <conditionalFormatting sqref="AQ51">
    <cfRule type="cellIs" dxfId="12175" priority="68" operator="lessThan">
      <formula>0</formula>
    </cfRule>
  </conditionalFormatting>
  <conditionalFormatting sqref="AQ51">
    <cfRule type="cellIs" dxfId="12174" priority="67" operator="lessThan">
      <formula>0</formula>
    </cfRule>
  </conditionalFormatting>
  <conditionalFormatting sqref="AQ51">
    <cfRule type="cellIs" dxfId="12173" priority="66" operator="lessThan">
      <formula>0</formula>
    </cfRule>
  </conditionalFormatting>
  <conditionalFormatting sqref="AQ51">
    <cfRule type="cellIs" dxfId="12172" priority="65" operator="lessThan">
      <formula>0</formula>
    </cfRule>
  </conditionalFormatting>
  <conditionalFormatting sqref="AQ51">
    <cfRule type="cellIs" dxfId="12171" priority="64" operator="lessThan">
      <formula>0</formula>
    </cfRule>
  </conditionalFormatting>
  <conditionalFormatting sqref="AQ51">
    <cfRule type="cellIs" dxfId="12170" priority="63" operator="lessThan">
      <formula>0</formula>
    </cfRule>
  </conditionalFormatting>
  <conditionalFormatting sqref="AQ51">
    <cfRule type="cellIs" dxfId="12169" priority="62" operator="lessThan">
      <formula>0</formula>
    </cfRule>
  </conditionalFormatting>
  <conditionalFormatting sqref="AQ51">
    <cfRule type="cellIs" dxfId="12168" priority="61" operator="lessThan">
      <formula>0</formula>
    </cfRule>
  </conditionalFormatting>
  <conditionalFormatting sqref="Y51">
    <cfRule type="iconSet" priority="60">
      <iconSet>
        <cfvo type="percent" val="0"/>
        <cfvo type="percent" val="&quot;$I$6&quot;"/>
        <cfvo type="percent" val="#REF!"/>
      </iconSet>
    </cfRule>
  </conditionalFormatting>
  <conditionalFormatting sqref="Y52">
    <cfRule type="cellIs" dxfId="12167" priority="59" operator="lessThan">
      <formula>0</formula>
    </cfRule>
  </conditionalFormatting>
  <conditionalFormatting sqref="Y50:Y52">
    <cfRule type="cellIs" dxfId="12166" priority="58" operator="lessThan">
      <formula>0</formula>
    </cfRule>
  </conditionalFormatting>
  <conditionalFormatting sqref="Y53">
    <cfRule type="cellIs" dxfId="12165" priority="57" operator="lessThan">
      <formula>0</formula>
    </cfRule>
  </conditionalFormatting>
  <conditionalFormatting sqref="X51">
    <cfRule type="iconSet" priority="56">
      <iconSet>
        <cfvo type="percent" val="0"/>
        <cfvo type="percent" val="&quot;$I$6&quot;"/>
        <cfvo type="percent" val="#REF!"/>
      </iconSet>
    </cfRule>
  </conditionalFormatting>
  <conditionalFormatting sqref="X52">
    <cfRule type="cellIs" dxfId="12164" priority="55" operator="lessThan">
      <formula>0</formula>
    </cfRule>
  </conditionalFormatting>
  <conditionalFormatting sqref="X50:X53">
    <cfRule type="cellIs" dxfId="12163" priority="54" operator="lessThan">
      <formula>0</formula>
    </cfRule>
  </conditionalFormatting>
  <conditionalFormatting sqref="J52">
    <cfRule type="cellIs" dxfId="12162" priority="53" operator="greaterThan">
      <formula>0</formula>
    </cfRule>
  </conditionalFormatting>
  <conditionalFormatting sqref="X74:X77">
    <cfRule type="cellIs" dxfId="12161" priority="52" operator="lessThan">
      <formula>0</formula>
    </cfRule>
  </conditionalFormatting>
  <conditionalFormatting sqref="AM74:AM77">
    <cfRule type="cellIs" dxfId="12160" priority="50" operator="notEqual">
      <formula>0</formula>
    </cfRule>
  </conditionalFormatting>
  <conditionalFormatting sqref="I76">
    <cfRule type="cellIs" dxfId="12159" priority="49" operator="greaterThan">
      <formula>0</formula>
    </cfRule>
  </conditionalFormatting>
  <conditionalFormatting sqref="J76">
    <cfRule type="cellIs" dxfId="12158" priority="48" operator="greaterThan">
      <formula>0</formula>
    </cfRule>
  </conditionalFormatting>
  <conditionalFormatting sqref="AQ74">
    <cfRule type="cellIs" dxfId="12157" priority="47" operator="lessThan">
      <formula>0</formula>
    </cfRule>
  </conditionalFormatting>
  <conditionalFormatting sqref="AQ74 AQ76:AQ77">
    <cfRule type="cellIs" dxfId="12156" priority="46" operator="lessThan">
      <formula>0</formula>
    </cfRule>
  </conditionalFormatting>
  <conditionalFormatting sqref="AQ74 AQ76:AQ77">
    <cfRule type="cellIs" dxfId="12155" priority="45" operator="lessThan">
      <formula>0</formula>
    </cfRule>
  </conditionalFormatting>
  <conditionalFormatting sqref="AQ74 AQ76:AQ77">
    <cfRule type="cellIs" dxfId="12154" priority="44" operator="lessThan">
      <formula>0</formula>
    </cfRule>
  </conditionalFormatting>
  <conditionalFormatting sqref="AQ74 AQ76:AQ77">
    <cfRule type="cellIs" dxfId="12153" priority="43" operator="lessThan">
      <formula>0</formula>
    </cfRule>
  </conditionalFormatting>
  <conditionalFormatting sqref="AQ76:AQ77">
    <cfRule type="cellIs" dxfId="12152" priority="42" operator="lessThan">
      <formula>0</formula>
    </cfRule>
  </conditionalFormatting>
  <conditionalFormatting sqref="AQ76:AQ77">
    <cfRule type="cellIs" dxfId="12151" priority="41" operator="lessThan">
      <formula>0</formula>
    </cfRule>
  </conditionalFormatting>
  <conditionalFormatting sqref="AQ76:AQ77">
    <cfRule type="cellIs" dxfId="12150" priority="40" operator="lessThan">
      <formula>0</formula>
    </cfRule>
  </conditionalFormatting>
  <conditionalFormatting sqref="AQ76:AQ77">
    <cfRule type="cellIs" dxfId="12149" priority="39" operator="lessThan">
      <formula>0</formula>
    </cfRule>
  </conditionalFormatting>
  <conditionalFormatting sqref="AQ75">
    <cfRule type="cellIs" dxfId="12148" priority="38" operator="lessThan">
      <formula>0</formula>
    </cfRule>
  </conditionalFormatting>
  <conditionalFormatting sqref="AQ75">
    <cfRule type="cellIs" dxfId="12147" priority="37" operator="lessThan">
      <formula>0</formula>
    </cfRule>
  </conditionalFormatting>
  <conditionalFormatting sqref="AQ75">
    <cfRule type="cellIs" dxfId="12146" priority="36" operator="lessThan">
      <formula>0</formula>
    </cfRule>
  </conditionalFormatting>
  <conditionalFormatting sqref="AQ75">
    <cfRule type="cellIs" dxfId="12145" priority="35" operator="lessThan">
      <formula>0</formula>
    </cfRule>
  </conditionalFormatting>
  <conditionalFormatting sqref="AQ75">
    <cfRule type="cellIs" dxfId="12144" priority="34" operator="lessThan">
      <formula>0</formula>
    </cfRule>
  </conditionalFormatting>
  <conditionalFormatting sqref="AQ75">
    <cfRule type="cellIs" dxfId="12143" priority="33" operator="lessThan">
      <formula>0</formula>
    </cfRule>
  </conditionalFormatting>
  <conditionalFormatting sqref="AQ75">
    <cfRule type="cellIs" dxfId="12142" priority="32" operator="lessThan">
      <formula>0</formula>
    </cfRule>
  </conditionalFormatting>
  <conditionalFormatting sqref="AQ75">
    <cfRule type="cellIs" dxfId="12141" priority="31" operator="lessThan">
      <formula>0</formula>
    </cfRule>
  </conditionalFormatting>
  <conditionalFormatting sqref="AQ75">
    <cfRule type="cellIs" dxfId="12140" priority="30" operator="lessThan">
      <formula>0</formula>
    </cfRule>
  </conditionalFormatting>
  <conditionalFormatting sqref="AQ75">
    <cfRule type="cellIs" dxfId="12139" priority="29" operator="lessThan">
      <formula>0</formula>
    </cfRule>
  </conditionalFormatting>
  <conditionalFormatting sqref="AQ75">
    <cfRule type="cellIs" dxfId="12138" priority="28" operator="lessThan">
      <formula>0</formula>
    </cfRule>
  </conditionalFormatting>
  <conditionalFormatting sqref="AQ75">
    <cfRule type="cellIs" dxfId="12137" priority="27" operator="lessThan">
      <formula>0</formula>
    </cfRule>
  </conditionalFormatting>
  <conditionalFormatting sqref="AQ75">
    <cfRule type="cellIs" dxfId="12136" priority="26" operator="lessThan">
      <formula>0</formula>
    </cfRule>
  </conditionalFormatting>
  <conditionalFormatting sqref="AQ75">
    <cfRule type="cellIs" dxfId="12135" priority="25" operator="lessThan">
      <formula>0</formula>
    </cfRule>
  </conditionalFormatting>
  <conditionalFormatting sqref="AQ75">
    <cfRule type="cellIs" dxfId="12134" priority="24" operator="lessThan">
      <formula>0</formula>
    </cfRule>
  </conditionalFormatting>
  <conditionalFormatting sqref="AQ75">
    <cfRule type="cellIs" dxfId="12133" priority="23" operator="lessThan">
      <formula>0</formula>
    </cfRule>
  </conditionalFormatting>
  <conditionalFormatting sqref="AQ75">
    <cfRule type="cellIs" dxfId="12132" priority="22" operator="lessThan">
      <formula>0</formula>
    </cfRule>
  </conditionalFormatting>
  <conditionalFormatting sqref="AQ75">
    <cfRule type="cellIs" dxfId="12131" priority="21" operator="lessThan">
      <formula>0</formula>
    </cfRule>
  </conditionalFormatting>
  <conditionalFormatting sqref="AQ75">
    <cfRule type="cellIs" dxfId="12130" priority="20" operator="lessThan">
      <formula>0</formula>
    </cfRule>
  </conditionalFormatting>
  <conditionalFormatting sqref="AQ75">
    <cfRule type="cellIs" dxfId="12129" priority="19" operator="lessThan">
      <formula>0</formula>
    </cfRule>
  </conditionalFormatting>
  <conditionalFormatting sqref="AQ75">
    <cfRule type="cellIs" dxfId="12128" priority="18" operator="lessThan">
      <formula>0</formula>
    </cfRule>
  </conditionalFormatting>
  <conditionalFormatting sqref="AQ75">
    <cfRule type="cellIs" dxfId="12127" priority="17" operator="lessThan">
      <formula>0</formula>
    </cfRule>
  </conditionalFormatting>
  <conditionalFormatting sqref="AQ75">
    <cfRule type="cellIs" dxfId="12126" priority="16" operator="lessThan">
      <formula>0</formula>
    </cfRule>
  </conditionalFormatting>
  <conditionalFormatting sqref="AQ75">
    <cfRule type="cellIs" dxfId="12125" priority="15" operator="lessThan">
      <formula>0</formula>
    </cfRule>
  </conditionalFormatting>
  <conditionalFormatting sqref="AQ75">
    <cfRule type="cellIs" dxfId="12124" priority="14" operator="lessThan">
      <formula>0</formula>
    </cfRule>
  </conditionalFormatting>
  <conditionalFormatting sqref="AQ75">
    <cfRule type="cellIs" dxfId="12123" priority="13" operator="lessThan">
      <formula>0</formula>
    </cfRule>
  </conditionalFormatting>
  <conditionalFormatting sqref="AQ75">
    <cfRule type="cellIs" dxfId="12122" priority="12" operator="lessThan">
      <formula>0</formula>
    </cfRule>
  </conditionalFormatting>
  <conditionalFormatting sqref="AQ75">
    <cfRule type="cellIs" dxfId="12121" priority="11" operator="lessThan">
      <formula>0</formula>
    </cfRule>
  </conditionalFormatting>
  <conditionalFormatting sqref="AQ75">
    <cfRule type="cellIs" dxfId="12120" priority="10" operator="lessThan">
      <formula>0</formula>
    </cfRule>
  </conditionalFormatting>
  <conditionalFormatting sqref="AQ75">
    <cfRule type="cellIs" dxfId="12119" priority="9" operator="lessThan">
      <formula>0</formula>
    </cfRule>
  </conditionalFormatting>
  <conditionalFormatting sqref="AQ75">
    <cfRule type="cellIs" dxfId="12118" priority="8" operator="lessThan">
      <formula>0</formula>
    </cfRule>
  </conditionalFormatting>
  <conditionalFormatting sqref="AQ75">
    <cfRule type="cellIs" dxfId="12117" priority="7" operator="lessThan">
      <formula>0</formula>
    </cfRule>
  </conditionalFormatting>
  <conditionalFormatting sqref="Y75">
    <cfRule type="iconSet" priority="6">
      <iconSet>
        <cfvo type="percent" val="0"/>
        <cfvo type="percent" val="&quot;$I$6&quot;"/>
        <cfvo type="percent" val="#REF!"/>
      </iconSet>
    </cfRule>
  </conditionalFormatting>
  <conditionalFormatting sqref="Y76">
    <cfRule type="cellIs" dxfId="12116" priority="5" operator="lessThan">
      <formula>0</formula>
    </cfRule>
  </conditionalFormatting>
  <conditionalFormatting sqref="Y74:Y76">
    <cfRule type="cellIs" dxfId="12115" priority="4" operator="lessThan">
      <formula>0</formula>
    </cfRule>
  </conditionalFormatting>
  <conditionalFormatting sqref="Y77">
    <cfRule type="cellIs" dxfId="12114" priority="3" operator="lessThan">
      <formula>0</formula>
    </cfRule>
  </conditionalFormatting>
  <conditionalFormatting sqref="X75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X76">
    <cfRule type="cellIs" dxfId="12113" priority="1" operator="less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03" id="{B4B57464-C90C-434E-8172-1EFB2EAD5EC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498" id="{5950C30C-DE2A-4054-8FDB-05F9602B698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492" id="{4A98AD96-4007-41C7-8BD3-B214A795091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485" id="{05B496CB-CF98-4E4A-A92A-FDB6CE571F8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482" id="{D4FCE58F-D0CC-456F-BC8E-5917FF9F1FE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479" id="{9D0407B2-D066-4D09-B178-8430B137930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476" id="{03C8F3C6-537D-4317-B9A8-51201E23FB1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467" id="{982F13A4-E564-4B54-A912-56EC0076189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463" id="{0A5862F3-3E16-4531-8FE6-766C6C0E21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460" id="{A6DD7134-23DB-4310-A099-393CBD9F980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457" id="{E2B379AC-51BD-4536-81DF-ACD429EFB69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Z98</xm:sqref>
        </x14:conditionalFormatting>
        <x14:conditionalFormatting xmlns:xm="http://schemas.microsoft.com/office/excel/2006/main">
          <x14:cfRule type="iconSet" priority="451" id="{61D62B2A-BB94-4560-9AC3-8A644CA839D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446" id="{5A28EDD8-E568-48EE-B8BE-BC6B861A1AE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442" id="{572FFA8A-3E76-4CC3-BCED-77026370501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439" id="{D683F55B-3EFE-4C44-B3A8-F1210D6DF23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413" id="{CF58A7E2-5AD4-43A7-90D6-20B4B7CBB94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308" id="{B7424755-B8DF-4AC4-B42A-193B6143B5E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307" id="{FB136F93-404F-4368-8A3E-F96A4EDDFD6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262" id="{BBE956DE-371D-448B-A6F0-9494B2A1308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Z94</xm:sqref>
        </x14:conditionalFormatting>
        <x14:conditionalFormatting xmlns:xm="http://schemas.microsoft.com/office/excel/2006/main">
          <x14:cfRule type="iconSet" priority="217" id="{5B2D0EBE-1204-446F-8F1A-D146D9B9116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213" id="{8A78F852-6C78-41E5-BD4E-00F21E58AB8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156" id="{2C6AFD91-25A1-450C-9804-689AD6BF65F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104" id="{8F6B05EF-4D77-42FA-8DE6-80871A1B8A2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51" id="{8BBE7A09-19C0-4DCB-854D-A454F6A6BE7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209"/>
  <sheetViews>
    <sheetView zoomScale="18" zoomScaleNormal="18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I20" sqref="I20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0.58288049979273993</v>
      </c>
      <c r="AE2" s="520"/>
      <c r="AH2" s="183">
        <f>+SUBTOTAL(9,AH6:AH131)</f>
        <v>337740</v>
      </c>
      <c r="AI2" s="183">
        <f>+SUBTOTAL(9,AI6:AI131)</f>
        <v>196862.06</v>
      </c>
      <c r="AT2" s="91">
        <v>0.59793648334624327</v>
      </c>
    </row>
    <row r="3" spans="2:58" ht="94.5" customHeight="1" x14ac:dyDescent="0.9">
      <c r="B3" s="474"/>
      <c r="C3" s="474"/>
      <c r="D3" s="474"/>
      <c r="E3" s="474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74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+SUMIF($L$6:$L$114,AA3,$AA$6:$AA$114)</f>
        <v>4397</v>
      </c>
      <c r="AB4" s="144" t="s">
        <v>28</v>
      </c>
      <c r="AC4" s="145"/>
      <c r="AD4" s="524" t="str">
        <f ca="1">RIGHT(CELL("filename",A1),LEN(CELL("filename",A1))-FIND("]",CELL("filename",A1)))</f>
        <v>07-01-2026</v>
      </c>
      <c r="AE4" s="524"/>
      <c r="AF4" s="397">
        <f>+SUM(AF6:AF119)</f>
        <v>5629</v>
      </c>
      <c r="AG4" s="397"/>
      <c r="AH4" s="98"/>
      <c r="AI4" s="98"/>
      <c r="AJ4" s="398">
        <v>8.75</v>
      </c>
      <c r="AQ4" s="437">
        <f>+SUBTOTAL(9,AQ6:AQ115)</f>
        <v>97.625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429</v>
      </c>
      <c r="H6" s="106"/>
      <c r="I6" s="106"/>
      <c r="J6" s="107" t="s">
        <v>20</v>
      </c>
      <c r="K6" s="108" t="s">
        <v>23</v>
      </c>
      <c r="L6" s="100" t="s">
        <v>21</v>
      </c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7" t="str">
        <f>IF(AQ7="","",SUM(M6:W6)-(-(AQ7-SUM(M6:W6))/$AQ$3)*SUM($M$2:$W$2))</f>
        <v/>
      </c>
      <c r="Y6" s="466"/>
      <c r="Z6" s="533">
        <f>+X8</f>
        <v>0</v>
      </c>
      <c r="AA6" s="447">
        <f t="shared" ref="AA6:AA79" si="0">+SUM(L6:W6)</f>
        <v>0</v>
      </c>
      <c r="AB6" s="343">
        <f>+AC6+AA6</f>
        <v>6024</v>
      </c>
      <c r="AC6" s="343">
        <v>6024</v>
      </c>
      <c r="AD6" s="344"/>
      <c r="AE6" s="345"/>
      <c r="AF6" s="346"/>
      <c r="AG6" s="347">
        <f t="shared" ref="AG6:AG101" si="1">TRUNC(AF6)+(AF6-TRUNC(AF6))*60/100</f>
        <v>0</v>
      </c>
      <c r="AH6" s="341">
        <f t="shared" ref="AH6:AH101" si="2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427</v>
      </c>
      <c r="E7" s="111"/>
      <c r="F7" s="111" t="s">
        <v>428</v>
      </c>
      <c r="G7" s="541" t="str">
        <f t="shared" ref="G7:G9" si="3">+G6</f>
        <v>NEGRONI-202942</v>
      </c>
      <c r="H7" s="111"/>
      <c r="I7" s="111" t="s">
        <v>430</v>
      </c>
      <c r="J7" s="113">
        <v>48.06</v>
      </c>
      <c r="K7" s="130">
        <v>60</v>
      </c>
      <c r="L7" s="101" t="s">
        <v>17</v>
      </c>
      <c r="M7" s="214"/>
      <c r="N7" s="214"/>
      <c r="O7" s="214"/>
      <c r="P7" s="214"/>
      <c r="Q7" s="214"/>
      <c r="R7" s="214"/>
      <c r="S7" s="214"/>
      <c r="T7" s="214">
        <v>7</v>
      </c>
      <c r="U7" s="214"/>
      <c r="V7" s="214"/>
      <c r="W7" s="214"/>
      <c r="X7" s="123">
        <f>+IF(H8="s",0,IF(AA7=0,0,IF(COUNTA(M7:W7)=AK9+0.25,SUMIF($C:$C,B7,$AA:$AA)/AK9,SUMIF($C:$C,B7,$AA:$AA)/(COUNTA(M7:W7)))))</f>
        <v>0</v>
      </c>
      <c r="Y7" s="466"/>
      <c r="Z7" s="534"/>
      <c r="AA7" s="134">
        <f>+SUM(L7:W7)</f>
        <v>7</v>
      </c>
      <c r="AB7" s="354">
        <f>+AA7+AC7</f>
        <v>6024</v>
      </c>
      <c r="AC7" s="354">
        <v>6017</v>
      </c>
      <c r="AD7" s="355">
        <f>+AB6-AB7</f>
        <v>0</v>
      </c>
      <c r="AE7" s="131">
        <f>+IF(((AA8+(AA9/2))*60)=0,"",(J7*AA7)/((AA8+(AA9/2))*60))</f>
        <v>5.6070000000000002</v>
      </c>
      <c r="AF7" s="347">
        <f>+AA8+AA9/2</f>
        <v>1</v>
      </c>
      <c r="AG7" s="347">
        <f t="shared" si="1"/>
        <v>1</v>
      </c>
      <c r="AH7" s="341">
        <f>+AF7*60</f>
        <v>60</v>
      </c>
      <c r="AI7" s="341">
        <f>+AA7*J7</f>
        <v>336.42</v>
      </c>
      <c r="AJ7" s="356">
        <f>+AA7-(AF7*K7/K9)</f>
        <v>5.9090909090909092</v>
      </c>
      <c r="AK7" s="348"/>
      <c r="AL7" s="349"/>
      <c r="AM7" s="341"/>
      <c r="AN7" s="341"/>
      <c r="AO7" s="341"/>
      <c r="AP7" s="341"/>
      <c r="AQ7" s="339" t="str">
        <f t="shared" ref="AQ7:AQ75" si="4">IF(AR7=0,"",AT7-(($AQ$3*K7)+($AQ$3*K7)*AR7)+AA6)</f>
        <v/>
      </c>
      <c r="AR7" s="434"/>
      <c r="AT7" s="390">
        <v>7</v>
      </c>
      <c r="AV7" s="390">
        <f>+AT7-AD7</f>
        <v>7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 t="shared" si="3"/>
        <v>NEGRONI-202942</v>
      </c>
      <c r="H8" s="411" t="s">
        <v>479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448"/>
      <c r="N8" s="448"/>
      <c r="O8" s="448"/>
      <c r="P8" s="448"/>
      <c r="Q8" s="448"/>
      <c r="R8" s="448"/>
      <c r="S8" s="448"/>
      <c r="T8" s="448">
        <v>1</v>
      </c>
      <c r="U8" s="448"/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0</v>
      </c>
      <c r="Y8" s="466"/>
      <c r="Z8" s="534"/>
      <c r="AA8" s="462">
        <f>+SUM(M8:W8)-U8*0.25</f>
        <v>1</v>
      </c>
      <c r="AB8" s="360"/>
      <c r="AC8" s="360"/>
      <c r="AD8" s="362"/>
      <c r="AE8" s="363"/>
      <c r="AF8" s="346"/>
      <c r="AG8" s="347">
        <f t="shared" si="1"/>
        <v>0</v>
      </c>
      <c r="AH8" s="341">
        <f t="shared" si="2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1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 t="shared" si="3"/>
        <v>NEGRONI-202942</v>
      </c>
      <c r="H9" s="117"/>
      <c r="I9" s="442"/>
      <c r="J9" s="165">
        <f>+IF(K9="","",IF(K7=0,"",(K7*J7)/(K9*60)))</f>
        <v>0.87381818181818194</v>
      </c>
      <c r="K9" s="118">
        <v>55</v>
      </c>
      <c r="L9" s="104" t="s">
        <v>19</v>
      </c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173"/>
      <c r="Y9" s="467">
        <v>36.08</v>
      </c>
      <c r="Z9" s="365">
        <v>36.08</v>
      </c>
      <c r="AA9" s="465">
        <f>+SUM(M9:W9)-U9*0.25</f>
        <v>0</v>
      </c>
      <c r="AB9" s="367"/>
      <c r="AC9" s="367"/>
      <c r="AD9" s="368">
        <f>+IFERROR(AD7/(K7*$AQ$3),"")</f>
        <v>0</v>
      </c>
      <c r="AE9" s="369"/>
      <c r="AF9" s="347"/>
      <c r="AG9" s="347">
        <f t="shared" si="1"/>
        <v>0</v>
      </c>
      <c r="AH9" s="341">
        <f t="shared" si="2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0</v>
      </c>
      <c r="AM9" s="341">
        <f>+AL9-AA9</f>
        <v>0</v>
      </c>
      <c r="AN9" s="341"/>
      <c r="AO9" s="341"/>
      <c r="AP9" s="341"/>
      <c r="AQ9" s="369"/>
      <c r="AR9" s="434"/>
      <c r="AT9" s="390">
        <v>1.3333333333333334E-2</v>
      </c>
      <c r="AV9" s="390"/>
    </row>
    <row r="10" spans="2:58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540" t="s">
        <v>440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100</v>
      </c>
      <c r="N10" s="448">
        <v>100</v>
      </c>
      <c r="O10" s="448">
        <v>50</v>
      </c>
      <c r="P10" s="448">
        <v>50</v>
      </c>
      <c r="Q10" s="448">
        <v>50</v>
      </c>
      <c r="R10" s="448">
        <v>50</v>
      </c>
      <c r="S10" s="448">
        <v>40</v>
      </c>
      <c r="T10" s="448"/>
      <c r="U10" s="448"/>
      <c r="V10" s="448"/>
      <c r="W10" s="448"/>
      <c r="X10" s="447">
        <f t="shared" ref="X10" si="5">IF(AQ11="","",SUM(M10:W10)-(-(AQ11-SUM(M10:W10))/$AQ$3)*SUM($M$2:$W$2))</f>
        <v>440</v>
      </c>
      <c r="Y10" s="466"/>
      <c r="Z10" s="533">
        <f>+X12</f>
        <v>-178.25</v>
      </c>
      <c r="AA10" s="447">
        <f t="shared" si="0"/>
        <v>440</v>
      </c>
      <c r="AB10" s="343">
        <f>+AC10+AA10</f>
        <v>1444</v>
      </c>
      <c r="AC10" s="343">
        <v>1004</v>
      </c>
      <c r="AD10" s="344"/>
      <c r="AE10" s="345"/>
      <c r="AF10" s="346"/>
      <c r="AG10" s="347">
        <f t="shared" si="1"/>
        <v>0</v>
      </c>
      <c r="AH10" s="341">
        <f t="shared" si="2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1</v>
      </c>
      <c r="C11" s="406">
        <f>+B11</f>
        <v>1</v>
      </c>
      <c r="D11" s="407" t="s">
        <v>439</v>
      </c>
      <c r="E11" s="111"/>
      <c r="F11" s="111" t="s">
        <v>35</v>
      </c>
      <c r="G11" s="541" t="str">
        <f t="shared" ref="G11:G13" si="6">+G10</f>
        <v>7394-595-401</v>
      </c>
      <c r="H11" s="111"/>
      <c r="I11" s="111" t="s">
        <v>33</v>
      </c>
      <c r="J11" s="113">
        <v>41.87</v>
      </c>
      <c r="K11" s="130">
        <v>59</v>
      </c>
      <c r="L11" s="101" t="s">
        <v>17</v>
      </c>
      <c r="M11" s="214">
        <v>50</v>
      </c>
      <c r="N11" s="214">
        <v>50</v>
      </c>
      <c r="O11" s="214">
        <v>0</v>
      </c>
      <c r="P11" s="214">
        <v>0</v>
      </c>
      <c r="Q11" s="214">
        <v>0</v>
      </c>
      <c r="R11" s="480">
        <v>91</v>
      </c>
      <c r="S11" s="480">
        <v>52</v>
      </c>
      <c r="T11" s="480">
        <v>55</v>
      </c>
      <c r="U11" s="480">
        <v>40</v>
      </c>
      <c r="V11" s="214"/>
      <c r="W11" s="214"/>
      <c r="X11" s="123">
        <f>+IF(H12="s",0,IF(AA11=0,0,IF(COUNTA(M11:W11)=AK13+0.25,SUMIF($C:$C,B11,$AA:$AA)/AK13,SUMIF($C:$C,B11,$AA:$AA)/(COUNTA(M11:W11)))))</f>
        <v>39.428571428571431</v>
      </c>
      <c r="Y11" s="466"/>
      <c r="Z11" s="534"/>
      <c r="AA11" s="134">
        <f t="shared" si="0"/>
        <v>338</v>
      </c>
      <c r="AB11" s="354">
        <f>+AA11+AC11</f>
        <v>640</v>
      </c>
      <c r="AC11" s="354">
        <v>302</v>
      </c>
      <c r="AD11" s="355">
        <f>+AB10-AB11</f>
        <v>804</v>
      </c>
      <c r="AE11" s="131">
        <f>+IF(((AA12+(AA13/2))*60)=0,"",(J11*AA11)/((AA12+(AA13/2))*60))</f>
        <v>0.54741553041291946</v>
      </c>
      <c r="AF11" s="347">
        <f>+AA12+AA13/2</f>
        <v>430.875</v>
      </c>
      <c r="AG11" s="347">
        <f t="shared" si="1"/>
        <v>430.52499999999998</v>
      </c>
      <c r="AH11" s="341">
        <f t="shared" si="2"/>
        <v>25852.5</v>
      </c>
      <c r="AI11" s="341">
        <f>+AA11*J11</f>
        <v>14152.06</v>
      </c>
      <c r="AJ11" s="356">
        <f>+AA11-(AF11*K11/K13)</f>
        <v>-202.88563829787233</v>
      </c>
      <c r="AK11" s="348"/>
      <c r="AL11" s="349"/>
      <c r="AM11" s="341"/>
      <c r="AN11" s="341"/>
      <c r="AO11" s="341"/>
      <c r="AP11" s="341"/>
      <c r="AQ11" s="339">
        <f>-440+AA10</f>
        <v>0</v>
      </c>
      <c r="AR11" s="434">
        <v>1.23</v>
      </c>
      <c r="AT11" s="390">
        <v>702</v>
      </c>
      <c r="AV11" s="390">
        <f>+AT11-AD11</f>
        <v>-102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541" t="str">
        <f t="shared" si="6"/>
        <v>7394-595-401</v>
      </c>
      <c r="H12" s="411" t="s">
        <v>412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448">
        <v>51</v>
      </c>
      <c r="N12" s="448">
        <v>51</v>
      </c>
      <c r="O12" s="448">
        <v>51</v>
      </c>
      <c r="P12" s="448">
        <v>51</v>
      </c>
      <c r="Q12" s="448">
        <v>51</v>
      </c>
      <c r="R12" s="448">
        <v>46</v>
      </c>
      <c r="S12" s="448">
        <v>46</v>
      </c>
      <c r="T12" s="448">
        <v>45</v>
      </c>
      <c r="U12" s="448">
        <v>46</v>
      </c>
      <c r="V12" s="448"/>
      <c r="W12" s="448"/>
      <c r="X12" s="160">
        <f>+IF(H12="l",IF(COUNTA(M11:W11)=AK13+0.25,AA11-K11*AK13,AA11-(K11*COUNTA(M11:W11))),IF(H12="s",0,IF(COUNTA(M11:W11)=AK13+0.25,SUMIF($C:$C,B11,$AA:$AA)-K11*AK13,SUMIF($C:$C,B11,$AA:$AA)-K11*COUNTA(M11:W11))))</f>
        <v>-178.25</v>
      </c>
      <c r="Y12" s="466"/>
      <c r="Z12" s="534"/>
      <c r="AA12" s="462">
        <f t="shared" ref="AA12:AA13" si="7">+SUM(M12:W12)-U12*0.25</f>
        <v>426.5</v>
      </c>
      <c r="AB12" s="360"/>
      <c r="AC12" s="360"/>
      <c r="AD12" s="362"/>
      <c r="AE12" s="363"/>
      <c r="AF12" s="346"/>
      <c r="AG12" s="347">
        <f t="shared" si="1"/>
        <v>0</v>
      </c>
      <c r="AH12" s="341">
        <f t="shared" si="2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426.5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542" t="str">
        <f t="shared" si="6"/>
        <v>7394-595-401</v>
      </c>
      <c r="H13" s="117"/>
      <c r="I13" s="442"/>
      <c r="J13" s="165">
        <f>+IF(K13="","",IF(K11=0,"",(K11*J11)/(K13*60)))</f>
        <v>0.87600354609929076</v>
      </c>
      <c r="K13" s="118">
        <v>47</v>
      </c>
      <c r="L13" s="104" t="s">
        <v>19</v>
      </c>
      <c r="M13" s="216">
        <v>1</v>
      </c>
      <c r="N13" s="216">
        <v>1</v>
      </c>
      <c r="O13" s="216">
        <v>1</v>
      </c>
      <c r="P13" s="216">
        <v>1</v>
      </c>
      <c r="Q13" s="216">
        <v>1</v>
      </c>
      <c r="R13" s="216">
        <v>1</v>
      </c>
      <c r="S13" s="216">
        <v>1</v>
      </c>
      <c r="T13" s="216">
        <v>1</v>
      </c>
      <c r="U13" s="216">
        <v>1</v>
      </c>
      <c r="V13" s="216"/>
      <c r="W13" s="216"/>
      <c r="X13" s="173"/>
      <c r="Y13" s="467">
        <v>11.364655932203391</v>
      </c>
      <c r="Z13" s="371">
        <f>+IF(COUNTA(M11:W11)=$AJ$4+0.25,$AJ$4-(AA11/K11),COUNTA(M11:W11)-(AA11/K11))+Y13</f>
        <v>14.385842372881356</v>
      </c>
      <c r="AA13" s="465">
        <f t="shared" si="7"/>
        <v>8.75</v>
      </c>
      <c r="AB13" s="367"/>
      <c r="AC13" s="367"/>
      <c r="AD13" s="368">
        <f>+IFERROR(AD11/(K11*$AQ$3),"")</f>
        <v>1.5573849878934625</v>
      </c>
      <c r="AE13" s="369"/>
      <c r="AF13" s="347"/>
      <c r="AG13" s="347">
        <f t="shared" si="1"/>
        <v>0</v>
      </c>
      <c r="AH13" s="341">
        <f t="shared" si="2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8.75</v>
      </c>
      <c r="AM13" s="341">
        <f>+AL13-AA13</f>
        <v>0</v>
      </c>
      <c r="AN13" s="341"/>
      <c r="AO13" s="341"/>
      <c r="AP13" s="341"/>
      <c r="AQ13" s="369"/>
      <c r="AR13" s="434"/>
      <c r="AT13" s="390">
        <v>1.3598062953995158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40" t="s">
        <v>429</v>
      </c>
      <c r="H14" s="106"/>
      <c r="I14" s="106"/>
      <c r="J14" s="107" t="s">
        <v>20</v>
      </c>
      <c r="K14" s="108" t="s">
        <v>23</v>
      </c>
      <c r="L14" s="100" t="s">
        <v>21</v>
      </c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7" t="str">
        <f t="shared" ref="X14" si="8">IF(AQ15="","",SUM(M14:W14)-(-(AQ15-SUM(M14:W14))/$AQ$3)*SUM($M$2:$W$2))</f>
        <v/>
      </c>
      <c r="Y14" s="466"/>
      <c r="Z14" s="533">
        <f>+X16</f>
        <v>-147</v>
      </c>
      <c r="AA14" s="447">
        <f t="shared" si="0"/>
        <v>0</v>
      </c>
      <c r="AB14" s="343">
        <f>+AC14+AA14</f>
        <v>6629</v>
      </c>
      <c r="AC14" s="343">
        <v>6629</v>
      </c>
      <c r="AD14" s="344"/>
      <c r="AE14" s="345"/>
      <c r="AF14" s="346"/>
      <c r="AG14" s="347">
        <f t="shared" si="1"/>
        <v>0</v>
      </c>
      <c r="AH14" s="341">
        <f t="shared" si="2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427</v>
      </c>
      <c r="E15" s="111"/>
      <c r="F15" s="111" t="s">
        <v>428</v>
      </c>
      <c r="G15" s="541" t="str">
        <f t="shared" ref="G15:G17" si="9">+G14</f>
        <v>NEGRONI-202942</v>
      </c>
      <c r="H15" s="111"/>
      <c r="I15" s="111" t="s">
        <v>430</v>
      </c>
      <c r="J15" s="113">
        <v>48.06</v>
      </c>
      <c r="K15" s="130">
        <v>60</v>
      </c>
      <c r="L15" s="101" t="s">
        <v>17</v>
      </c>
      <c r="M15" s="214">
        <v>42</v>
      </c>
      <c r="N15" s="214">
        <v>30</v>
      </c>
      <c r="O15" s="214">
        <v>30</v>
      </c>
      <c r="P15" s="214">
        <v>51</v>
      </c>
      <c r="Q15" s="214">
        <v>45</v>
      </c>
      <c r="R15" s="214">
        <v>38</v>
      </c>
      <c r="S15" s="214">
        <v>52</v>
      </c>
      <c r="T15" s="214">
        <v>55</v>
      </c>
      <c r="U15" s="214">
        <v>35</v>
      </c>
      <c r="V15" s="214"/>
      <c r="W15" s="214"/>
      <c r="X15" s="123">
        <f>+IF(H16="s",0,IF(AA15=0,0,IF(COUNTA(M15:W15)=AK17+0.25,SUMIF($C:$C,B15,$AA:$AA)/AK17,SUMIF($C:$C,B15,$AA:$AA)/(COUNTA(M15:W15)))))</f>
        <v>43.2</v>
      </c>
      <c r="Y15" s="466"/>
      <c r="Z15" s="534"/>
      <c r="AA15" s="134">
        <f t="shared" si="0"/>
        <v>378</v>
      </c>
      <c r="AB15" s="354">
        <f>+AA15+AC15</f>
        <v>6056</v>
      </c>
      <c r="AC15" s="354">
        <v>5678</v>
      </c>
      <c r="AD15" s="355">
        <f>+AB14-AB15</f>
        <v>573</v>
      </c>
      <c r="AE15" s="131">
        <f>+IF(((AA16+(AA17/2))*60)=0,"",(J15*AA15)/((AA16+(AA17/2))*60))</f>
        <v>0.62784447900466567</v>
      </c>
      <c r="AF15" s="347">
        <f>+AA16+AA17/2</f>
        <v>482.25</v>
      </c>
      <c r="AG15" s="347">
        <f t="shared" si="1"/>
        <v>482.15</v>
      </c>
      <c r="AH15" s="341">
        <f t="shared" si="2"/>
        <v>28935</v>
      </c>
      <c r="AI15" s="341">
        <f>+AA15*J15</f>
        <v>18166.68</v>
      </c>
      <c r="AJ15" s="356">
        <f>+AA15-(AF15*K15/K17)</f>
        <v>-148.09090909090912</v>
      </c>
      <c r="AK15" s="348"/>
      <c r="AL15" s="349"/>
      <c r="AM15" s="341"/>
      <c r="AN15" s="341"/>
      <c r="AO15" s="341"/>
      <c r="AP15" s="341"/>
      <c r="AQ15" s="339"/>
      <c r="AR15" s="434"/>
      <c r="AT15" s="390">
        <v>951</v>
      </c>
      <c r="AV15" s="390">
        <f>+AT15-AD15</f>
        <v>378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>
        <f>+B15</f>
        <v>2</v>
      </c>
      <c r="F16" s="409"/>
      <c r="G16" s="541" t="str">
        <f t="shared" si="9"/>
        <v>NEGRONI-202942</v>
      </c>
      <c r="H16" s="411"/>
      <c r="I16" s="113">
        <f>+IFERROR(IF(K17=0,0,IF((LOOKUP(2,1/(M16:W16&lt;&gt;""),M16:W16)-K17)&lt;0,0,IF(K17=0,"",LOOKUP(2,1/(M16:W16&lt;&gt;""),M16:W16)-K17))),0)</f>
        <v>0</v>
      </c>
      <c r="J16" s="113">
        <v>0</v>
      </c>
      <c r="K16" s="114" t="s">
        <v>22</v>
      </c>
      <c r="L16" s="102" t="s">
        <v>18</v>
      </c>
      <c r="M16" s="448">
        <v>55</v>
      </c>
      <c r="N16" s="448">
        <v>55</v>
      </c>
      <c r="O16" s="448">
        <v>55</v>
      </c>
      <c r="P16" s="448">
        <v>55</v>
      </c>
      <c r="Q16" s="448">
        <v>55</v>
      </c>
      <c r="R16" s="448">
        <v>55</v>
      </c>
      <c r="S16" s="448">
        <v>55</v>
      </c>
      <c r="T16" s="448">
        <v>55</v>
      </c>
      <c r="U16" s="448">
        <v>55</v>
      </c>
      <c r="V16" s="448"/>
      <c r="W16" s="448"/>
      <c r="X16" s="160">
        <f>+IF(H16="l",IF(COUNTA(M15:W15)=AK17+0.25,AA15-K15*AK17,AA15-(K15*COUNTA(M15:W15))),IF(H16="s",0,IF(COUNTA(M15:W15)=AK17+0.25,SUMIF($C:$C,B15,$AA:$AA)-K15*AK17,SUMIF($C:$C,B15,$AA:$AA)-K15*COUNTA(M15:W15))))</f>
        <v>-147</v>
      </c>
      <c r="Y16" s="466"/>
      <c r="Z16" s="534"/>
      <c r="AA16" s="462">
        <f t="shared" ref="AA16:AA17" si="10">+SUM(M16:W16)-U16*0.25</f>
        <v>481.25</v>
      </c>
      <c r="AB16" s="360"/>
      <c r="AC16" s="360"/>
      <c r="AD16" s="362"/>
      <c r="AE16" s="363"/>
      <c r="AF16" s="346"/>
      <c r="AG16" s="347">
        <f t="shared" si="1"/>
        <v>0</v>
      </c>
      <c r="AH16" s="341">
        <f t="shared" si="2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481.25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>
        <f>+E16+100</f>
        <v>102</v>
      </c>
      <c r="F17" s="175"/>
      <c r="G17" s="542" t="str">
        <f t="shared" si="9"/>
        <v>NEGRONI-202942</v>
      </c>
      <c r="H17" s="117"/>
      <c r="I17" s="442"/>
      <c r="J17" s="165">
        <f>+IF(K17="","",IF(K15=0,"",(K15*J15)/(K17*60)))</f>
        <v>0.87381818181818194</v>
      </c>
      <c r="K17" s="118">
        <v>55</v>
      </c>
      <c r="L17" s="104" t="s">
        <v>19</v>
      </c>
      <c r="M17" s="216">
        <v>1</v>
      </c>
      <c r="N17" s="216">
        <v>1</v>
      </c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36.14</v>
      </c>
      <c r="Z17" s="365">
        <v>36.14</v>
      </c>
      <c r="AA17" s="465">
        <f t="shared" si="10"/>
        <v>2</v>
      </c>
      <c r="AB17" s="367"/>
      <c r="AC17" s="367"/>
      <c r="AD17" s="368">
        <f>+IFERROR(AD15/(K15*$AQ$3),"")</f>
        <v>1.0914285714285714</v>
      </c>
      <c r="AE17" s="369"/>
      <c r="AF17" s="347"/>
      <c r="AG17" s="347">
        <f t="shared" si="1"/>
        <v>0</v>
      </c>
      <c r="AH17" s="341">
        <f t="shared" si="2"/>
        <v>0</v>
      </c>
      <c r="AI17" s="341"/>
      <c r="AJ17" s="356"/>
      <c r="AK17" s="370">
        <f>+$AJ$4</f>
        <v>8.75</v>
      </c>
      <c r="AL17" s="349">
        <f>+IF(AK17=7.75,SUM(M17:S17)+T17*0.75,IF(AK17=8,SUM(M17:T17),IF(AK17=7.25,SUM(M17:S17)+T17*0.25,IF(AK17=8.25,SUM(M17:T17)+U17*0.25,IF(AK17=8.75,SUM(M17:T17)+U17*0.75,0)))))</f>
        <v>2</v>
      </c>
      <c r="AM17" s="341">
        <f>+AL17-AA17</f>
        <v>0</v>
      </c>
      <c r="AN17" s="341"/>
      <c r="AO17" s="341"/>
      <c r="AP17" s="341"/>
      <c r="AQ17" s="369"/>
      <c r="AR17" s="434"/>
      <c r="AT17" s="390">
        <v>1.8114285714285714</v>
      </c>
      <c r="AV17" s="390"/>
    </row>
    <row r="18" spans="2:58" s="98" customFormat="1" ht="62.25" customHeight="1" thickTop="1" x14ac:dyDescent="0.9">
      <c r="B18" s="342">
        <f>+B19</f>
        <v>2</v>
      </c>
      <c r="C18" s="405"/>
      <c r="D18" s="106"/>
      <c r="E18" s="106"/>
      <c r="F18" s="106"/>
      <c r="G18" s="540" t="s">
        <v>481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120</v>
      </c>
      <c r="N18" s="448">
        <v>60</v>
      </c>
      <c r="O18" s="448"/>
      <c r="P18" s="448"/>
      <c r="Q18" s="448"/>
      <c r="R18" s="448"/>
      <c r="S18" s="448"/>
      <c r="T18" s="448"/>
      <c r="U18" s="448"/>
      <c r="V18" s="448"/>
      <c r="W18" s="448"/>
      <c r="X18" s="447">
        <f t="shared" ref="X18" si="11">IF(AQ19="","",SUM(M18:W18)-(-(AQ19-SUM(M18:W18))/$AQ$3)*SUM($M$2:$W$2))</f>
        <v>180</v>
      </c>
      <c r="Y18" s="466"/>
      <c r="Z18" s="533">
        <f>+X20</f>
        <v>0</v>
      </c>
      <c r="AA18" s="447">
        <f t="shared" ref="AA18:AA19" si="12">+SUM(L18:W18)</f>
        <v>180</v>
      </c>
      <c r="AB18" s="343">
        <f>+AC18+AA18</f>
        <v>180</v>
      </c>
      <c r="AC18" s="343"/>
      <c r="AD18" s="344"/>
      <c r="AE18" s="345"/>
      <c r="AF18" s="346"/>
      <c r="AG18" s="347">
        <f t="shared" ref="AG18:AG21" si="13">TRUNC(AF18)+(AF18-TRUNC(AF18))*60/100</f>
        <v>0</v>
      </c>
      <c r="AH18" s="341">
        <f t="shared" ref="AH18:AH21" si="14">+AF18*60</f>
        <v>0</v>
      </c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2</v>
      </c>
      <c r="C19" s="406">
        <f>+B19</f>
        <v>2</v>
      </c>
      <c r="D19" s="407" t="s">
        <v>480</v>
      </c>
      <c r="E19" s="111"/>
      <c r="F19" s="111" t="s">
        <v>35</v>
      </c>
      <c r="G19" s="541" t="str">
        <f t="shared" ref="G19:G21" si="15">+G18</f>
        <v>2396-593-600</v>
      </c>
      <c r="H19" s="111"/>
      <c r="I19" s="111" t="s">
        <v>33</v>
      </c>
      <c r="J19" s="113">
        <v>40.03</v>
      </c>
      <c r="K19" s="130">
        <v>61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123">
        <f>+IF(H20="s",0,IF(AA19=0,0,IF(COUNTA(M19:W19)=AK21+0.25,SUMIF($C:$C,B19,$AA:$AA)/AK21,SUMIF($C:$C,B19,$AA:$AA)/(COUNTA(M19:W19)))))</f>
        <v>0</v>
      </c>
      <c r="Y19" s="466"/>
      <c r="Z19" s="534"/>
      <c r="AA19" s="134">
        <f t="shared" si="12"/>
        <v>0</v>
      </c>
      <c r="AB19" s="354">
        <f>+AA19+AC19</f>
        <v>0</v>
      </c>
      <c r="AC19" s="354"/>
      <c r="AD19" s="355">
        <f>+AB18-AB19</f>
        <v>180</v>
      </c>
      <c r="AE19" s="131" t="str">
        <f>+IF(((AA20+(AA21/2))*60)=0,"",(J19*AA19)/((AA20+(AA21/2))*60))</f>
        <v/>
      </c>
      <c r="AF19" s="347">
        <f>+AA20+AA21/2</f>
        <v>0</v>
      </c>
      <c r="AG19" s="347">
        <f t="shared" si="13"/>
        <v>0</v>
      </c>
      <c r="AH19" s="341">
        <f t="shared" si="14"/>
        <v>0</v>
      </c>
      <c r="AI19" s="341">
        <f>+AA19*J19</f>
        <v>0</v>
      </c>
      <c r="AJ19" s="356" t="e">
        <f>+AA19-(AF19*K19/K21)</f>
        <v>#DIV/0!</v>
      </c>
      <c r="AK19" s="348"/>
      <c r="AL19" s="349"/>
      <c r="AM19" s="341"/>
      <c r="AN19" s="341"/>
      <c r="AO19" s="341"/>
      <c r="AP19" s="341"/>
      <c r="AQ19" s="339">
        <f>-180+AA18</f>
        <v>0</v>
      </c>
      <c r="AR19" s="434"/>
      <c r="AT19" s="390">
        <v>0</v>
      </c>
      <c r="AV19" s="390">
        <f>+AT19-AD19</f>
        <v>-180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2</v>
      </c>
      <c r="C20" s="408"/>
      <c r="D20" s="184"/>
      <c r="E20" s="111"/>
      <c r="F20" s="409"/>
      <c r="G20" s="541" t="str">
        <f t="shared" si="15"/>
        <v>2396-593-600</v>
      </c>
      <c r="H20" s="411" t="s">
        <v>412</v>
      </c>
      <c r="I20" s="113"/>
      <c r="J20" s="113"/>
      <c r="K20" s="114"/>
      <c r="L20" s="102" t="s">
        <v>18</v>
      </c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160">
        <f>+IF(H20="l",IF(COUNTA(M19:W19)=AK21+0.25,AA19-K19*AK21,AA19-(K19*COUNTA(M19:W19))),IF(H20="s",0,IF(COUNTA(M19:W19)=AK21+0.25,SUMIF($C:$C,B19,$AA:$AA)-K19*AK21,SUMIF($C:$C,B19,$AA:$AA)-K19*COUNTA(M19:W19))))</f>
        <v>0</v>
      </c>
      <c r="Y20" s="466"/>
      <c r="Z20" s="534"/>
      <c r="AA20" s="462">
        <f t="shared" ref="AA20:AA21" si="16">+SUM(M20:W20)-U20*0.25</f>
        <v>0</v>
      </c>
      <c r="AB20" s="360"/>
      <c r="AC20" s="360"/>
      <c r="AD20" s="362"/>
      <c r="AE20" s="363"/>
      <c r="AF20" s="346"/>
      <c r="AG20" s="347">
        <f t="shared" si="13"/>
        <v>0</v>
      </c>
      <c r="AH20" s="341">
        <f t="shared" si="14"/>
        <v>0</v>
      </c>
      <c r="AI20" s="341"/>
      <c r="AJ20" s="341"/>
      <c r="AK20" s="348"/>
      <c r="AL20" s="349">
        <f>+IF(AK21=7.75,SUM(M20:S20)+T20*0.75,IF(AK21=8,SUM(M20:T20),IF(AK21=7.25,SUM(M20:S20)+T20*0.25,IF(AK21=8.25,SUM(M20:T20)+U20*0.25,IF(AK21=8.75,SUM(M20:T20)+U20*0.75,0)))))</f>
        <v>0</v>
      </c>
      <c r="AM20" s="341">
        <f>+AL20-AA20</f>
        <v>0</v>
      </c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2</v>
      </c>
      <c r="C21" s="410"/>
      <c r="D21" s="174" t="s">
        <v>419</v>
      </c>
      <c r="E21" s="175"/>
      <c r="F21" s="175"/>
      <c r="G21" s="542" t="str">
        <f t="shared" si="15"/>
        <v>2396-593-600</v>
      </c>
      <c r="H21" s="117"/>
      <c r="I21" s="442"/>
      <c r="J21" s="165"/>
      <c r="K21" s="118"/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/>
      <c r="Z21" s="371">
        <f>+IF(COUNTA(M19:W19)=$AJ$4+0.25,$AJ$4-(AA19/K19),COUNTA(M19:W19)-(AA19/K19))+Y21</f>
        <v>0</v>
      </c>
      <c r="AA21" s="465">
        <f t="shared" si="16"/>
        <v>0</v>
      </c>
      <c r="AB21" s="367"/>
      <c r="AC21" s="367"/>
      <c r="AD21" s="368">
        <f>+IFERROR(AD19/(K19*$AQ$3),"")</f>
        <v>0.33723653395784542</v>
      </c>
      <c r="AE21" s="369"/>
      <c r="AF21" s="347"/>
      <c r="AG21" s="347">
        <f t="shared" si="13"/>
        <v>0</v>
      </c>
      <c r="AH21" s="341">
        <f t="shared" si="14"/>
        <v>0</v>
      </c>
      <c r="AI21" s="341"/>
      <c r="AJ21" s="356"/>
      <c r="AK21" s="370">
        <f>+$AJ$4</f>
        <v>8.75</v>
      </c>
      <c r="AL21" s="349">
        <f>+IF(AK21=7.75,SUM(M21:S21)+T21*0.75,IF(AK21=8,SUM(M21:T21),IF(AK21=7.25,SUM(M21:S21)+T21*0.25,IF(AK21=8.25,SUM(M21:T21)+U21*0.25,IF(AK21=8.75,SUM(M21:T21)+U21*0.75,0)))))</f>
        <v>0</v>
      </c>
      <c r="AM21" s="341">
        <f>+AL21-AA21</f>
        <v>0</v>
      </c>
      <c r="AN21" s="341"/>
      <c r="AO21" s="341"/>
      <c r="AP21" s="341"/>
      <c r="AQ21" s="369"/>
      <c r="AR21" s="434"/>
      <c r="AT21" s="390" t="s">
        <v>416</v>
      </c>
      <c r="AV21" s="390"/>
    </row>
    <row r="22" spans="2:58" s="98" customFormat="1" ht="62.25" customHeight="1" thickTop="1" x14ac:dyDescent="0.9">
      <c r="B22" s="342">
        <f>+B23</f>
        <v>3</v>
      </c>
      <c r="C22" s="405"/>
      <c r="D22" s="106"/>
      <c r="E22" s="106"/>
      <c r="F22" s="106"/>
      <c r="G22" s="540"/>
      <c r="H22" s="106"/>
      <c r="I22" s="106"/>
      <c r="J22" s="107" t="s">
        <v>20</v>
      </c>
      <c r="K22" s="108" t="s">
        <v>23</v>
      </c>
      <c r="L22" s="100" t="s">
        <v>21</v>
      </c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47" t="str">
        <f t="shared" ref="X22" si="17">IF(AQ23="","",SUM(M22:W22)-(-(AQ23-SUM(M22:W22))/$AQ$3)*SUM($M$2:$W$2))</f>
        <v/>
      </c>
      <c r="Y22" s="466"/>
      <c r="Z22" s="533">
        <f>+X24</f>
        <v>0</v>
      </c>
      <c r="AA22" s="447">
        <f t="shared" si="0"/>
        <v>0</v>
      </c>
      <c r="AB22" s="343">
        <f>+AC22+AA22</f>
        <v>0</v>
      </c>
      <c r="AC22" s="343">
        <v>0</v>
      </c>
      <c r="AD22" s="344"/>
      <c r="AE22" s="345"/>
      <c r="AF22" s="346"/>
      <c r="AG22" s="347"/>
      <c r="AH22" s="341"/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1.35">
      <c r="B23" s="351">
        <v>3</v>
      </c>
      <c r="C23" s="406">
        <v>3</v>
      </c>
      <c r="D23" s="407"/>
      <c r="E23" s="111"/>
      <c r="F23" s="111"/>
      <c r="G23" s="541"/>
      <c r="H23" s="111"/>
      <c r="I23" s="111"/>
      <c r="J23" s="113"/>
      <c r="K23" s="130"/>
      <c r="L23" s="101" t="s">
        <v>17</v>
      </c>
      <c r="M23" s="454"/>
      <c r="N23" s="454"/>
      <c r="O23" s="454"/>
      <c r="P23" s="454"/>
      <c r="Q23" s="454"/>
      <c r="R23" s="454"/>
      <c r="S23" s="454"/>
      <c r="T23" s="454"/>
      <c r="U23" s="454"/>
      <c r="V23" s="454"/>
      <c r="W23" s="454"/>
      <c r="X23" s="123">
        <f>+IF(H24="s",0,IF(AA23=0,0,IF(COUNTA(M23:W23)=AK25+0.25,SUMIF($C:$C,B23,$AA:$AA)/AK25,SUMIF($C:$C,B23,$AA:$AA)/(COUNTA(M23:W23)))))</f>
        <v>0</v>
      </c>
      <c r="Y23" s="466"/>
      <c r="Z23" s="534"/>
      <c r="AA23" s="134">
        <f t="shared" si="0"/>
        <v>0</v>
      </c>
      <c r="AB23" s="354">
        <f>+AA23+AC23</f>
        <v>0</v>
      </c>
      <c r="AC23" s="354">
        <v>0</v>
      </c>
      <c r="AD23" s="355">
        <f>+AB22-AB23</f>
        <v>0</v>
      </c>
      <c r="AE23" s="131" t="str">
        <f>+IF(((AA24+(AA25/2))*60)=0,"",(J23*AA23)/((AA24+(AA25/2))*60))</f>
        <v/>
      </c>
      <c r="AF23" s="347"/>
      <c r="AG23" s="347"/>
      <c r="AH23" s="341"/>
      <c r="AI23" s="341"/>
      <c r="AJ23" s="356"/>
      <c r="AK23" s="348"/>
      <c r="AL23" s="349"/>
      <c r="AM23" s="341"/>
      <c r="AN23" s="341"/>
      <c r="AO23" s="341"/>
      <c r="AP23" s="341"/>
      <c r="AQ23" s="339" t="str">
        <f t="shared" si="4"/>
        <v/>
      </c>
      <c r="AR23" s="434"/>
      <c r="AT23" s="390">
        <v>0</v>
      </c>
      <c r="AV23" s="390">
        <f t="shared" ref="AV23" si="18">+AT23-AD23</f>
        <v>0</v>
      </c>
      <c r="AW23" s="535"/>
      <c r="AX23" s="535"/>
      <c r="AY23" s="535"/>
      <c r="AZ23" s="535"/>
      <c r="BA23" s="535"/>
      <c r="BB23" s="535"/>
      <c r="BC23" s="535"/>
      <c r="BD23" s="535"/>
      <c r="BE23" s="535"/>
      <c r="BF23" s="535"/>
    </row>
    <row r="24" spans="2:58" s="98" customFormat="1" ht="62.25" customHeight="1" x14ac:dyDescent="0.9">
      <c r="B24" s="357">
        <f>+B23</f>
        <v>3</v>
      </c>
      <c r="C24" s="408"/>
      <c r="D24" s="184"/>
      <c r="E24" s="111">
        <f>+B23</f>
        <v>3</v>
      </c>
      <c r="F24" s="409"/>
      <c r="G24" s="541"/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160">
        <f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ref="AA24:AA25" si="19">+SUM(M24:W24)-U24*0.25</f>
        <v>0</v>
      </c>
      <c r="AB24" s="360"/>
      <c r="AC24" s="360"/>
      <c r="AD24" s="362"/>
      <c r="AE24" s="363"/>
      <c r="AF24" s="346"/>
      <c r="AG24" s="347"/>
      <c r="AH24" s="341"/>
      <c r="AI24" s="341"/>
      <c r="AJ24" s="341"/>
      <c r="AK24" s="348"/>
      <c r="AL24" s="349"/>
      <c r="AM24" s="341"/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3</v>
      </c>
      <c r="C25" s="410"/>
      <c r="D25" s="174"/>
      <c r="E25" s="175">
        <f>+E24+100</f>
        <v>103</v>
      </c>
      <c r="F25" s="175"/>
      <c r="G25" s="542"/>
      <c r="H25" s="117"/>
      <c r="I25" s="442"/>
      <c r="J25" s="165" t="str">
        <f>+IF(K25="","",IF(K23=0,"",(K23*J23)/(K25*60)))</f>
        <v/>
      </c>
      <c r="K25" s="118"/>
      <c r="L25" s="104" t="s">
        <v>19</v>
      </c>
      <c r="M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173"/>
      <c r="Y25" s="467"/>
      <c r="Z25" s="371"/>
      <c r="AA25" s="465">
        <f t="shared" si="19"/>
        <v>0</v>
      </c>
      <c r="AB25" s="367"/>
      <c r="AC25" s="367"/>
      <c r="AD25" s="368" t="str">
        <f>+IFERROR(AD23/(K23*$AQ$3),"")</f>
        <v/>
      </c>
      <c r="AE25" s="369"/>
      <c r="AF25" s="347"/>
      <c r="AG25" s="347"/>
      <c r="AH25" s="341"/>
      <c r="AI25" s="341"/>
      <c r="AJ25" s="356"/>
      <c r="AK25" s="370">
        <f>+$AJ$4</f>
        <v>8.75</v>
      </c>
      <c r="AL25" s="349"/>
      <c r="AM25" s="341"/>
      <c r="AN25" s="341"/>
      <c r="AO25" s="341"/>
      <c r="AP25" s="341"/>
      <c r="AQ25" s="369"/>
      <c r="AR25" s="434"/>
      <c r="AT25" s="390" t="s">
        <v>416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39" t="s">
        <v>424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7" t="str">
        <f t="shared" ref="X26" si="20">IF(AQ27="","",SUM(M26:W26)-(-(AQ27-SUM(M26:W26))/$AQ$3)*SUM($M$2:$W$2))</f>
        <v/>
      </c>
      <c r="Y26" s="466"/>
      <c r="Z26" s="533">
        <f>+X28</f>
        <v>0</v>
      </c>
      <c r="AA26" s="447">
        <f t="shared" si="0"/>
        <v>0</v>
      </c>
      <c r="AB26" s="343">
        <f>+AC26+AA26</f>
        <v>8799</v>
      </c>
      <c r="AC26" s="343">
        <v>8799</v>
      </c>
      <c r="AD26" s="344"/>
      <c r="AE26" s="345"/>
      <c r="AF26" s="346"/>
      <c r="AG26" s="347">
        <f t="shared" si="1"/>
        <v>0</v>
      </c>
      <c r="AH26" s="341">
        <f t="shared" si="2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423</v>
      </c>
      <c r="E27" s="111"/>
      <c r="F27" s="111" t="s">
        <v>35</v>
      </c>
      <c r="G27" s="539" t="str">
        <f t="shared" ref="G27:G29" si="21">+G26</f>
        <v>2215-518-800</v>
      </c>
      <c r="H27" s="111"/>
      <c r="I27" s="111" t="s">
        <v>33</v>
      </c>
      <c r="J27" s="113">
        <v>33.42</v>
      </c>
      <c r="K27" s="130">
        <v>61</v>
      </c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123">
        <f>+IF(H28="s",0,IF(AA27=0,0,IF(COUNTA(M27:W27)=AK29+0.25,SUMIF($C:$C,B27,$AA:$AA)/AK29,SUMIF($C:$C,B27,$AA:$AA)/(COUNTA(M27:W27)))))</f>
        <v>0</v>
      </c>
      <c r="Y27" s="466"/>
      <c r="Z27" s="534"/>
      <c r="AA27" s="134">
        <f t="shared" si="0"/>
        <v>0</v>
      </c>
      <c r="AB27" s="354">
        <f>+AA27+AC27</f>
        <v>8771</v>
      </c>
      <c r="AC27" s="354">
        <v>8771</v>
      </c>
      <c r="AD27" s="355">
        <f>+AB26-AB27</f>
        <v>28</v>
      </c>
      <c r="AE27" s="131" t="str">
        <f>+IF(((AA28+(AA29/2))*60)=0,"",(J27*AA27)/((AA28+(AA29/2))*60))</f>
        <v/>
      </c>
      <c r="AF27" s="347">
        <f>+AA28+AA29/2</f>
        <v>0</v>
      </c>
      <c r="AG27" s="347">
        <f t="shared" si="1"/>
        <v>0</v>
      </c>
      <c r="AH27" s="341">
        <f t="shared" si="2"/>
        <v>0</v>
      </c>
      <c r="AI27" s="341">
        <f>+AA27*J27</f>
        <v>0</v>
      </c>
      <c r="AJ27" s="356">
        <f>+AA27-(AF27*K27/K29)</f>
        <v>0</v>
      </c>
      <c r="AK27" s="348"/>
      <c r="AL27" s="349"/>
      <c r="AM27" s="341"/>
      <c r="AN27" s="341"/>
      <c r="AO27" s="341"/>
      <c r="AP27" s="341"/>
      <c r="AQ27" s="339" t="str">
        <f t="shared" si="4"/>
        <v/>
      </c>
      <c r="AR27" s="434"/>
      <c r="AT27" s="390">
        <v>28</v>
      </c>
      <c r="AV27" s="390">
        <f t="shared" ref="AV27" si="22">+AT27-AD27</f>
        <v>0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39" t="str">
        <f t="shared" si="21"/>
        <v>2215-518-800</v>
      </c>
      <c r="H28" s="411" t="s">
        <v>414</v>
      </c>
      <c r="I28" s="113">
        <f>+IFERROR(IF(K29=0,0,IF((LOOKUP(2,1/(M28:W28&lt;&gt;""),M28:W28)-K29)&lt;0,0,IF(K29=0,"",LOOKUP(2,1/(M28:W28&lt;&gt;""),M28:W28)-K29))),0)</f>
        <v>0</v>
      </c>
      <c r="J28" s="113">
        <v>0</v>
      </c>
      <c r="K28" s="114" t="s">
        <v>22</v>
      </c>
      <c r="L28" s="102" t="s">
        <v>18</v>
      </c>
      <c r="M28" s="448"/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160">
        <f>+IF(H28="l",IF(COUNTA(M27:W27)=AK29+0.25,AA27-K27*AK29,AA27-(K27*COUNTA(M27:W27))),IF(H28="s",0,IF(COUNTA(M27:W27)=AK29+0.25,SUMIF($C:$C,B27,$AA:$AA)-K27*AK29,SUMIF($C:$C,B27,$AA:$AA)-K27*COUNTA(M27:W27))))</f>
        <v>0</v>
      </c>
      <c r="Y28" s="466"/>
      <c r="Z28" s="534"/>
      <c r="AA28" s="462">
        <f t="shared" ref="AA28:AA29" si="23">+SUM(M28:W28)-U28*0.25</f>
        <v>0</v>
      </c>
      <c r="AB28" s="360"/>
      <c r="AC28" s="360"/>
      <c r="AD28" s="362"/>
      <c r="AE28" s="363"/>
      <c r="AF28" s="346"/>
      <c r="AG28" s="347">
        <f t="shared" si="1"/>
        <v>0</v>
      </c>
      <c r="AH28" s="341">
        <f t="shared" si="2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0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39" t="str">
        <f t="shared" si="21"/>
        <v>2215-518-800</v>
      </c>
      <c r="H29" s="117"/>
      <c r="I29" s="442"/>
      <c r="J29" s="165">
        <f>+IF(K29="","",IF(K27=0,"",(K27*J27)/(K29*60)))</f>
        <v>0.8941315789473685</v>
      </c>
      <c r="K29" s="118">
        <v>38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24.63</v>
      </c>
      <c r="Z29" s="365">
        <v>24.63</v>
      </c>
      <c r="AA29" s="465">
        <f t="shared" si="23"/>
        <v>0</v>
      </c>
      <c r="AB29" s="367"/>
      <c r="AC29" s="367"/>
      <c r="AD29" s="368">
        <f>+IFERROR(AD27/(K27*$AQ$3),"")</f>
        <v>5.2459016393442623E-2</v>
      </c>
      <c r="AE29" s="369"/>
      <c r="AF29" s="347"/>
      <c r="AG29" s="347">
        <f t="shared" si="1"/>
        <v>0</v>
      </c>
      <c r="AH29" s="341">
        <f t="shared" si="2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5.2459016393442623E-2</v>
      </c>
      <c r="AV29" s="390"/>
    </row>
    <row r="30" spans="2:58" s="98" customFormat="1" ht="62.25" customHeight="1" thickTop="1" x14ac:dyDescent="0.9">
      <c r="B30" s="342">
        <f>+B31</f>
        <v>4</v>
      </c>
      <c r="C30" s="405"/>
      <c r="D30" s="106"/>
      <c r="E30" s="106"/>
      <c r="F30" s="106"/>
      <c r="G30" s="540" t="s">
        <v>442</v>
      </c>
      <c r="H30" s="106"/>
      <c r="I30" s="106"/>
      <c r="J30" s="107" t="s">
        <v>20</v>
      </c>
      <c r="K30" s="108" t="s">
        <v>23</v>
      </c>
      <c r="L30" s="100" t="s">
        <v>21</v>
      </c>
      <c r="M30" s="448">
        <v>60</v>
      </c>
      <c r="N30" s="448">
        <v>60</v>
      </c>
      <c r="O30" s="448">
        <v>60</v>
      </c>
      <c r="P30" s="448">
        <v>60</v>
      </c>
      <c r="Q30" s="448">
        <v>60</v>
      </c>
      <c r="R30" s="448"/>
      <c r="S30" s="448">
        <v>60</v>
      </c>
      <c r="T30" s="448">
        <v>60</v>
      </c>
      <c r="U30" s="448">
        <v>60</v>
      </c>
      <c r="V30" s="448"/>
      <c r="W30" s="448"/>
      <c r="X30" s="447">
        <f t="shared" ref="X30" si="24">IF(AQ31="","",SUM(M30:W30)-(-(AQ31-SUM(M30:W30))/$AQ$3)*SUM($M$2:$W$2))</f>
        <v>480</v>
      </c>
      <c r="Y30" s="466"/>
      <c r="Z30" s="533">
        <f>+X32</f>
        <v>-178</v>
      </c>
      <c r="AA30" s="447">
        <f t="shared" si="0"/>
        <v>480</v>
      </c>
      <c r="AB30" s="343">
        <f>+AC30+AA30</f>
        <v>1561</v>
      </c>
      <c r="AC30" s="343">
        <v>1081</v>
      </c>
      <c r="AD30" s="344"/>
      <c r="AE30" s="345"/>
      <c r="AF30" s="346"/>
      <c r="AG30" s="347">
        <f t="shared" si="1"/>
        <v>0</v>
      </c>
      <c r="AH30" s="341">
        <f t="shared" si="2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4</v>
      </c>
      <c r="C31" s="406">
        <f>+B31</f>
        <v>4</v>
      </c>
      <c r="D31" s="407" t="s">
        <v>441</v>
      </c>
      <c r="E31" s="111"/>
      <c r="F31" s="111" t="s">
        <v>35</v>
      </c>
      <c r="G31" s="541" t="str">
        <f t="shared" ref="G31:G33" si="25">+G30</f>
        <v>2259-600-730</v>
      </c>
      <c r="H31" s="111"/>
      <c r="I31" s="111" t="s">
        <v>33</v>
      </c>
      <c r="J31" s="113">
        <v>36.840000000000003</v>
      </c>
      <c r="K31" s="130">
        <v>60</v>
      </c>
      <c r="L31" s="101" t="s">
        <v>17</v>
      </c>
      <c r="M31" s="214">
        <v>46</v>
      </c>
      <c r="N31" s="214">
        <v>30</v>
      </c>
      <c r="O31" s="214">
        <v>37</v>
      </c>
      <c r="P31" s="214">
        <v>50</v>
      </c>
      <c r="Q31" s="214">
        <v>36</v>
      </c>
      <c r="R31" s="214">
        <v>40</v>
      </c>
      <c r="S31" s="214">
        <v>36</v>
      </c>
      <c r="T31" s="214">
        <v>42</v>
      </c>
      <c r="U31" s="214">
        <v>30</v>
      </c>
      <c r="V31" s="214"/>
      <c r="W31" s="214"/>
      <c r="X31" s="123">
        <f>+IF(H32="s",0,IF(AA31=0,0,IF(COUNTA(M31:W31)=AK33+0.25,SUMIF($C:$C,B31,$AA:$AA)/AK33,SUMIF($C:$C,B31,$AA:$AA)/(COUNTA(M31:W31)))))</f>
        <v>39.657142857142858</v>
      </c>
      <c r="Y31" s="466"/>
      <c r="Z31" s="534"/>
      <c r="AA31" s="134">
        <f t="shared" si="0"/>
        <v>347</v>
      </c>
      <c r="AB31" s="354">
        <f>+AA31+AC31</f>
        <v>572</v>
      </c>
      <c r="AC31" s="354">
        <v>225</v>
      </c>
      <c r="AD31" s="355">
        <f>+AB30-AB31</f>
        <v>989</v>
      </c>
      <c r="AE31" s="131">
        <f>+IF(((AA32+(AA33/2))*60)=0,"",(J31*AA31)/((AA32+(AA33/2))*60))</f>
        <v>0.62434578754578762</v>
      </c>
      <c r="AF31" s="347">
        <f>+AA32+AA33/2</f>
        <v>341.25</v>
      </c>
      <c r="AG31" s="347">
        <f t="shared" si="1"/>
        <v>341.15</v>
      </c>
      <c r="AH31" s="341">
        <f t="shared" si="2"/>
        <v>20475</v>
      </c>
      <c r="AI31" s="341">
        <f>+AA31*J31</f>
        <v>12783.480000000001</v>
      </c>
      <c r="AJ31" s="356">
        <f>+AA31-(AF31*K31/K33)</f>
        <v>-191.81578947368416</v>
      </c>
      <c r="AK31" s="348"/>
      <c r="AL31" s="349"/>
      <c r="AM31" s="341"/>
      <c r="AN31" s="341"/>
      <c r="AO31" s="341"/>
      <c r="AP31" s="341"/>
      <c r="AQ31" s="339">
        <f t="shared" si="4"/>
        <v>128.5</v>
      </c>
      <c r="AR31" s="434">
        <v>1.3</v>
      </c>
      <c r="AT31" s="390">
        <v>856</v>
      </c>
      <c r="AV31" s="390">
        <f t="shared" ref="AV31" si="26">+AT31-AD31</f>
        <v>-133</v>
      </c>
    </row>
    <row r="32" spans="2:58" s="98" customFormat="1" ht="62.25" customHeight="1" x14ac:dyDescent="0.9">
      <c r="B32" s="357">
        <f>+B31</f>
        <v>4</v>
      </c>
      <c r="C32" s="408"/>
      <c r="D32" s="184"/>
      <c r="E32" s="111">
        <f>+B31</f>
        <v>4</v>
      </c>
      <c r="F32" s="409"/>
      <c r="G32" s="541" t="str">
        <f t="shared" si="25"/>
        <v>2259-600-730</v>
      </c>
      <c r="H32" s="411" t="s">
        <v>412</v>
      </c>
      <c r="I32" s="113">
        <f>+IFERROR(IF(K33=0,0,IF((LOOKUP(2,1/(M32:W32&lt;&gt;""),M32:W32)-K33)&lt;0,0,IF(K33=0,"",LOOKUP(2,1/(M32:W32&lt;&gt;""),M32:W32)-K33))),0)</f>
        <v>1</v>
      </c>
      <c r="J32" s="113">
        <v>2</v>
      </c>
      <c r="K32" s="114" t="s">
        <v>22</v>
      </c>
      <c r="L32" s="102" t="s">
        <v>18</v>
      </c>
      <c r="M32" s="448">
        <v>39</v>
      </c>
      <c r="N32" s="448">
        <v>39</v>
      </c>
      <c r="O32" s="448">
        <v>39</v>
      </c>
      <c r="P32" s="448">
        <v>39</v>
      </c>
      <c r="Q32" s="448">
        <v>39</v>
      </c>
      <c r="R32" s="448">
        <v>39</v>
      </c>
      <c r="S32" s="448">
        <v>39</v>
      </c>
      <c r="T32" s="448">
        <v>39</v>
      </c>
      <c r="U32" s="448">
        <v>39</v>
      </c>
      <c r="V32" s="448"/>
      <c r="W32" s="448"/>
      <c r="X32" s="160">
        <f>+IF(H32="l",IF(COUNTA(M31:W31)=AK33+0.25,AA31-K31*AK33,AA31-(K31*COUNTA(M31:W31))),IF(H32="s",0,IF(COUNTA(M31:W31)=AK33+0.25,SUMIF($C:$C,B31,$AA:$AA)-K31*AK33,SUMIF($C:$C,B31,$AA:$AA)-K31*COUNTA(M31:W31))))</f>
        <v>-178</v>
      </c>
      <c r="Y32" s="466"/>
      <c r="Z32" s="534"/>
      <c r="AA32" s="462">
        <f t="shared" ref="AA32:AA33" si="27">+SUM(M32:W32)-U32*0.25</f>
        <v>341.25</v>
      </c>
      <c r="AB32" s="360"/>
      <c r="AC32" s="360"/>
      <c r="AD32" s="362"/>
      <c r="AE32" s="363"/>
      <c r="AF32" s="346"/>
      <c r="AG32" s="347">
        <f t="shared" si="1"/>
        <v>0</v>
      </c>
      <c r="AH32" s="341">
        <f t="shared" si="2"/>
        <v>0</v>
      </c>
      <c r="AI32" s="341"/>
      <c r="AJ32" s="341"/>
      <c r="AK32" s="348"/>
      <c r="AL32" s="349">
        <f>+IF(AK33=7.75,SUM(M32:S32)+T32*0.75,IF(AK33=8,SUM(M32:T32),IF(AK33=7.25,SUM(M32:S32)+T32*0.25,IF(AK33=8.25,SUM(M32:T32)+U32*0.25,IF(AK33=8.75,SUM(M32:T32)+U32*0.75,0)))))</f>
        <v>341.25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+B31</f>
        <v>4</v>
      </c>
      <c r="C33" s="410"/>
      <c r="D33" s="174" t="s">
        <v>420</v>
      </c>
      <c r="E33" s="175">
        <f>+E32+100</f>
        <v>104</v>
      </c>
      <c r="F33" s="175"/>
      <c r="G33" s="542" t="str">
        <f t="shared" si="25"/>
        <v>2259-600-730</v>
      </c>
      <c r="H33" s="117"/>
      <c r="I33" s="442"/>
      <c r="J33" s="165">
        <f>+IF(K33="","",IF(K31=0,"",(K31*J31)/(K33*60)))</f>
        <v>0.96947368421052638</v>
      </c>
      <c r="K33" s="118">
        <v>38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14.038461538461538</v>
      </c>
      <c r="Z33" s="371">
        <f>+IF(COUNTA(M31:W31)=$AJ$4+0.25,$AJ$4-(AA31/K31),COUNTA(M31:W31)-(AA31/K31))+Y33</f>
        <v>17.005128205128205</v>
      </c>
      <c r="AA33" s="465">
        <f t="shared" si="27"/>
        <v>0</v>
      </c>
      <c r="AB33" s="367"/>
      <c r="AC33" s="367"/>
      <c r="AD33" s="368">
        <f>+IFERROR(AD31/(K31*$AQ$3),"")</f>
        <v>1.8838095238095238</v>
      </c>
      <c r="AE33" s="369"/>
      <c r="AF33" s="347"/>
      <c r="AG33" s="347">
        <f t="shared" si="1"/>
        <v>0</v>
      </c>
      <c r="AH33" s="341">
        <f t="shared" si="2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1.5050549450549451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39" t="s">
        <v>434</v>
      </c>
      <c r="H34" s="106"/>
      <c r="I34" s="111"/>
      <c r="J34" s="107" t="s">
        <v>20</v>
      </c>
      <c r="K34" s="108" t="s">
        <v>23</v>
      </c>
      <c r="L34" s="100" t="s">
        <v>21</v>
      </c>
      <c r="M34" s="448">
        <v>95</v>
      </c>
      <c r="N34" s="448">
        <v>50</v>
      </c>
      <c r="O34" s="448">
        <v>100</v>
      </c>
      <c r="P34" s="448">
        <v>165</v>
      </c>
      <c r="Q34" s="448">
        <v>60</v>
      </c>
      <c r="R34" s="448"/>
      <c r="S34" s="448"/>
      <c r="T34" s="448"/>
      <c r="U34" s="448"/>
      <c r="V34" s="448"/>
      <c r="W34" s="448"/>
      <c r="X34" s="447">
        <f t="shared" ref="X34" si="28">IF(AQ35="","",SUM(M34:W34)-(-(AQ35-SUM(M34:W34))/$AQ$3)*SUM($M$2:$W$2))</f>
        <v>470</v>
      </c>
      <c r="Y34" s="466"/>
      <c r="Z34" s="533">
        <f>+X36</f>
        <v>-73.25</v>
      </c>
      <c r="AA34" s="447">
        <f t="shared" si="0"/>
        <v>470</v>
      </c>
      <c r="AB34" s="343">
        <f>+AC34+AA34</f>
        <v>3741</v>
      </c>
      <c r="AC34" s="343">
        <v>3271</v>
      </c>
      <c r="AD34" s="344"/>
      <c r="AE34" s="345"/>
      <c r="AF34" s="346"/>
      <c r="AG34" s="347">
        <f t="shared" si="1"/>
        <v>0</v>
      </c>
      <c r="AH34" s="341">
        <f t="shared" si="2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433</v>
      </c>
      <c r="E35" s="111"/>
      <c r="F35" s="111" t="s">
        <v>428</v>
      </c>
      <c r="G35" s="539" t="str">
        <f t="shared" ref="G35:G37" si="29">+G34</f>
        <v>ATENAS-203645</v>
      </c>
      <c r="H35" s="111"/>
      <c r="I35" s="111" t="s">
        <v>33</v>
      </c>
      <c r="J35" s="113">
        <v>61</v>
      </c>
      <c r="K35" s="130">
        <v>47</v>
      </c>
      <c r="L35" s="101" t="s">
        <v>17</v>
      </c>
      <c r="M35" s="214">
        <v>32</v>
      </c>
      <c r="N35" s="214">
        <v>40</v>
      </c>
      <c r="O35" s="214">
        <v>40</v>
      </c>
      <c r="P35" s="214">
        <v>40</v>
      </c>
      <c r="Q35" s="214">
        <v>40</v>
      </c>
      <c r="R35" s="214">
        <v>40</v>
      </c>
      <c r="S35" s="214">
        <v>40</v>
      </c>
      <c r="T35" s="214">
        <v>40</v>
      </c>
      <c r="U35" s="214">
        <v>26</v>
      </c>
      <c r="V35" s="214"/>
      <c r="W35" s="214"/>
      <c r="X35" s="123">
        <f>+IF(H36="s",0,IF(AA35=0,0,IF(COUNTA(M35:W35)=AK37+0.25,SUMIF($C:$C,B35,$AA:$AA)/AK37,SUMIF($C:$C,B35,$AA:$AA)/(COUNTA(M35:W35)))))</f>
        <v>38.628571428571426</v>
      </c>
      <c r="Y35" s="466"/>
      <c r="Z35" s="534"/>
      <c r="AA35" s="134">
        <f t="shared" si="0"/>
        <v>338</v>
      </c>
      <c r="AB35" s="354">
        <f>+AA35+AC35</f>
        <v>2881</v>
      </c>
      <c r="AC35" s="354">
        <v>2543</v>
      </c>
      <c r="AD35" s="355">
        <f>+AB34-AB35</f>
        <v>860</v>
      </c>
      <c r="AE35" s="131">
        <f>+IF(((AA36+(AA37/2))*60)=0,"",(J35*AA35)/((AA36+(AA37/2))*60))</f>
        <v>0.70416666666666672</v>
      </c>
      <c r="AF35" s="347">
        <f>+AA36+AA37/2</f>
        <v>488</v>
      </c>
      <c r="AG35" s="347">
        <f t="shared" si="1"/>
        <v>488</v>
      </c>
      <c r="AH35" s="341">
        <f t="shared" si="2"/>
        <v>29280</v>
      </c>
      <c r="AI35" s="341">
        <f>+AA35*J35</f>
        <v>20618</v>
      </c>
      <c r="AJ35" s="356">
        <f>+AA35-(AF35*K35/K37)</f>
        <v>-71.571428571428555</v>
      </c>
      <c r="AK35" s="348"/>
      <c r="AL35" s="349"/>
      <c r="AM35" s="341"/>
      <c r="AN35" s="341"/>
      <c r="AO35" s="341"/>
      <c r="AP35" s="341"/>
      <c r="AQ35" s="339">
        <f t="shared" si="4"/>
        <v>169.875</v>
      </c>
      <c r="AR35" s="434">
        <v>1.5</v>
      </c>
      <c r="AT35" s="390">
        <v>728</v>
      </c>
      <c r="AV35" s="390">
        <f t="shared" ref="AV35" si="30">+AT35-AD35</f>
        <v>-132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39" t="str">
        <f t="shared" si="29"/>
        <v>ATENAS-203645</v>
      </c>
      <c r="H36" s="411"/>
      <c r="I36" s="113">
        <f>+IFERROR(IF(K37=0,0,IF((LOOKUP(2,1/(M36:W36&lt;&gt;""),M36:W36)-K37)&lt;0,0,IF(K37=0,"",LOOKUP(2,1/(M36:W36&lt;&gt;""),M36:W36)-K37))),0)</f>
        <v>0</v>
      </c>
      <c r="J36" s="113">
        <v>1</v>
      </c>
      <c r="K36" s="114" t="s">
        <v>22</v>
      </c>
      <c r="L36" s="102" t="s">
        <v>18</v>
      </c>
      <c r="M36" s="448">
        <v>54</v>
      </c>
      <c r="N36" s="448">
        <v>56</v>
      </c>
      <c r="O36" s="448">
        <v>56</v>
      </c>
      <c r="P36" s="448">
        <v>56</v>
      </c>
      <c r="Q36" s="448">
        <v>56</v>
      </c>
      <c r="R36" s="448">
        <v>56</v>
      </c>
      <c r="S36" s="448">
        <v>56</v>
      </c>
      <c r="T36" s="448">
        <v>56</v>
      </c>
      <c r="U36" s="448">
        <v>56</v>
      </c>
      <c r="V36" s="448"/>
      <c r="W36" s="448"/>
      <c r="X36" s="160">
        <f>+IF(H36="l",IF(COUNTA(M35:W35)=AK37+0.25,AA35-K35*AK37,AA35-(K35*COUNTA(M35:W35))),IF(H36="s",0,IF(COUNTA(M35:W35)=AK37+0.25,SUMIF($C:$C,B35,$AA:$AA)-K35*AK37,SUMIF($C:$C,B35,$AA:$AA)-K35*COUNTA(M35:W35))))</f>
        <v>-73.25</v>
      </c>
      <c r="Y36" s="466"/>
      <c r="Z36" s="534"/>
      <c r="AA36" s="462">
        <f t="shared" ref="AA36:AA37" si="31">+SUM(M36:W36)-U36*0.25</f>
        <v>488</v>
      </c>
      <c r="AB36" s="360"/>
      <c r="AC36" s="360"/>
      <c r="AD36" s="362"/>
      <c r="AE36" s="363"/>
      <c r="AF36" s="346"/>
      <c r="AG36" s="347">
        <f t="shared" si="1"/>
        <v>0</v>
      </c>
      <c r="AH36" s="341">
        <f t="shared" si="2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488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39" t="str">
        <f t="shared" si="29"/>
        <v>ATENAS-203645</v>
      </c>
      <c r="H37" s="117"/>
      <c r="I37" s="442"/>
      <c r="J37" s="165">
        <f>+IF(K37="","",IF(K35=0,"",(K35*J35)/(K37*60)))</f>
        <v>0.85327380952380949</v>
      </c>
      <c r="K37" s="118">
        <v>56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50.038297872340422</v>
      </c>
      <c r="Z37" s="371">
        <f>+IF(COUNTA(M35:W35)=$AJ$4+0.25,$AJ$4-(AA35/K35),COUNTA(M35:W35)-(AA35/K35))+Y37</f>
        <v>51.596808510638297</v>
      </c>
      <c r="AA37" s="465">
        <f t="shared" si="31"/>
        <v>0</v>
      </c>
      <c r="AB37" s="367"/>
      <c r="AC37" s="367"/>
      <c r="AD37" s="368">
        <f>+IFERROR(AD35/(K35*$AQ$3),"")</f>
        <v>2.0911854103343464</v>
      </c>
      <c r="AE37" s="369"/>
      <c r="AF37" s="347"/>
      <c r="AG37" s="347">
        <f t="shared" si="1"/>
        <v>0</v>
      </c>
      <c r="AH37" s="341">
        <f t="shared" si="2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1.7702127659574467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540" t="s">
        <v>435</v>
      </c>
      <c r="H38" s="106"/>
      <c r="I38" s="111"/>
      <c r="J38" s="107" t="s">
        <v>20</v>
      </c>
      <c r="K38" s="108">
        <v>0</v>
      </c>
      <c r="L38" s="100" t="s">
        <v>21</v>
      </c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48"/>
      <c r="X38" s="447" t="str">
        <f t="shared" ref="X38" si="32">IF(AQ39="","",SUM(M38:W38)-(-(AQ39-SUM(M38:W38))/$AQ$3)*SUM($M$2:$W$2))</f>
        <v/>
      </c>
      <c r="Y38" s="466"/>
      <c r="Z38" s="533">
        <f>+X40</f>
        <v>-120</v>
      </c>
      <c r="AA38" s="447">
        <f t="shared" si="0"/>
        <v>0</v>
      </c>
      <c r="AB38" s="343">
        <f>+AC38+AA38</f>
        <v>3601</v>
      </c>
      <c r="AC38" s="343">
        <v>3601</v>
      </c>
      <c r="AD38" s="344"/>
      <c r="AE38" s="345"/>
      <c r="AF38" s="346"/>
      <c r="AG38" s="347">
        <f t="shared" si="1"/>
        <v>0</v>
      </c>
      <c r="AH38" s="341">
        <f t="shared" si="2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436</v>
      </c>
      <c r="E39" s="111"/>
      <c r="F39" s="111" t="s">
        <v>35</v>
      </c>
      <c r="G39" s="541" t="str">
        <f t="shared" ref="G39:G41" si="33">+G38</f>
        <v>2076-780-803</v>
      </c>
      <c r="H39" s="111"/>
      <c r="I39" s="111" t="s">
        <v>38</v>
      </c>
      <c r="J39" s="113">
        <v>38.729999999999997</v>
      </c>
      <c r="K39" s="471">
        <v>52</v>
      </c>
      <c r="L39" s="101" t="s">
        <v>17</v>
      </c>
      <c r="M39" s="214">
        <v>12</v>
      </c>
      <c r="N39" s="214">
        <v>10</v>
      </c>
      <c r="O39" s="214">
        <v>44</v>
      </c>
      <c r="P39" s="214">
        <v>22</v>
      </c>
      <c r="Q39" s="214"/>
      <c r="R39" s="214"/>
      <c r="S39" s="214"/>
      <c r="T39" s="214"/>
      <c r="U39" s="214"/>
      <c r="V39" s="214"/>
      <c r="W39" s="214"/>
      <c r="X39" s="123">
        <f>+IF(H40="s",0,IF(AA39=0,0,IF(COUNTA(M39:W39)=AK41+0.25,SUMIF($C:$C,B39,$AA:$AA)/AK41,SUMIF($C:$C,B39,$AA:$AA)/(COUNTA(M39:W39)))))</f>
        <v>29.5</v>
      </c>
      <c r="Y39" s="466"/>
      <c r="Z39" s="534"/>
      <c r="AA39" s="134">
        <f t="shared" si="0"/>
        <v>88</v>
      </c>
      <c r="AB39" s="354">
        <f>+AA39+AC39</f>
        <v>3593</v>
      </c>
      <c r="AC39" s="354">
        <v>3505</v>
      </c>
      <c r="AD39" s="355">
        <f>+AB38-AB39</f>
        <v>8</v>
      </c>
      <c r="AE39" s="131">
        <f>+IF(((AA40+(AA41/2))*60)=0,"",(J39*AA39)/((AA40+(AA41/2))*60))</f>
        <v>2.8401999999999998</v>
      </c>
      <c r="AF39" s="347">
        <f>+AA40+AA41/2</f>
        <v>20</v>
      </c>
      <c r="AG39" s="347">
        <f t="shared" si="1"/>
        <v>20</v>
      </c>
      <c r="AH39" s="341">
        <f t="shared" si="2"/>
        <v>1200</v>
      </c>
      <c r="AI39" s="341">
        <f>+AA39*J39</f>
        <v>3408.24</v>
      </c>
      <c r="AJ39" s="356">
        <f>+AA39-(AF39*K39/K41)</f>
        <v>61.333333333333329</v>
      </c>
      <c r="AK39" s="348"/>
      <c r="AL39" s="349"/>
      <c r="AM39" s="341"/>
      <c r="AN39" s="341"/>
      <c r="AO39" s="341"/>
      <c r="AP39" s="341"/>
      <c r="AQ39" s="339" t="str">
        <f t="shared" si="4"/>
        <v/>
      </c>
      <c r="AR39" s="434"/>
      <c r="AT39" s="390">
        <v>96</v>
      </c>
      <c r="AV39" s="390">
        <f t="shared" ref="AV39" si="34">+AT39-AD39</f>
        <v>88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541" t="str">
        <f t="shared" si="33"/>
        <v>2076-780-803</v>
      </c>
      <c r="H40" s="411" t="s">
        <v>413</v>
      </c>
      <c r="I40" s="113">
        <f>+IFERROR(IF(K41=0,0,IF((LOOKUP(2,1/(M40:W40&lt;&gt;""),M40:W40)-K41)&lt;0,0,IF(K41=0,"",LOOKUP(2,1/(M40:W40&lt;&gt;""),M40:W40)-K41))),0)</f>
        <v>0</v>
      </c>
      <c r="J40" s="113">
        <v>0</v>
      </c>
      <c r="K40" s="114" t="s">
        <v>22</v>
      </c>
      <c r="L40" s="102" t="s">
        <v>18</v>
      </c>
      <c r="M40" s="448">
        <v>5</v>
      </c>
      <c r="N40" s="448">
        <v>5</v>
      </c>
      <c r="O40" s="448">
        <v>5</v>
      </c>
      <c r="P40" s="448">
        <v>5</v>
      </c>
      <c r="Q40" s="448"/>
      <c r="R40" s="448"/>
      <c r="S40" s="448"/>
      <c r="T40" s="448"/>
      <c r="U40" s="448"/>
      <c r="V40" s="448"/>
      <c r="W40" s="448"/>
      <c r="X40" s="160">
        <f>+IF(H40="l",IF(COUNTA(M39:W39)=AK41+0.25,AA39-K39*AK41,AA39-(K39*COUNTA(M39:W39))),IF(H40="s",0,IF(COUNTA(M39:W39)=AK41+0.25,SUMIF($C:$C,B39,$AA:$AA)-K39*AK41,SUMIF($C:$C,B39,$AA:$AA)-K39*COUNTA(M39:W39))))</f>
        <v>-120</v>
      </c>
      <c r="Y40" s="466"/>
      <c r="Z40" s="534"/>
      <c r="AA40" s="462">
        <f t="shared" ref="AA40:AA41" si="35">+SUM(M40:W40)-U40*0.25</f>
        <v>20</v>
      </c>
      <c r="AB40" s="360"/>
      <c r="AC40" s="360"/>
      <c r="AD40" s="362"/>
      <c r="AE40" s="363"/>
      <c r="AF40" s="346"/>
      <c r="AG40" s="347">
        <f t="shared" si="1"/>
        <v>0</v>
      </c>
      <c r="AH40" s="341">
        <f t="shared" si="2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20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542" t="str">
        <f t="shared" si="33"/>
        <v>2076-780-803</v>
      </c>
      <c r="H41" s="117"/>
      <c r="I41" s="442"/>
      <c r="J41" s="165">
        <f>+IF(K41="","",IF(K39=0,"",(K39*J39)/(K41*60)))</f>
        <v>0.86066666666666658</v>
      </c>
      <c r="K41" s="471">
        <v>39</v>
      </c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>
        <v>24.061140583554376</v>
      </c>
      <c r="Z41" s="371">
        <f>+IF(COUNTA(M39:W39)=$AJ$4+0.25,$AJ$4-(AA39/K39),COUNTA(M39:W39)-(AA39/K39))+Y41</f>
        <v>26.368832891246683</v>
      </c>
      <c r="AA41" s="465">
        <f t="shared" si="35"/>
        <v>0</v>
      </c>
      <c r="AB41" s="367"/>
      <c r="AC41" s="367"/>
      <c r="AD41" s="368">
        <f>+IFERROR(AD39/(K39*$AQ$3),"")</f>
        <v>1.7582417582417582E-2</v>
      </c>
      <c r="AE41" s="369"/>
      <c r="AF41" s="347"/>
      <c r="AG41" s="347">
        <f t="shared" si="1"/>
        <v>0</v>
      </c>
      <c r="AH41" s="341">
        <f t="shared" si="2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0.21098901098901099</v>
      </c>
      <c r="AV41" s="390"/>
    </row>
    <row r="42" spans="2:58" s="98" customFormat="1" ht="62.25" customHeight="1" thickTop="1" x14ac:dyDescent="0.9">
      <c r="B42" s="342">
        <f>+B43</f>
        <v>6</v>
      </c>
      <c r="C42" s="405"/>
      <c r="D42" s="106"/>
      <c r="E42" s="106"/>
      <c r="F42" s="106"/>
      <c r="G42" s="539" t="s">
        <v>442</v>
      </c>
      <c r="H42" s="106"/>
      <c r="I42" s="111"/>
      <c r="J42" s="107" t="s">
        <v>20</v>
      </c>
      <c r="K42" s="108">
        <v>0</v>
      </c>
      <c r="L42" s="100" t="s">
        <v>21</v>
      </c>
      <c r="M42" s="448"/>
      <c r="N42" s="448"/>
      <c r="O42" s="448"/>
      <c r="P42" s="448">
        <v>60</v>
      </c>
      <c r="Q42" s="448">
        <v>120</v>
      </c>
      <c r="R42" s="448"/>
      <c r="S42" s="448">
        <v>120</v>
      </c>
      <c r="T42" s="448"/>
      <c r="U42" s="448"/>
      <c r="V42" s="448"/>
      <c r="W42" s="448"/>
      <c r="X42" s="447">
        <f t="shared" ref="X42" si="36">IF(AQ43="","",SUM(M42:W42)-(-(AQ43-SUM(M42:W42))/$AQ$3)*SUM($M$2:$W$2))</f>
        <v>300</v>
      </c>
      <c r="Y42" s="466"/>
      <c r="Z42" s="533">
        <f>+X44</f>
        <v>-495</v>
      </c>
      <c r="AA42" s="447">
        <f t="shared" ref="AA42:AA43" si="37">+SUM(L42:W42)</f>
        <v>300</v>
      </c>
      <c r="AB42" s="343">
        <f>+AC42+AA42</f>
        <v>780</v>
      </c>
      <c r="AC42" s="343">
        <v>480</v>
      </c>
      <c r="AD42" s="344"/>
      <c r="AE42" s="345"/>
      <c r="AF42" s="346"/>
      <c r="AG42" s="347">
        <f t="shared" si="1"/>
        <v>0</v>
      </c>
      <c r="AH42" s="341">
        <f t="shared" si="2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0.9">
      <c r="B43" s="351">
        <v>6</v>
      </c>
      <c r="C43" s="406">
        <f>+B43</f>
        <v>6</v>
      </c>
      <c r="D43" s="407" t="s">
        <v>441</v>
      </c>
      <c r="E43" s="111"/>
      <c r="F43" s="111" t="s">
        <v>35</v>
      </c>
      <c r="G43" s="539" t="str">
        <f t="shared" ref="G43:G45" si="38">+G42</f>
        <v>2259-600-730</v>
      </c>
      <c r="H43" s="111"/>
      <c r="I43" s="111" t="s">
        <v>33</v>
      </c>
      <c r="J43" s="113">
        <v>36.840000000000003</v>
      </c>
      <c r="K43" s="130">
        <v>60</v>
      </c>
      <c r="L43" s="101" t="s">
        <v>17</v>
      </c>
      <c r="M43" s="214">
        <v>0</v>
      </c>
      <c r="N43" s="214">
        <v>0</v>
      </c>
      <c r="O43" s="214">
        <v>0</v>
      </c>
      <c r="P43" s="214">
        <v>0</v>
      </c>
      <c r="Q43" s="214">
        <v>0</v>
      </c>
      <c r="R43" s="214">
        <v>0</v>
      </c>
      <c r="S43" s="214">
        <v>10</v>
      </c>
      <c r="T43" s="214">
        <v>15</v>
      </c>
      <c r="U43" s="214">
        <v>5</v>
      </c>
      <c r="V43" s="214"/>
      <c r="W43" s="214"/>
      <c r="X43" s="123">
        <f>+IF(H44="s",0,IF(AA43=0,0,IF(COUNTA(M43:W43)=AK45+0.25,SUMIF($C:$C,B43,$AA:$AA)/AK45,SUMIF($C:$C,B43,$AA:$AA)/(COUNTA(M43:W43)))))</f>
        <v>13.485714285714286</v>
      </c>
      <c r="Y43" s="466"/>
      <c r="Z43" s="534"/>
      <c r="AA43" s="134">
        <f t="shared" si="37"/>
        <v>30</v>
      </c>
      <c r="AB43" s="354">
        <f>+AA43+AC43</f>
        <v>30</v>
      </c>
      <c r="AC43" s="354">
        <v>0</v>
      </c>
      <c r="AD43" s="355">
        <f>+AB42-AB43</f>
        <v>750</v>
      </c>
      <c r="AE43" s="131">
        <f>+IF(((AA44+(AA45/2))*60)=0,"",(J43*AA43)/((AA44+(AA45/2))*60))</f>
        <v>5.7005802707930368E-2</v>
      </c>
      <c r="AF43" s="347">
        <f>+AA44+AA45/2</f>
        <v>323.125</v>
      </c>
      <c r="AG43" s="347">
        <f t="shared" si="1"/>
        <v>323.07499999999999</v>
      </c>
      <c r="AH43" s="341">
        <f t="shared" si="2"/>
        <v>19387.5</v>
      </c>
      <c r="AI43" s="341">
        <f>+AA43*J43</f>
        <v>1105.2</v>
      </c>
      <c r="AJ43" s="356">
        <f>+AA43-(AF43*K43/K45)</f>
        <v>-480.19736842105266</v>
      </c>
      <c r="AK43" s="348"/>
      <c r="AL43" s="349"/>
      <c r="AM43" s="341"/>
      <c r="AN43" s="341"/>
      <c r="AO43" s="341"/>
      <c r="AP43" s="341"/>
      <c r="AQ43" s="339">
        <f>-300+AA42</f>
        <v>0</v>
      </c>
      <c r="AR43" s="434">
        <v>1.5</v>
      </c>
      <c r="AT43" s="390">
        <v>480</v>
      </c>
      <c r="AV43" s="390">
        <f t="shared" ref="AV43" si="39">+AT43-AD43</f>
        <v>-270</v>
      </c>
    </row>
    <row r="44" spans="2:58" s="98" customFormat="1" ht="62.25" customHeight="1" x14ac:dyDescent="0.9">
      <c r="B44" s="357">
        <f>B43</f>
        <v>6</v>
      </c>
      <c r="C44" s="408"/>
      <c r="D44" s="184"/>
      <c r="E44" s="111">
        <f>+B43</f>
        <v>6</v>
      </c>
      <c r="F44" s="409"/>
      <c r="G44" s="539" t="str">
        <f t="shared" si="38"/>
        <v>2259-600-730</v>
      </c>
      <c r="H44" s="411" t="s">
        <v>413</v>
      </c>
      <c r="I44" s="113">
        <f>+IFERROR(IF(K45=0,0,IF((LOOKUP(2,1/(M44:W44&lt;&gt;""),M44:W44)-K45)&lt;0,0,IF(K45=0,"",LOOKUP(2,1/(M44:W44&lt;&gt;""),M44:W44)-K45))),0)</f>
        <v>1</v>
      </c>
      <c r="J44" s="113">
        <v>1</v>
      </c>
      <c r="K44" s="114" t="s">
        <v>22</v>
      </c>
      <c r="L44" s="102" t="s">
        <v>18</v>
      </c>
      <c r="M44" s="448">
        <f>39-5</f>
        <v>34</v>
      </c>
      <c r="N44" s="448">
        <f>39-5</f>
        <v>34</v>
      </c>
      <c r="O44" s="448">
        <f>39-5</f>
        <v>34</v>
      </c>
      <c r="P44" s="448">
        <f>39-5</f>
        <v>34</v>
      </c>
      <c r="Q44" s="448">
        <v>39</v>
      </c>
      <c r="R44" s="448">
        <v>39</v>
      </c>
      <c r="S44" s="448">
        <v>39</v>
      </c>
      <c r="T44" s="448">
        <v>39</v>
      </c>
      <c r="U44" s="448">
        <v>39</v>
      </c>
      <c r="V44" s="448"/>
      <c r="W44" s="448"/>
      <c r="X44" s="160">
        <f>+IF(H44="l",IF(COUNTA(M43:W43)=AK45+0.25,AA43-K43*AK45,AA43-(K43*COUNTA(M43:W43))),IF(H44="s",0,IF(COUNTA(M43:W43)=AK45+0.25,SUMIF($C:$C,B43,$AA:$AA)-K43*AK45,SUMIF($C:$C,B43,$AA:$AA)-K43*COUNTA(M43:W43))))</f>
        <v>-495</v>
      </c>
      <c r="Y44" s="466"/>
      <c r="Z44" s="534"/>
      <c r="AA44" s="462">
        <f t="shared" ref="AA44:AA45" si="40">+SUM(M44:W44)-U44*0.25</f>
        <v>321.25</v>
      </c>
      <c r="AB44" s="360"/>
      <c r="AC44" s="360"/>
      <c r="AD44" s="362"/>
      <c r="AE44" s="363"/>
      <c r="AF44" s="346"/>
      <c r="AG44" s="347">
        <f t="shared" si="1"/>
        <v>0</v>
      </c>
      <c r="AH44" s="341">
        <f t="shared" si="2"/>
        <v>0</v>
      </c>
      <c r="AI44" s="341"/>
      <c r="AJ44" s="356"/>
      <c r="AK44" s="348"/>
      <c r="AL44" s="349">
        <f>+IF(AK45=7.75,SUM(M44:S44)+T44*0.75,IF(AK45=8,SUM(M44:T44),IF(AK45=7.25,SUM(M44:S44)+T44*0.25,IF(AK45=8.25,SUM(M44:T44)+U44*0.25,IF(AK45=8.75,SUM(M44:T44)+U44*0.75,0)))))</f>
        <v>321.25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64">
        <f>B43</f>
        <v>6</v>
      </c>
      <c r="C45" s="410"/>
      <c r="D45" s="174" t="s">
        <v>366</v>
      </c>
      <c r="E45" s="175">
        <f>+E44+100</f>
        <v>106</v>
      </c>
      <c r="F45" s="175"/>
      <c r="G45" s="539" t="str">
        <f t="shared" si="38"/>
        <v>2259-600-730</v>
      </c>
      <c r="H45" s="117"/>
      <c r="I45" s="442"/>
      <c r="J45" s="165">
        <f>+IF(K45="","",IF(K43=0,"",(K43*J43)/(K45*60)))</f>
        <v>0.96947368421052638</v>
      </c>
      <c r="K45" s="118">
        <v>38</v>
      </c>
      <c r="L45" s="104" t="s">
        <v>19</v>
      </c>
      <c r="M45" s="216"/>
      <c r="N45" s="216"/>
      <c r="O45" s="216"/>
      <c r="P45" s="216"/>
      <c r="Q45" s="216"/>
      <c r="R45" s="216">
        <v>1</v>
      </c>
      <c r="S45" s="216">
        <v>1</v>
      </c>
      <c r="T45" s="216">
        <v>1</v>
      </c>
      <c r="U45" s="216">
        <v>1</v>
      </c>
      <c r="V45" s="216"/>
      <c r="W45" s="216"/>
      <c r="X45" s="173"/>
      <c r="Y45" s="467"/>
      <c r="Z45" s="371"/>
      <c r="AA45" s="465">
        <f t="shared" si="40"/>
        <v>3.75</v>
      </c>
      <c r="AB45" s="367"/>
      <c r="AC45" s="367"/>
      <c r="AD45" s="368">
        <f>+IFERROR(AD43/(K43*$AQ$3),"")</f>
        <v>1.4285714285714286</v>
      </c>
      <c r="AE45" s="369"/>
      <c r="AF45" s="347"/>
      <c r="AG45" s="347">
        <f t="shared" si="1"/>
        <v>0</v>
      </c>
      <c r="AH45" s="341">
        <f t="shared" si="2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3.75</v>
      </c>
      <c r="AM45" s="341">
        <f>+AL45-AA45</f>
        <v>0</v>
      </c>
      <c r="AN45" s="341"/>
      <c r="AO45" s="341"/>
      <c r="AP45" s="341"/>
      <c r="AQ45" s="369"/>
      <c r="AR45" s="434"/>
      <c r="AT45" s="390" t="s">
        <v>416</v>
      </c>
      <c r="AV45" s="390"/>
    </row>
    <row r="46" spans="2:58" s="98" customFormat="1" ht="62.25" customHeight="1" thickTop="1" x14ac:dyDescent="0.9">
      <c r="B46" s="342">
        <f>+B47</f>
        <v>7</v>
      </c>
      <c r="C46" s="405"/>
      <c r="D46" s="106"/>
      <c r="E46" s="106"/>
      <c r="F46" s="106"/>
      <c r="G46" s="540" t="s">
        <v>426</v>
      </c>
      <c r="H46" s="106"/>
      <c r="I46" s="106"/>
      <c r="J46" s="107" t="s">
        <v>20</v>
      </c>
      <c r="K46" s="108" t="s">
        <v>23</v>
      </c>
      <c r="L46" s="100" t="s">
        <v>21</v>
      </c>
      <c r="M46" s="448"/>
      <c r="N46" s="448"/>
      <c r="O46" s="448"/>
      <c r="P46" s="448"/>
      <c r="Q46" s="448"/>
      <c r="R46" s="448"/>
      <c r="S46" s="448"/>
      <c r="T46" s="448"/>
      <c r="U46" s="448"/>
      <c r="V46" s="448"/>
      <c r="W46" s="448"/>
      <c r="X46" s="447" t="str">
        <f t="shared" ref="X46" si="41">IF(AQ47="","",SUM(M46:W46)-(-(AQ47-SUM(M46:W46))/$AQ$3)*SUM($M$2:$W$2))</f>
        <v/>
      </c>
      <c r="Y46" s="466"/>
      <c r="Z46" s="533">
        <f>+X48</f>
        <v>0</v>
      </c>
      <c r="AA46" s="447">
        <f t="shared" si="0"/>
        <v>0</v>
      </c>
      <c r="AB46" s="343">
        <f>+AC46+AA46</f>
        <v>3511</v>
      </c>
      <c r="AC46" s="343">
        <v>3511</v>
      </c>
      <c r="AD46" s="344"/>
      <c r="AE46" s="345"/>
      <c r="AF46" s="346"/>
      <c r="AG46" s="347">
        <f t="shared" si="1"/>
        <v>0</v>
      </c>
      <c r="AH46" s="341">
        <f t="shared" si="2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1.35">
      <c r="B47" s="351">
        <v>7</v>
      </c>
      <c r="C47" s="406">
        <f>+B47</f>
        <v>7</v>
      </c>
      <c r="D47" s="407" t="s">
        <v>425</v>
      </c>
      <c r="E47" s="111"/>
      <c r="F47" s="111" t="s">
        <v>35</v>
      </c>
      <c r="G47" s="541" t="str">
        <f t="shared" ref="G47:G49" si="42">+G46</f>
        <v>2070-397-802</v>
      </c>
      <c r="H47" s="111"/>
      <c r="I47" s="111" t="s">
        <v>38</v>
      </c>
      <c r="J47" s="113">
        <v>39.299999999999997</v>
      </c>
      <c r="K47" s="130">
        <v>60</v>
      </c>
      <c r="L47" s="101" t="s">
        <v>17</v>
      </c>
      <c r="M47" s="214"/>
      <c r="N47" s="214"/>
      <c r="O47" s="214"/>
      <c r="P47" s="214">
        <v>9</v>
      </c>
      <c r="Q47" s="214"/>
      <c r="R47" s="214"/>
      <c r="S47" s="214"/>
      <c r="T47" s="214"/>
      <c r="U47" s="214"/>
      <c r="V47" s="214"/>
      <c r="W47" s="214"/>
      <c r="X47" s="123">
        <f>+IF(H48="s",0,IF(AA47=0,0,IF(COUNTA(M47:W47)=AK49+0.25,SUMIF($C:$C,B47,$AA:$AA)/AK49,SUMIF($C:$C,B47,$AA:$AA)/(COUNTA(M47:W47)))))</f>
        <v>0</v>
      </c>
      <c r="Y47" s="466"/>
      <c r="Z47" s="534"/>
      <c r="AA47" s="134">
        <f t="shared" si="0"/>
        <v>9</v>
      </c>
      <c r="AB47" s="354">
        <f>+AA47+AC47</f>
        <v>3511</v>
      </c>
      <c r="AC47" s="354">
        <v>3502</v>
      </c>
      <c r="AD47" s="355">
        <f>+AB46-AB47</f>
        <v>0</v>
      </c>
      <c r="AE47" s="131">
        <f>+IF(((AA48+(AA49/2))*60)=0,"",(J47*AA47)/((AA48+(AA49/2))*60))</f>
        <v>5.8949999999999996</v>
      </c>
      <c r="AF47" s="347">
        <f>+AA48+AA49/2</f>
        <v>1</v>
      </c>
      <c r="AG47" s="347">
        <f t="shared" si="1"/>
        <v>1</v>
      </c>
      <c r="AH47" s="341">
        <f t="shared" si="2"/>
        <v>60</v>
      </c>
      <c r="AI47" s="341">
        <f>+AA47*J47</f>
        <v>353.7</v>
      </c>
      <c r="AJ47" s="356">
        <f>+AA47-(AF47*K47/K49)</f>
        <v>7.5714285714285712</v>
      </c>
      <c r="AK47" s="348"/>
      <c r="AL47" s="349"/>
      <c r="AM47" s="341"/>
      <c r="AN47" s="341"/>
      <c r="AO47" s="341"/>
      <c r="AP47" s="341"/>
      <c r="AQ47" s="339" t="str">
        <f t="shared" si="4"/>
        <v/>
      </c>
      <c r="AR47" s="434"/>
      <c r="AT47" s="390">
        <v>9</v>
      </c>
      <c r="AV47" s="390">
        <f t="shared" ref="AV47" si="43">+AT47-AD47</f>
        <v>9</v>
      </c>
      <c r="AW47" s="535"/>
      <c r="AX47" s="535"/>
      <c r="AY47" s="535"/>
      <c r="AZ47" s="535"/>
      <c r="BA47" s="535"/>
      <c r="BB47" s="535"/>
      <c r="BC47" s="535"/>
      <c r="BD47" s="535"/>
      <c r="BE47" s="535"/>
      <c r="BF47" s="535"/>
    </row>
    <row r="48" spans="2:58" s="98" customFormat="1" ht="62.25" customHeight="1" x14ac:dyDescent="0.9">
      <c r="B48" s="357">
        <f>B47</f>
        <v>7</v>
      </c>
      <c r="C48" s="408"/>
      <c r="D48" s="184"/>
      <c r="E48" s="111">
        <f>+B47</f>
        <v>7</v>
      </c>
      <c r="F48" s="409"/>
      <c r="G48" s="541" t="str">
        <f t="shared" si="42"/>
        <v>2070-397-802</v>
      </c>
      <c r="H48" s="411" t="s">
        <v>414</v>
      </c>
      <c r="I48" s="113">
        <f>+IFERROR(IF(K49=0,0,IF((LOOKUP(2,1/(M48:W48&lt;&gt;""),M48:W48)-K49)&lt;0,0,IF(K49=0,"",LOOKUP(2,1/(M48:W48&lt;&gt;""),M48:W48)-K49))),0)</f>
        <v>0</v>
      </c>
      <c r="J48" s="113">
        <v>0</v>
      </c>
      <c r="K48" s="114" t="s">
        <v>22</v>
      </c>
      <c r="L48" s="102" t="s">
        <v>18</v>
      </c>
      <c r="M48" s="448"/>
      <c r="N48" s="448"/>
      <c r="O48" s="448"/>
      <c r="P48" s="448">
        <v>1</v>
      </c>
      <c r="Q48" s="448"/>
      <c r="R48" s="448"/>
      <c r="S48" s="448"/>
      <c r="T48" s="448"/>
      <c r="U48" s="448"/>
      <c r="V48" s="448"/>
      <c r="W48" s="448"/>
      <c r="X48" s="160">
        <f>+IF(H48="l",IF(COUNTA(M47:W47)=AK49+0.25,AA47-K47*AK49,AA47-(K47*COUNTA(M47:W47))),IF(H48="s",0,IF(COUNTA(M47:W47)=AK49+0.25,SUMIF($C:$C,B47,$AA:$AA)-K47*AK49,SUMIF($C:$C,B47,$AA:$AA)-K47*COUNTA(M47:W47))))</f>
        <v>0</v>
      </c>
      <c r="Y48" s="466"/>
      <c r="Z48" s="534"/>
      <c r="AA48" s="462">
        <f t="shared" ref="AA48:AA49" si="44">+SUM(M48:W48)-U48*0.25</f>
        <v>1</v>
      </c>
      <c r="AB48" s="360"/>
      <c r="AC48" s="360"/>
      <c r="AD48" s="362"/>
      <c r="AE48" s="363"/>
      <c r="AF48" s="346"/>
      <c r="AG48" s="347">
        <f t="shared" si="1"/>
        <v>0</v>
      </c>
      <c r="AH48" s="341">
        <f t="shared" si="2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1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72">
        <f>B47</f>
        <v>7</v>
      </c>
      <c r="C49" s="410"/>
      <c r="D49" s="174" t="s">
        <v>93</v>
      </c>
      <c r="E49" s="175">
        <f>+E48+100</f>
        <v>107</v>
      </c>
      <c r="F49" s="175"/>
      <c r="G49" s="542" t="str">
        <f t="shared" si="42"/>
        <v>2070-397-802</v>
      </c>
      <c r="H49" s="117"/>
      <c r="I49" s="442"/>
      <c r="J49" s="165">
        <f>+IF(K49="","",IF(K47=0,"",(K47*J47)/(K49*60)))</f>
        <v>0.93571428571428572</v>
      </c>
      <c r="K49" s="118">
        <v>42</v>
      </c>
      <c r="L49" s="104" t="s">
        <v>19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0</v>
      </c>
      <c r="Z49" s="371">
        <f>+IF(COUNTA(M47:W47)=$AJ$4+0.25,$AJ$4-(AA47/K47),COUNTA(M47:W47)-(AA47/K47))+Y49</f>
        <v>0.85</v>
      </c>
      <c r="AA49" s="465">
        <f t="shared" si="44"/>
        <v>0</v>
      </c>
      <c r="AB49" s="367"/>
      <c r="AC49" s="367"/>
      <c r="AD49" s="368">
        <f>+IFERROR(AD47/(K47*$AQ$3),"")</f>
        <v>0</v>
      </c>
      <c r="AE49" s="369"/>
      <c r="AF49" s="347"/>
      <c r="AG49" s="347">
        <f t="shared" si="1"/>
        <v>0</v>
      </c>
      <c r="AH49" s="341">
        <f t="shared" si="2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1.7142857142857144E-2</v>
      </c>
      <c r="AV49" s="390"/>
    </row>
    <row r="50" spans="2:58" s="98" customFormat="1" ht="62.25" customHeight="1" thickTop="1" x14ac:dyDescent="0.9">
      <c r="B50" s="342">
        <f>+B51</f>
        <v>7</v>
      </c>
      <c r="C50" s="405"/>
      <c r="D50" s="106"/>
      <c r="E50" s="106"/>
      <c r="F50" s="106"/>
      <c r="G50" s="539" t="s">
        <v>435</v>
      </c>
      <c r="H50" s="106"/>
      <c r="I50" s="106"/>
      <c r="J50" s="107" t="s">
        <v>20</v>
      </c>
      <c r="K50" s="108" t="s">
        <v>23</v>
      </c>
      <c r="L50" s="100" t="s">
        <v>21</v>
      </c>
      <c r="M50" s="448"/>
      <c r="N50" s="448"/>
      <c r="O50" s="448"/>
      <c r="P50" s="448"/>
      <c r="Q50" s="448"/>
      <c r="R50" s="448"/>
      <c r="S50" s="448"/>
      <c r="T50" s="448"/>
      <c r="U50" s="448"/>
      <c r="V50" s="448"/>
      <c r="W50" s="448"/>
      <c r="X50" s="447" t="str">
        <f t="shared" ref="X50" si="45">IF(AQ51="","",SUM(M50:W50)-(-(AQ51-SUM(M50:W50))/$AQ$3)*SUM($M$2:$W$2))</f>
        <v/>
      </c>
      <c r="Y50" s="466"/>
      <c r="Z50" s="533">
        <f>+X52</f>
        <v>-120</v>
      </c>
      <c r="AA50" s="447">
        <f t="shared" si="0"/>
        <v>0</v>
      </c>
      <c r="AB50" s="343">
        <f>+AC50+AA50</f>
        <v>3601</v>
      </c>
      <c r="AC50" s="343">
        <v>3601</v>
      </c>
      <c r="AD50" s="344"/>
      <c r="AE50" s="345"/>
      <c r="AF50" s="346"/>
      <c r="AG50" s="347">
        <f t="shared" si="1"/>
        <v>0</v>
      </c>
      <c r="AH50" s="341">
        <f t="shared" si="2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7</v>
      </c>
      <c r="C51" s="406">
        <f>+B51</f>
        <v>7</v>
      </c>
      <c r="D51" s="407" t="s">
        <v>436</v>
      </c>
      <c r="E51" s="111"/>
      <c r="F51" s="111" t="s">
        <v>35</v>
      </c>
      <c r="G51" s="539" t="str">
        <f t="shared" ref="G51:G53" si="46">+G50</f>
        <v>2076-780-803</v>
      </c>
      <c r="H51" s="111"/>
      <c r="I51" s="111" t="s">
        <v>38</v>
      </c>
      <c r="J51" s="113">
        <v>38.729999999999997</v>
      </c>
      <c r="K51" s="471">
        <v>52</v>
      </c>
      <c r="L51" s="101" t="s">
        <v>17</v>
      </c>
      <c r="M51" s="214">
        <v>25</v>
      </c>
      <c r="N51" s="214">
        <v>41</v>
      </c>
      <c r="O51" s="214">
        <v>41</v>
      </c>
      <c r="P51" s="214">
        <v>42</v>
      </c>
      <c r="Q51" s="214">
        <v>45</v>
      </c>
      <c r="R51" s="214">
        <v>51</v>
      </c>
      <c r="S51" s="214">
        <v>40</v>
      </c>
      <c r="T51" s="214">
        <v>30</v>
      </c>
      <c r="U51" s="214">
        <v>20</v>
      </c>
      <c r="V51" s="214"/>
      <c r="W51" s="214"/>
      <c r="X51" s="123">
        <f>+IF(H52="s",0,IF(AA51=0,0,IF(COUNTA(M51:W51)=AK53+0.25,SUMIF($C:$C,B51,$AA:$AA)/AK53,SUMIF($C:$C,B51,$AA:$AA)/(COUNTA(M51:W51)))))</f>
        <v>39.314285714285717</v>
      </c>
      <c r="Y51" s="466"/>
      <c r="Z51" s="534"/>
      <c r="AA51" s="134">
        <f t="shared" si="0"/>
        <v>335</v>
      </c>
      <c r="AB51" s="354">
        <f>+AA51+AC51</f>
        <v>3448</v>
      </c>
      <c r="AC51" s="354">
        <v>3113</v>
      </c>
      <c r="AD51" s="355">
        <f>+AB50-AB51</f>
        <v>153</v>
      </c>
      <c r="AE51" s="131">
        <f>+IF(((AA52+(AA53/2))*60)=0,"",(J51*AA51)/((AA52+(AA53/2))*60))</f>
        <v>0.87370707070707065</v>
      </c>
      <c r="AF51" s="347">
        <f>+AA52+AA53/2</f>
        <v>247.5</v>
      </c>
      <c r="AG51" s="347">
        <f t="shared" si="1"/>
        <v>247.3</v>
      </c>
      <c r="AH51" s="341">
        <f t="shared" si="2"/>
        <v>14850</v>
      </c>
      <c r="AI51" s="341">
        <f>+AA51*J51</f>
        <v>12974.55</v>
      </c>
      <c r="AJ51" s="356">
        <f>+AA51-(AF51*K51/K53)</f>
        <v>13.25</v>
      </c>
      <c r="AK51" s="348"/>
      <c r="AL51" s="349"/>
      <c r="AM51" s="341"/>
      <c r="AN51" s="341"/>
      <c r="AO51" s="341"/>
      <c r="AP51" s="341"/>
      <c r="AQ51" s="339"/>
      <c r="AR51" s="434">
        <v>0.88200000000000001</v>
      </c>
      <c r="AT51" s="390">
        <v>488</v>
      </c>
      <c r="AV51" s="390">
        <f t="shared" ref="AV51" si="47">+AT51-AD51</f>
        <v>335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B51</f>
        <v>7</v>
      </c>
      <c r="C52" s="408"/>
      <c r="D52" s="184"/>
      <c r="E52" s="111">
        <f>+B51</f>
        <v>7</v>
      </c>
      <c r="F52" s="409"/>
      <c r="G52" s="539" t="str">
        <f t="shared" si="46"/>
        <v>2076-780-803</v>
      </c>
      <c r="H52" s="411" t="s">
        <v>413</v>
      </c>
      <c r="I52" s="113">
        <f>+IFERROR(IF(K53=0,0,IF((LOOKUP(2,1/(M52:W52&lt;&gt;""),M52:W52)-K53)&lt;0,0,IF(K53=0,"",LOOKUP(2,1/(M52:W52&lt;&gt;""),M52:W52)-K53))),0)</f>
        <v>0</v>
      </c>
      <c r="J52" s="113">
        <v>1</v>
      </c>
      <c r="K52" s="114" t="s">
        <v>22</v>
      </c>
      <c r="L52" s="102" t="s">
        <v>18</v>
      </c>
      <c r="M52" s="448">
        <v>35</v>
      </c>
      <c r="N52" s="448">
        <v>35</v>
      </c>
      <c r="O52" s="448">
        <v>35</v>
      </c>
      <c r="P52" s="448">
        <v>30</v>
      </c>
      <c r="Q52" s="448">
        <v>28</v>
      </c>
      <c r="R52" s="448">
        <v>24</v>
      </c>
      <c r="S52" s="448">
        <v>22</v>
      </c>
      <c r="T52" s="448">
        <v>22</v>
      </c>
      <c r="U52" s="448">
        <v>22</v>
      </c>
      <c r="V52" s="448"/>
      <c r="W52" s="448"/>
      <c r="X52" s="160">
        <f>+IF(H52="l",IF(COUNTA(M51:W51)=AK53+0.25,AA51-K51*AK53,AA51-(K51*COUNTA(M51:W51))),IF(H52="s",0,IF(COUNTA(M51:W51)=AK53+0.25,SUMIF($C:$C,B51,$AA:$AA)-K51*AK53,SUMIF($C:$C,B51,$AA:$AA)-K51*COUNTA(M51:W51))))</f>
        <v>-120</v>
      </c>
      <c r="Y52" s="466"/>
      <c r="Z52" s="534"/>
      <c r="AA52" s="462">
        <f t="shared" ref="AA52:AA53" si="48">+SUM(M52:W52)-U52*0.25</f>
        <v>247.5</v>
      </c>
      <c r="AB52" s="360"/>
      <c r="AC52" s="360"/>
      <c r="AD52" s="362"/>
      <c r="AE52" s="363"/>
      <c r="AF52" s="346"/>
      <c r="AG52" s="347">
        <f t="shared" si="1"/>
        <v>0</v>
      </c>
      <c r="AH52" s="341">
        <f t="shared" si="2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247.5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72">
        <f>B51</f>
        <v>7</v>
      </c>
      <c r="C53" s="410"/>
      <c r="D53" s="174" t="s">
        <v>93</v>
      </c>
      <c r="E53" s="175">
        <f>+E52+100</f>
        <v>107</v>
      </c>
      <c r="F53" s="175"/>
      <c r="G53" s="539" t="str">
        <f t="shared" si="46"/>
        <v>2076-780-803</v>
      </c>
      <c r="H53" s="117"/>
      <c r="I53" s="442"/>
      <c r="J53" s="165">
        <f>+IF(K53="","",IF(K51=0,"",(K51*J51)/(K53*60)))</f>
        <v>0.83914999999999995</v>
      </c>
      <c r="K53" s="471">
        <v>40</v>
      </c>
      <c r="L53" s="104" t="s">
        <v>19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>
        <v>28.047559681697614</v>
      </c>
      <c r="Z53" s="371">
        <f>+IF(COUNTA(M51:W51)=$AJ$4+0.25,$AJ$4-(AA51/K51),COUNTA(M51:W51)-(AA51/K51))+Y53</f>
        <v>30.35525198938992</v>
      </c>
      <c r="AA53" s="465">
        <f t="shared" si="48"/>
        <v>0</v>
      </c>
      <c r="AB53" s="367"/>
      <c r="AC53" s="367"/>
      <c r="AD53" s="368">
        <f>+IFERROR(AD51/(K51*$AQ$3),"")</f>
        <v>0.33626373626373629</v>
      </c>
      <c r="AE53" s="369"/>
      <c r="AF53" s="347"/>
      <c r="AG53" s="347">
        <f t="shared" si="1"/>
        <v>0</v>
      </c>
      <c r="AH53" s="341">
        <f t="shared" si="2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1.0725274725274725</v>
      </c>
      <c r="AV53" s="390"/>
    </row>
    <row r="54" spans="2:58" s="98" customFormat="1" ht="62.25" customHeight="1" thickTop="1" x14ac:dyDescent="0.9">
      <c r="B54" s="342">
        <f>+B55</f>
        <v>7</v>
      </c>
      <c r="C54" s="405"/>
      <c r="D54" s="106"/>
      <c r="E54" s="106"/>
      <c r="F54" s="106"/>
      <c r="G54" s="540" t="s">
        <v>442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60</v>
      </c>
      <c r="N54" s="448">
        <v>60</v>
      </c>
      <c r="O54" s="448"/>
      <c r="P54" s="448"/>
      <c r="Q54" s="448">
        <v>60</v>
      </c>
      <c r="R54" s="448"/>
      <c r="S54" s="448">
        <v>120</v>
      </c>
      <c r="T54" s="448"/>
      <c r="U54" s="473"/>
      <c r="V54" s="448"/>
      <c r="W54" s="448"/>
      <c r="X54" s="447">
        <f t="shared" ref="X54" si="49">IF(AQ55="","",SUM(M54:W54)-(-(AQ55-SUM(M54:W54))/$AQ$3)*SUM($M$2:$W$2))</f>
        <v>300</v>
      </c>
      <c r="Y54" s="466"/>
      <c r="Z54" s="533">
        <f>+X56</f>
        <v>0</v>
      </c>
      <c r="AA54" s="447">
        <f t="shared" ref="AA54:AA55" si="50">+SUM(L54:W54)</f>
        <v>300</v>
      </c>
      <c r="AB54" s="343">
        <f>+AC54+AA54</f>
        <v>420</v>
      </c>
      <c r="AC54" s="343">
        <v>120</v>
      </c>
      <c r="AD54" s="344"/>
      <c r="AE54" s="345"/>
      <c r="AF54" s="346"/>
      <c r="AG54" s="347">
        <f t="shared" si="1"/>
        <v>0</v>
      </c>
      <c r="AH54" s="341">
        <f t="shared" si="2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1.35">
      <c r="B55" s="351">
        <v>7</v>
      </c>
      <c r="C55" s="406">
        <f>+B55</f>
        <v>7</v>
      </c>
      <c r="D55" s="407" t="s">
        <v>441</v>
      </c>
      <c r="E55" s="111"/>
      <c r="F55" s="111" t="s">
        <v>35</v>
      </c>
      <c r="G55" s="541" t="str">
        <f t="shared" ref="G55:G57" si="51">+G54</f>
        <v>2259-600-730</v>
      </c>
      <c r="H55" s="111"/>
      <c r="I55" s="111" t="s">
        <v>33</v>
      </c>
      <c r="J55" s="113">
        <v>36.840000000000003</v>
      </c>
      <c r="K55" s="130">
        <v>60</v>
      </c>
      <c r="L55" s="101" t="s">
        <v>17</v>
      </c>
      <c r="M55" s="214"/>
      <c r="N55" s="214"/>
      <c r="O55" s="214"/>
      <c r="P55" s="214"/>
      <c r="Q55" s="214"/>
      <c r="R55" s="214"/>
      <c r="S55" s="214"/>
      <c r="T55" s="214"/>
      <c r="U55" s="214"/>
      <c r="V55" s="214"/>
      <c r="W55" s="214"/>
      <c r="X55" s="123">
        <f>+IF(H56="s",0,IF(AA55=0,0,IF(COUNTA(M55:W55)=AK57+0.25,SUMIF($C:$C,B55,$AA:$AA)/AK57,SUMIF($C:$C,B55,$AA:$AA)/(COUNTA(M55:W55)))))</f>
        <v>0</v>
      </c>
      <c r="Y55" s="466"/>
      <c r="Z55" s="534"/>
      <c r="AA55" s="134">
        <f t="shared" si="50"/>
        <v>0</v>
      </c>
      <c r="AB55" s="354">
        <f>+AA55+AC55</f>
        <v>0</v>
      </c>
      <c r="AC55" s="354">
        <v>0</v>
      </c>
      <c r="AD55" s="355">
        <f>+AB54-AB55</f>
        <v>420</v>
      </c>
      <c r="AE55" s="131">
        <f>+IF(((AA56+(AA57/2))*60)=0,"",(J55*AA55)/((AA56+(AA57/2))*60))</f>
        <v>0</v>
      </c>
      <c r="AF55" s="347">
        <f>+AA56+AA57/2</f>
        <v>111.25</v>
      </c>
      <c r="AG55" s="347">
        <f t="shared" si="1"/>
        <v>111.15</v>
      </c>
      <c r="AH55" s="341">
        <f t="shared" si="2"/>
        <v>6675</v>
      </c>
      <c r="AI55" s="341">
        <f>+AA55*J55</f>
        <v>0</v>
      </c>
      <c r="AJ55" s="356">
        <f>+AA55-(AF55*K55/K57)</f>
        <v>-175.65789473684211</v>
      </c>
      <c r="AK55" s="348"/>
      <c r="AL55" s="349"/>
      <c r="AM55" s="341"/>
      <c r="AN55" s="341"/>
      <c r="AO55" s="341"/>
      <c r="AP55" s="341"/>
      <c r="AQ55" s="339">
        <f>-300+AA54</f>
        <v>0</v>
      </c>
      <c r="AR55" s="434"/>
      <c r="AT55" s="390">
        <v>120</v>
      </c>
      <c r="AV55" s="390">
        <f t="shared" ref="AV55" si="52">+AT55-AD55</f>
        <v>-300</v>
      </c>
      <c r="AW55" s="535"/>
      <c r="AX55" s="535"/>
      <c r="AY55" s="535"/>
      <c r="AZ55" s="535"/>
      <c r="BA55" s="535"/>
      <c r="BB55" s="535"/>
      <c r="BC55" s="535"/>
      <c r="BD55" s="535"/>
      <c r="BE55" s="535"/>
      <c r="BF55" s="535"/>
    </row>
    <row r="56" spans="2:58" s="98" customFormat="1" ht="62.25" customHeight="1" x14ac:dyDescent="0.9">
      <c r="B56" s="357">
        <f>B55</f>
        <v>7</v>
      </c>
      <c r="C56" s="408"/>
      <c r="D56" s="184"/>
      <c r="E56" s="111">
        <f>+B55</f>
        <v>7</v>
      </c>
      <c r="F56" s="409"/>
      <c r="G56" s="541" t="str">
        <f t="shared" si="51"/>
        <v>2259-600-730</v>
      </c>
      <c r="H56" s="411" t="s">
        <v>413</v>
      </c>
      <c r="I56" s="113">
        <f>+IFERROR(IF(K57=0,0,IF((LOOKUP(2,1/(M56:W56&lt;&gt;""),M56:W56)-K57)&lt;0,0,IF(K57=0,"",LOOKUP(2,1/(M56:W56&lt;&gt;""),M56:W56)-K57))),0)</f>
        <v>0</v>
      </c>
      <c r="J56" s="113">
        <v>1</v>
      </c>
      <c r="K56" s="114" t="s">
        <v>22</v>
      </c>
      <c r="L56" s="102" t="s">
        <v>18</v>
      </c>
      <c r="M56" s="448">
        <v>6</v>
      </c>
      <c r="N56" s="448">
        <v>6</v>
      </c>
      <c r="O56" s="448">
        <v>6</v>
      </c>
      <c r="P56" s="448">
        <f>41-30</f>
        <v>11</v>
      </c>
      <c r="Q56" s="448">
        <f>41-28</f>
        <v>13</v>
      </c>
      <c r="R56" s="448">
        <v>17</v>
      </c>
      <c r="S56" s="448">
        <f>41-22</f>
        <v>19</v>
      </c>
      <c r="T56" s="448">
        <f t="shared" ref="T56:U56" si="53">41-22</f>
        <v>19</v>
      </c>
      <c r="U56" s="448">
        <f t="shared" si="53"/>
        <v>19</v>
      </c>
      <c r="V56" s="448"/>
      <c r="W56" s="448"/>
      <c r="X56" s="160">
        <f>+IF(H56="l",IF(COUNTA(M55:W55)=AK57+0.25,AA55-K55*AK57,AA55-(K55*COUNTA(M55:W55))),IF(H56="s",0,IF(COUNTA(M55:W55)=AK57+0.25,SUMIF($C:$C,B55,$AA:$AA)-K55*AK57,SUMIF($C:$C,B55,$AA:$AA)-K55*COUNTA(M55:W55))))</f>
        <v>0</v>
      </c>
      <c r="Y56" s="466"/>
      <c r="Z56" s="534"/>
      <c r="AA56" s="462">
        <f t="shared" ref="AA56:AA57" si="54">+SUM(M56:W56)-U56*0.25</f>
        <v>111.25</v>
      </c>
      <c r="AB56" s="360"/>
      <c r="AC56" s="360"/>
      <c r="AD56" s="362"/>
      <c r="AE56" s="363"/>
      <c r="AF56" s="346"/>
      <c r="AG56" s="347">
        <f t="shared" si="1"/>
        <v>0</v>
      </c>
      <c r="AH56" s="341">
        <f t="shared" si="2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111.25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72">
        <f>B55</f>
        <v>7</v>
      </c>
      <c r="C57" s="410"/>
      <c r="D57" s="174" t="s">
        <v>93</v>
      </c>
      <c r="E57" s="175">
        <f>+E56+100</f>
        <v>107</v>
      </c>
      <c r="F57" s="175"/>
      <c r="G57" s="542" t="str">
        <f t="shared" si="51"/>
        <v>2259-600-730</v>
      </c>
      <c r="H57" s="117"/>
      <c r="I57" s="442"/>
      <c r="J57" s="165">
        <f>+IF(K57="","",IF(K55=0,"",(K55*J55)/(K57*60)))</f>
        <v>0.96947368421052638</v>
      </c>
      <c r="K57" s="118">
        <v>38</v>
      </c>
      <c r="L57" s="104" t="s">
        <v>19</v>
      </c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173"/>
      <c r="Y57" s="467" t="e">
        <v>#DIV/0!</v>
      </c>
      <c r="Z57" s="371" t="e">
        <f>+IF(COUNTA(M55:W55)=$AJ$4+0.25,$AJ$4-(AA55/K55),COUNTA(M55:W55)-(AA55/K55))+Y57</f>
        <v>#DIV/0!</v>
      </c>
      <c r="AA57" s="465">
        <f t="shared" si="54"/>
        <v>0</v>
      </c>
      <c r="AB57" s="367"/>
      <c r="AC57" s="367"/>
      <c r="AD57" s="368">
        <f>+IFERROR(AD55/(K55*$AQ$3),"")</f>
        <v>0.8</v>
      </c>
      <c r="AE57" s="369"/>
      <c r="AF57" s="347"/>
      <c r="AG57" s="347">
        <f t="shared" si="1"/>
        <v>0</v>
      </c>
      <c r="AH57" s="341">
        <f t="shared" si="2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0</v>
      </c>
      <c r="AM57" s="341">
        <f>+AL57-AA57</f>
        <v>0</v>
      </c>
      <c r="AN57" s="341"/>
      <c r="AO57" s="341"/>
      <c r="AP57" s="341"/>
      <c r="AQ57" s="369"/>
      <c r="AR57" s="434"/>
      <c r="AT57" s="390" t="s">
        <v>416</v>
      </c>
      <c r="AV57" s="390"/>
    </row>
    <row r="58" spans="2:58" s="98" customFormat="1" ht="62.25" customHeight="1" thickTop="1" x14ac:dyDescent="0.9">
      <c r="B58" s="342">
        <f>+B59</f>
        <v>8</v>
      </c>
      <c r="C58" s="405"/>
      <c r="D58" s="106"/>
      <c r="E58" s="106"/>
      <c r="F58" s="106"/>
      <c r="G58" s="539" t="s">
        <v>432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180</v>
      </c>
      <c r="N58" s="448">
        <v>180</v>
      </c>
      <c r="O58" s="448"/>
      <c r="P58" s="448"/>
      <c r="Q58" s="448">
        <v>120</v>
      </c>
      <c r="R58" s="448"/>
      <c r="S58" s="448"/>
      <c r="T58" s="448"/>
      <c r="U58" s="448"/>
      <c r="V58" s="448"/>
      <c r="W58" s="448"/>
      <c r="X58" s="447">
        <f t="shared" ref="X58" si="55">IF(AQ59="","",SUM(M58:W58)-(-(AQ59-SUM(M58:W58))/$AQ$3)*SUM($M$2:$W$2))</f>
        <v>480</v>
      </c>
      <c r="Y58" s="466"/>
      <c r="Z58" s="533">
        <f>+X60</f>
        <v>-23</v>
      </c>
      <c r="AA58" s="447">
        <f t="shared" si="0"/>
        <v>480</v>
      </c>
      <c r="AB58" s="343">
        <f>+AC58+AA58</f>
        <v>3001</v>
      </c>
      <c r="AC58" s="343">
        <v>2521</v>
      </c>
      <c r="AD58" s="344"/>
      <c r="AE58" s="345"/>
      <c r="AF58" s="346"/>
      <c r="AG58" s="347">
        <f t="shared" si="1"/>
        <v>0</v>
      </c>
      <c r="AH58" s="341">
        <f t="shared" si="2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0.9">
      <c r="B59" s="351">
        <v>8</v>
      </c>
      <c r="C59" s="406">
        <f>+B59</f>
        <v>8</v>
      </c>
      <c r="D59" s="407" t="s">
        <v>431</v>
      </c>
      <c r="E59" s="111"/>
      <c r="F59" s="111" t="s">
        <v>35</v>
      </c>
      <c r="G59" s="539" t="str">
        <f t="shared" ref="G59:G61" si="56">+G58</f>
        <v>2158-755-712</v>
      </c>
      <c r="H59" s="111"/>
      <c r="I59" s="111" t="s">
        <v>33</v>
      </c>
      <c r="J59" s="113">
        <v>51.42</v>
      </c>
      <c r="K59" s="130">
        <v>52</v>
      </c>
      <c r="L59" s="101" t="s">
        <v>17</v>
      </c>
      <c r="M59" s="214">
        <v>52</v>
      </c>
      <c r="N59" s="214">
        <v>52</v>
      </c>
      <c r="O59" s="214">
        <v>52</v>
      </c>
      <c r="P59" s="214">
        <v>52</v>
      </c>
      <c r="Q59" s="214">
        <v>52</v>
      </c>
      <c r="R59" s="214">
        <v>52</v>
      </c>
      <c r="S59" s="214">
        <v>52</v>
      </c>
      <c r="T59" s="214">
        <v>52</v>
      </c>
      <c r="U59" s="214">
        <v>16</v>
      </c>
      <c r="V59" s="214"/>
      <c r="W59" s="214"/>
      <c r="X59" s="123">
        <f>+IF(H60="s",0,IF(AA59=0,0,IF(COUNTA(M59:W59)=AK61+0.25,SUMIF($C:$C,B59,$AA:$AA)/AK61,SUMIF($C:$C,B59,$AA:$AA)/(COUNTA(M59:W59)))))</f>
        <v>49.371428571428574</v>
      </c>
      <c r="Y59" s="466"/>
      <c r="Z59" s="534"/>
      <c r="AA59" s="134">
        <f t="shared" si="0"/>
        <v>432</v>
      </c>
      <c r="AB59" s="354">
        <f>+AA59+AC59</f>
        <v>2258</v>
      </c>
      <c r="AC59" s="354">
        <v>1826</v>
      </c>
      <c r="AD59" s="355">
        <f>+AB58-AB59</f>
        <v>743</v>
      </c>
      <c r="AE59" s="131">
        <f>+IF(((AA60+(AA61/2))*60)=0,"",(J59*AA59)/((AA60+(AA61/2))*60))</f>
        <v>0.82157891816920947</v>
      </c>
      <c r="AF59" s="347">
        <f>+AA60+AA61/2</f>
        <v>450.625</v>
      </c>
      <c r="AG59" s="347">
        <f t="shared" si="1"/>
        <v>450.375</v>
      </c>
      <c r="AH59" s="341">
        <f t="shared" si="2"/>
        <v>27037.5</v>
      </c>
      <c r="AI59" s="341">
        <f>+AA59*J59</f>
        <v>22213.440000000002</v>
      </c>
      <c r="AJ59" s="356">
        <f>+AA59-(AF59*K59/K61)</f>
        <v>-27.460784313725469</v>
      </c>
      <c r="AK59" s="348"/>
      <c r="AL59" s="349"/>
      <c r="AM59" s="341"/>
      <c r="AN59" s="341"/>
      <c r="AO59" s="341"/>
      <c r="AP59" s="341"/>
      <c r="AQ59" s="339">
        <f t="shared" si="4"/>
        <v>37.5</v>
      </c>
      <c r="AR59" s="434">
        <v>1.5</v>
      </c>
      <c r="AT59" s="390">
        <v>695</v>
      </c>
      <c r="AV59" s="390">
        <f t="shared" ref="AV59" si="57">+AT59-AD59</f>
        <v>-48</v>
      </c>
    </row>
    <row r="60" spans="2:58" s="98" customFormat="1" ht="62.25" customHeight="1" x14ac:dyDescent="0.9">
      <c r="B60" s="357">
        <f>+B59</f>
        <v>8</v>
      </c>
      <c r="C60" s="408"/>
      <c r="D60" s="184"/>
      <c r="E60" s="111">
        <f>+B59</f>
        <v>8</v>
      </c>
      <c r="F60" s="409"/>
      <c r="G60" s="539" t="str">
        <f t="shared" si="56"/>
        <v>2158-755-712</v>
      </c>
      <c r="H60" s="411" t="s">
        <v>412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48">
        <v>51</v>
      </c>
      <c r="N60" s="448">
        <v>51</v>
      </c>
      <c r="O60" s="448">
        <v>51</v>
      </c>
      <c r="P60" s="448">
        <v>51</v>
      </c>
      <c r="Q60" s="448">
        <v>51</v>
      </c>
      <c r="R60" s="448">
        <v>51</v>
      </c>
      <c r="S60" s="448">
        <v>51</v>
      </c>
      <c r="T60" s="448">
        <v>51</v>
      </c>
      <c r="U60" s="448">
        <v>51</v>
      </c>
      <c r="V60" s="448"/>
      <c r="W60" s="448"/>
      <c r="X60" s="160">
        <f>+IF(H60="l",IF(COUNTA(M59:W59)=AK61+0.25,AA59-K59*AK61,AA59-(K59*COUNTA(M59:W59))),IF(H60="s",0,IF(COUNTA(M59:W59)=AK61+0.25,SUMIF($C:$C,B59,$AA:$AA)-K59*AK61,SUMIF($C:$C,B59,$AA:$AA)-K59*COUNTA(M59:W59))))</f>
        <v>-23</v>
      </c>
      <c r="Y60" s="466"/>
      <c r="Z60" s="534"/>
      <c r="AA60" s="462">
        <f t="shared" ref="AA60:AA61" si="58">+SUM(M60:W60)-U60*0.25</f>
        <v>446.25</v>
      </c>
      <c r="AB60" s="360"/>
      <c r="AC60" s="360"/>
      <c r="AD60" s="362"/>
      <c r="AE60" s="363"/>
      <c r="AF60" s="346"/>
      <c r="AG60" s="347">
        <f t="shared" si="1"/>
        <v>0</v>
      </c>
      <c r="AH60" s="341">
        <f t="shared" si="2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446.25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8</v>
      </c>
      <c r="C61" s="410"/>
      <c r="D61" s="174" t="s">
        <v>373</v>
      </c>
      <c r="E61" s="175">
        <f>+E60+100</f>
        <v>108</v>
      </c>
      <c r="F61" s="175"/>
      <c r="G61" s="539" t="str">
        <f t="shared" si="56"/>
        <v>2158-755-712</v>
      </c>
      <c r="H61" s="117"/>
      <c r="I61" s="442"/>
      <c r="J61" s="165">
        <f>+IF(K61="","",IF(K59=0,"",(K59*J59)/(K61*60)))</f>
        <v>0.87380392156862752</v>
      </c>
      <c r="K61" s="118">
        <v>51</v>
      </c>
      <c r="L61" s="104" t="s">
        <v>422</v>
      </c>
      <c r="M61" s="216">
        <v>1</v>
      </c>
      <c r="N61" s="216">
        <v>1</v>
      </c>
      <c r="O61" s="216">
        <v>1</v>
      </c>
      <c r="P61" s="216">
        <v>1</v>
      </c>
      <c r="Q61" s="216">
        <v>1</v>
      </c>
      <c r="R61" s="216">
        <v>1</v>
      </c>
      <c r="S61" s="216">
        <v>1</v>
      </c>
      <c r="T61" s="216">
        <v>1</v>
      </c>
      <c r="U61" s="216">
        <v>1</v>
      </c>
      <c r="V61" s="216"/>
      <c r="W61" s="216"/>
      <c r="X61" s="173"/>
      <c r="Y61" s="467">
        <v>12.304615384615385</v>
      </c>
      <c r="Z61" s="371">
        <f>+IF(COUNTA(M59:W59)=$AJ$4+0.25,$AJ$4-(AA59/K59),COUNTA(M59:W59)-(AA59/K59))+Y61</f>
        <v>12.746923076923077</v>
      </c>
      <c r="AA61" s="465">
        <f t="shared" si="58"/>
        <v>8.75</v>
      </c>
      <c r="AB61" s="367"/>
      <c r="AC61" s="367"/>
      <c r="AD61" s="368">
        <f>+IFERROR(AD59/(K59*$AQ$3),"")</f>
        <v>1.6329670329670329</v>
      </c>
      <c r="AE61" s="369"/>
      <c r="AF61" s="347"/>
      <c r="AG61" s="347">
        <f t="shared" si="1"/>
        <v>0</v>
      </c>
      <c r="AH61" s="341">
        <f t="shared" si="2"/>
        <v>0</v>
      </c>
      <c r="AI61" s="341"/>
      <c r="AJ61" s="356"/>
      <c r="AK61" s="370">
        <f>+$AJ$4</f>
        <v>8.75</v>
      </c>
      <c r="AL61" s="349">
        <f>+IF(AK61=7.75,SUM(M61:S61)+T61*0.75,IF(AK61=8,SUM(M61:T61),IF(AK61=7.25,SUM(M61:S61)+T61*0.25,IF(AK61=8.25,SUM(M61:T61)+U61*0.25,IF(AK61=8.75,SUM(M61:T61)+U61*0.75,0)))))</f>
        <v>8.75</v>
      </c>
      <c r="AM61" s="341">
        <f>+AL61-AA61</f>
        <v>0</v>
      </c>
      <c r="AN61" s="341"/>
      <c r="AO61" s="341"/>
      <c r="AP61" s="341"/>
      <c r="AQ61" s="369"/>
      <c r="AR61" s="434"/>
      <c r="AT61" s="390">
        <v>1.5274725274725274</v>
      </c>
      <c r="AV61" s="390"/>
    </row>
    <row r="62" spans="2:58" s="98" customFormat="1" ht="62.25" customHeight="1" thickTop="1" x14ac:dyDescent="0.9">
      <c r="B62" s="342">
        <f>+B63</f>
        <v>11</v>
      </c>
      <c r="C62" s="405"/>
      <c r="D62" s="106"/>
      <c r="E62" s="106"/>
      <c r="F62" s="106"/>
      <c r="G62" s="540" t="s">
        <v>435</v>
      </c>
      <c r="H62" s="106"/>
      <c r="I62" s="106"/>
      <c r="J62" s="107" t="s">
        <v>20</v>
      </c>
      <c r="K62" s="108" t="s">
        <v>23</v>
      </c>
      <c r="L62" s="100" t="s">
        <v>21</v>
      </c>
      <c r="M62" s="448">
        <v>80</v>
      </c>
      <c r="N62" s="448">
        <v>80</v>
      </c>
      <c r="O62" s="448"/>
      <c r="P62" s="448">
        <v>80</v>
      </c>
      <c r="Q62" s="448">
        <v>80</v>
      </c>
      <c r="R62" s="448">
        <v>80</v>
      </c>
      <c r="S62" s="448">
        <v>80</v>
      </c>
      <c r="T62" s="448"/>
      <c r="U62" s="448"/>
      <c r="V62" s="448"/>
      <c r="W62" s="448"/>
      <c r="X62" s="447">
        <f t="shared" ref="X62" si="59">IF(AQ63="","",SUM(M62:W62)-(-(AQ63-SUM(M62:W62))/$AQ$3)*SUM($M$2:$W$2))</f>
        <v>480</v>
      </c>
      <c r="Y62" s="466"/>
      <c r="Z62" s="533">
        <f>+X64</f>
        <v>-65.5</v>
      </c>
      <c r="AA62" s="447">
        <f t="shared" si="0"/>
        <v>480</v>
      </c>
      <c r="AB62" s="343">
        <f>+AC62+AA62</f>
        <v>3475</v>
      </c>
      <c r="AC62" s="343">
        <v>2995</v>
      </c>
      <c r="AD62" s="344"/>
      <c r="AE62" s="345"/>
      <c r="AF62" s="346"/>
      <c r="AG62" s="347">
        <f t="shared" si="1"/>
        <v>0</v>
      </c>
      <c r="AH62" s="341">
        <f t="shared" si="2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1.35">
      <c r="B63" s="351">
        <v>11</v>
      </c>
      <c r="C63" s="406">
        <f>+B63</f>
        <v>11</v>
      </c>
      <c r="D63" s="407" t="s">
        <v>436</v>
      </c>
      <c r="E63" s="111"/>
      <c r="F63" s="111" t="s">
        <v>35</v>
      </c>
      <c r="G63" s="541" t="str">
        <f t="shared" ref="G63:G65" si="60">+G62</f>
        <v>2076-780-803</v>
      </c>
      <c r="H63" s="111"/>
      <c r="I63" s="111" t="s">
        <v>38</v>
      </c>
      <c r="J63" s="113">
        <v>38.729999999999997</v>
      </c>
      <c r="K63" s="130">
        <v>58</v>
      </c>
      <c r="L63" s="101" t="s">
        <v>17</v>
      </c>
      <c r="M63" s="214">
        <v>48</v>
      </c>
      <c r="N63" s="214">
        <v>49</v>
      </c>
      <c r="O63" s="214">
        <v>55</v>
      </c>
      <c r="P63" s="214">
        <v>50</v>
      </c>
      <c r="Q63" s="214">
        <v>50</v>
      </c>
      <c r="R63" s="214">
        <v>50</v>
      </c>
      <c r="S63" s="214">
        <v>50</v>
      </c>
      <c r="T63" s="214">
        <v>50</v>
      </c>
      <c r="U63" s="214">
        <v>40</v>
      </c>
      <c r="V63" s="214"/>
      <c r="W63" s="214"/>
      <c r="X63" s="123">
        <f>+IF(H64="s",0,IF(AA63=0,0,IF(COUNTA(M63:W63)=AK65+0.25,SUMIF($C:$C,B63,$AA:$AA)/AK65,SUMIF($C:$C,B63,$AA:$AA)/(COUNTA(M63:W63)))))</f>
        <v>50.514285714285712</v>
      </c>
      <c r="Y63" s="466"/>
      <c r="Z63" s="534"/>
      <c r="AA63" s="134">
        <f t="shared" si="0"/>
        <v>442</v>
      </c>
      <c r="AB63" s="354">
        <f>+AA63+AC63</f>
        <v>2969</v>
      </c>
      <c r="AC63" s="354">
        <v>2527</v>
      </c>
      <c r="AD63" s="355">
        <f>+AB62-AB63</f>
        <v>506</v>
      </c>
      <c r="AE63" s="131">
        <f>+IF(((AA64+(AA65/2))*60)=0,"",(J63*AA63)/((AA64+(AA65/2))*60))</f>
        <v>0.7672228571428571</v>
      </c>
      <c r="AF63" s="347">
        <f>+AA64+AA65/2</f>
        <v>371.875</v>
      </c>
      <c r="AG63" s="347">
        <f t="shared" si="1"/>
        <v>371.52499999999998</v>
      </c>
      <c r="AH63" s="341">
        <f t="shared" si="2"/>
        <v>22312.5</v>
      </c>
      <c r="AI63" s="341">
        <f>+AA63*J63</f>
        <v>17118.66</v>
      </c>
      <c r="AJ63" s="356">
        <f>+AA63-(AF63*K63/K65)</f>
        <v>-71.541666666666629</v>
      </c>
      <c r="AK63" s="348"/>
      <c r="AL63" s="349"/>
      <c r="AM63" s="341"/>
      <c r="AN63" s="341"/>
      <c r="AO63" s="341"/>
      <c r="AP63" s="341"/>
      <c r="AQ63" s="339">
        <f>-360+AA62</f>
        <v>120</v>
      </c>
      <c r="AR63" s="434"/>
      <c r="AT63" s="390">
        <v>468</v>
      </c>
      <c r="AV63" s="390">
        <f t="shared" ref="AV63" si="61">+AT63-AD63</f>
        <v>-38</v>
      </c>
      <c r="AW63" s="535"/>
      <c r="AX63" s="535"/>
      <c r="AY63" s="535"/>
      <c r="AZ63" s="535"/>
      <c r="BA63" s="535"/>
      <c r="BB63" s="535"/>
      <c r="BC63" s="535"/>
      <c r="BD63" s="535"/>
      <c r="BE63" s="535"/>
      <c r="BF63" s="535"/>
    </row>
    <row r="64" spans="2:58" s="98" customFormat="1" ht="62.25" customHeight="1" x14ac:dyDescent="0.9">
      <c r="B64" s="357">
        <f>+B63</f>
        <v>11</v>
      </c>
      <c r="C64" s="408"/>
      <c r="D64" s="184"/>
      <c r="E64" s="111">
        <f>+B63</f>
        <v>11</v>
      </c>
      <c r="F64" s="412"/>
      <c r="G64" s="541" t="str">
        <f t="shared" si="60"/>
        <v>2076-780-803</v>
      </c>
      <c r="H64" s="411" t="s">
        <v>412</v>
      </c>
      <c r="I64" s="113">
        <f>+IFERROR(IF(K65=0,0,IF((LOOKUP(2,1/(M64:W64&lt;&gt;""),M64:W64)-K65)&lt;0,0,IF(K65=0,"",LOOKUP(2,1/(M64:W64&lt;&gt;""),M64:W64)-K65))),0)</f>
        <v>0</v>
      </c>
      <c r="J64" s="113">
        <v>1</v>
      </c>
      <c r="K64" s="114" t="s">
        <v>22</v>
      </c>
      <c r="L64" s="102" t="s">
        <v>18</v>
      </c>
      <c r="M64" s="448">
        <v>42</v>
      </c>
      <c r="N64" s="448">
        <v>42</v>
      </c>
      <c r="O64" s="448">
        <v>42</v>
      </c>
      <c r="P64" s="448">
        <v>42</v>
      </c>
      <c r="Q64" s="448">
        <v>42</v>
      </c>
      <c r="R64" s="448">
        <v>42</v>
      </c>
      <c r="S64" s="448">
        <v>42</v>
      </c>
      <c r="T64" s="448">
        <v>42</v>
      </c>
      <c r="U64" s="448">
        <v>42</v>
      </c>
      <c r="V64" s="448"/>
      <c r="W64" s="448"/>
      <c r="X64" s="160">
        <f>+IF(H64="l",IF(COUNTA(M63:W63)=AK65+0.25,AA63-K63*AK65,AA63-(K63*COUNTA(M63:W63))),IF(H64="s",0,IF(COUNTA(M63:W63)=AK65+0.25,SUMIF($C:$C,B63,$AA:$AA)-K63*AK65,SUMIF($C:$C,B63,$AA:$AA)-K63*COUNTA(M63:W63))))</f>
        <v>-65.5</v>
      </c>
      <c r="Y64" s="466"/>
      <c r="Z64" s="534"/>
      <c r="AA64" s="462">
        <f t="shared" ref="AA64:AA65" si="62">+SUM(M64:W64)-U64*0.25</f>
        <v>367.5</v>
      </c>
      <c r="AB64" s="360"/>
      <c r="AC64" s="360"/>
      <c r="AD64" s="362"/>
      <c r="AE64" s="363"/>
      <c r="AF64" s="346"/>
      <c r="AG64" s="347">
        <f t="shared" si="1"/>
        <v>0</v>
      </c>
      <c r="AH64" s="341">
        <f t="shared" si="2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367.5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8" s="98" customFormat="1" ht="62.25" customHeight="1" thickBot="1" x14ac:dyDescent="0.95">
      <c r="B65" s="364">
        <f>+B63</f>
        <v>11</v>
      </c>
      <c r="C65" s="410"/>
      <c r="D65" s="174" t="s">
        <v>418</v>
      </c>
      <c r="E65" s="175">
        <f>+E64+100</f>
        <v>111</v>
      </c>
      <c r="F65" s="175"/>
      <c r="G65" s="542" t="str">
        <f t="shared" si="60"/>
        <v>2076-780-803</v>
      </c>
      <c r="H65" s="117"/>
      <c r="I65" s="442"/>
      <c r="J65" s="165">
        <f>+IF(K65="","",IF(K63=0,"",(K63*J63)/(K65*60)))</f>
        <v>0.89140476190476181</v>
      </c>
      <c r="K65" s="118">
        <v>42</v>
      </c>
      <c r="L65" s="104" t="s">
        <v>422</v>
      </c>
      <c r="M65" s="216">
        <v>1</v>
      </c>
      <c r="N65" s="216">
        <v>1</v>
      </c>
      <c r="O65" s="216">
        <v>1</v>
      </c>
      <c r="P65" s="216">
        <v>1</v>
      </c>
      <c r="Q65" s="216">
        <v>1</v>
      </c>
      <c r="R65" s="216">
        <v>1</v>
      </c>
      <c r="S65" s="216">
        <v>1</v>
      </c>
      <c r="T65" s="216">
        <v>1</v>
      </c>
      <c r="U65" s="216">
        <v>1</v>
      </c>
      <c r="V65" s="216"/>
      <c r="W65" s="216"/>
      <c r="X65" s="173"/>
      <c r="Y65" s="467">
        <v>29.887931034482762</v>
      </c>
      <c r="Z65" s="371">
        <f>+IF(COUNTA(M63:W63)=$AJ$4+0.25,$AJ$4-(AA63/K63),COUNTA(M63:W63)-(AA63/K63))+Y65</f>
        <v>31.017241379310349</v>
      </c>
      <c r="AA65" s="465">
        <f t="shared" si="62"/>
        <v>8.75</v>
      </c>
      <c r="AB65" s="367"/>
      <c r="AC65" s="367"/>
      <c r="AD65" s="368">
        <f>+IFERROR(AD63/(K63*$AQ$3),"")</f>
        <v>0.99704433497536948</v>
      </c>
      <c r="AE65" s="369"/>
      <c r="AF65" s="347"/>
      <c r="AG65" s="347">
        <f t="shared" si="1"/>
        <v>0</v>
      </c>
      <c r="AH65" s="341">
        <f t="shared" si="2"/>
        <v>0</v>
      </c>
      <c r="AI65" s="341"/>
      <c r="AJ65" s="356"/>
      <c r="AK65" s="370">
        <f>+$AJ$4</f>
        <v>8.75</v>
      </c>
      <c r="AL65" s="349">
        <f>+IF(AK65=7.75,SUM(M65:S65)+T65*0.75,IF(AK65=8,SUM(M65:T65),IF(AK65=7.25,SUM(M65:S65)+T65*0.25,IF(AK65=8.25,SUM(M65:T65)+U65*0.25,IF(AK65=8.75,SUM(M65:T65)+U65*0.75,0)))))</f>
        <v>8.75</v>
      </c>
      <c r="AM65" s="341">
        <f>+AL65-AA65</f>
        <v>0</v>
      </c>
      <c r="AN65" s="341"/>
      <c r="AO65" s="341"/>
      <c r="AP65" s="341"/>
      <c r="AQ65" s="369"/>
      <c r="AR65" s="434"/>
      <c r="AT65" s="390">
        <v>0.92216748768472911</v>
      </c>
      <c r="AV65" s="390"/>
    </row>
    <row r="66" spans="2:58" s="98" customFormat="1" ht="62.25" customHeight="1" thickTop="1" x14ac:dyDescent="0.9">
      <c r="B66" s="342">
        <f>+B67</f>
        <v>11</v>
      </c>
      <c r="C66" s="405"/>
      <c r="D66" s="106"/>
      <c r="E66" s="106"/>
      <c r="F66" s="106"/>
      <c r="G66" s="540" t="s">
        <v>481</v>
      </c>
      <c r="H66" s="106"/>
      <c r="I66" s="106"/>
      <c r="J66" s="107" t="s">
        <v>20</v>
      </c>
      <c r="K66" s="108" t="s">
        <v>23</v>
      </c>
      <c r="L66" s="100" t="s">
        <v>21</v>
      </c>
      <c r="M66" s="448"/>
      <c r="N66" s="448"/>
      <c r="O66" s="448"/>
      <c r="P66" s="448"/>
      <c r="Q66" s="448"/>
      <c r="R66" s="448"/>
      <c r="S66" s="448"/>
      <c r="T66" s="448"/>
      <c r="U66" s="448">
        <v>180</v>
      </c>
      <c r="V66" s="448"/>
      <c r="W66" s="448"/>
      <c r="X66" s="447">
        <f t="shared" ref="X66" si="63">IF(AQ67="","",SUM(M66:W66)-(-(AQ67-SUM(M66:W66))/$AQ$3)*SUM($M$2:$W$2))</f>
        <v>180</v>
      </c>
      <c r="Y66" s="466"/>
      <c r="Z66" s="533">
        <f>+X68</f>
        <v>0</v>
      </c>
      <c r="AA66" s="447">
        <f t="shared" ref="AA66:AA67" si="64">+SUM(L66:W66)</f>
        <v>180</v>
      </c>
      <c r="AB66" s="343">
        <f>+AC66+AA66</f>
        <v>180</v>
      </c>
      <c r="AC66" s="343"/>
      <c r="AD66" s="344"/>
      <c r="AE66" s="345"/>
      <c r="AF66" s="346"/>
      <c r="AG66" s="347">
        <f t="shared" ref="AG66:AG69" si="65">TRUNC(AF66)+(AF66-TRUNC(AF66))*60/100</f>
        <v>0</v>
      </c>
      <c r="AH66" s="341">
        <f t="shared" ref="AH66:AH69" si="66">+AF66*60</f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8" s="98" customFormat="1" ht="62.25" customHeight="1" x14ac:dyDescent="1.35">
      <c r="B67" s="351">
        <v>11</v>
      </c>
      <c r="C67" s="406">
        <f>+B67</f>
        <v>11</v>
      </c>
      <c r="D67" s="407" t="s">
        <v>480</v>
      </c>
      <c r="E67" s="111"/>
      <c r="F67" s="111" t="s">
        <v>35</v>
      </c>
      <c r="G67" s="541" t="str">
        <f t="shared" ref="G67:G69" si="67">+G66</f>
        <v>2396-593-600</v>
      </c>
      <c r="H67" s="111"/>
      <c r="I67" s="111" t="s">
        <v>33</v>
      </c>
      <c r="J67" s="113">
        <v>40.03</v>
      </c>
      <c r="K67" s="130">
        <v>61</v>
      </c>
      <c r="L67" s="101" t="s">
        <v>17</v>
      </c>
      <c r="M67" s="214"/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123">
        <f>+IF(H68="s",0,IF(AA67=0,0,IF(COUNTA(M67:W67)=AK69+0.25,SUMIF($C:$C,B67,$AA:$AA)/AK69,SUMIF($C:$C,B67,$AA:$AA)/(COUNTA(M67:W67)))))</f>
        <v>0</v>
      </c>
      <c r="Y67" s="466"/>
      <c r="Z67" s="534"/>
      <c r="AA67" s="134">
        <f t="shared" si="64"/>
        <v>0</v>
      </c>
      <c r="AB67" s="354">
        <f>+AA67+AC67</f>
        <v>0</v>
      </c>
      <c r="AC67" s="354"/>
      <c r="AD67" s="355">
        <f>+AB66-AB67</f>
        <v>180</v>
      </c>
      <c r="AE67" s="131" t="str">
        <f>+IF(((AA68+(AA69/2))*60)=0,"",(J67*AA67)/((AA68+(AA69/2))*60))</f>
        <v/>
      </c>
      <c r="AF67" s="347">
        <f>+AA68+AA69/2</f>
        <v>0</v>
      </c>
      <c r="AG67" s="347">
        <f t="shared" si="65"/>
        <v>0</v>
      </c>
      <c r="AH67" s="341">
        <f t="shared" si="66"/>
        <v>0</v>
      </c>
      <c r="AI67" s="341">
        <f>+AA67*J67</f>
        <v>0</v>
      </c>
      <c r="AJ67" s="356" t="e">
        <f>+AA67-(AF67*K67/K69)</f>
        <v>#DIV/0!</v>
      </c>
      <c r="AK67" s="348"/>
      <c r="AL67" s="349"/>
      <c r="AM67" s="341"/>
      <c r="AN67" s="341"/>
      <c r="AO67" s="341"/>
      <c r="AP67" s="341"/>
      <c r="AQ67" s="339">
        <f>-180+AA66</f>
        <v>0</v>
      </c>
      <c r="AR67" s="434"/>
      <c r="AT67" s="390">
        <v>468</v>
      </c>
      <c r="AV67" s="390">
        <f t="shared" ref="AV67" si="68">+AT67-AD67</f>
        <v>288</v>
      </c>
      <c r="AW67" s="535"/>
      <c r="AX67" s="535"/>
      <c r="AY67" s="535"/>
      <c r="AZ67" s="535"/>
      <c r="BA67" s="535"/>
      <c r="BB67" s="535"/>
      <c r="BC67" s="535"/>
      <c r="BD67" s="535"/>
      <c r="BE67" s="535"/>
      <c r="BF67" s="535"/>
    </row>
    <row r="68" spans="2:58" s="98" customFormat="1" ht="62.25" customHeight="1" x14ac:dyDescent="0.9">
      <c r="B68" s="357">
        <f>+B67</f>
        <v>11</v>
      </c>
      <c r="C68" s="408"/>
      <c r="D68" s="184"/>
      <c r="E68" s="111">
        <f>+B67</f>
        <v>11</v>
      </c>
      <c r="F68" s="412"/>
      <c r="G68" s="541" t="str">
        <f t="shared" si="67"/>
        <v>2396-593-600</v>
      </c>
      <c r="H68" s="411" t="s">
        <v>412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48"/>
      <c r="N68" s="448"/>
      <c r="O68" s="448"/>
      <c r="P68" s="448"/>
      <c r="Q68" s="448"/>
      <c r="R68" s="448"/>
      <c r="S68" s="448"/>
      <c r="T68" s="448"/>
      <c r="U68" s="448"/>
      <c r="V68" s="448"/>
      <c r="W68" s="448"/>
      <c r="X68" s="160">
        <f>+IF(H68="l",IF(COUNTA(M67:W67)=AK69+0.25,AA67-K67*AK69,AA67-(K67*COUNTA(M67:W67))),IF(H68="s",0,IF(COUNTA(M67:W67)=AK69+0.25,SUMIF($C:$C,B67,$AA:$AA)-K67*AK69,SUMIF($C:$C,B67,$AA:$AA)-K67*COUNTA(M67:W67))))</f>
        <v>0</v>
      </c>
      <c r="Y68" s="466"/>
      <c r="Z68" s="534"/>
      <c r="AA68" s="462">
        <f t="shared" ref="AA68:AA69" si="69">+SUM(M68:W68)-U68*0.25</f>
        <v>0</v>
      </c>
      <c r="AB68" s="360"/>
      <c r="AC68" s="360"/>
      <c r="AD68" s="362"/>
      <c r="AE68" s="363"/>
      <c r="AF68" s="346"/>
      <c r="AG68" s="347">
        <f t="shared" si="65"/>
        <v>0</v>
      </c>
      <c r="AH68" s="341">
        <f t="shared" si="66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0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8" s="98" customFormat="1" ht="62.25" customHeight="1" thickBot="1" x14ac:dyDescent="0.95">
      <c r="B69" s="364">
        <f>+B67</f>
        <v>11</v>
      </c>
      <c r="C69" s="410"/>
      <c r="D69" s="174" t="s">
        <v>418</v>
      </c>
      <c r="E69" s="175">
        <f>+E68+100</f>
        <v>111</v>
      </c>
      <c r="F69" s="175"/>
      <c r="G69" s="542" t="str">
        <f t="shared" si="67"/>
        <v>2396-593-600</v>
      </c>
      <c r="H69" s="117"/>
      <c r="I69" s="442"/>
      <c r="J69" s="165" t="str">
        <f>+IF(K69="","",IF(K67=0,"",(K67*J67)/(K69*60)))</f>
        <v/>
      </c>
      <c r="K69" s="118"/>
      <c r="L69" s="104" t="s">
        <v>422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/>
      <c r="Z69" s="371">
        <f>+IF(COUNTA(M67:W67)=$AJ$4+0.25,$AJ$4-(AA67/K67),COUNTA(M67:W67)-(AA67/K67))+Y69</f>
        <v>0</v>
      </c>
      <c r="AA69" s="465">
        <f t="shared" si="69"/>
        <v>0</v>
      </c>
      <c r="AB69" s="367"/>
      <c r="AC69" s="367"/>
      <c r="AD69" s="368">
        <f>+IFERROR(AD67/(K67*$AQ$3),"")</f>
        <v>0.33723653395784542</v>
      </c>
      <c r="AE69" s="369"/>
      <c r="AF69" s="347"/>
      <c r="AG69" s="347">
        <f t="shared" si="65"/>
        <v>0</v>
      </c>
      <c r="AH69" s="341">
        <f t="shared" si="66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0.92216748768472911</v>
      </c>
      <c r="AV69" s="390"/>
    </row>
    <row r="70" spans="2:58" s="98" customFormat="1" ht="62.25" customHeight="1" thickTop="1" x14ac:dyDescent="0.9">
      <c r="B70" s="342">
        <f>+B71</f>
        <v>12</v>
      </c>
      <c r="C70" s="405"/>
      <c r="D70" s="106"/>
      <c r="E70" s="106"/>
      <c r="F70" s="106"/>
      <c r="G70" s="539"/>
      <c r="H70" s="106"/>
      <c r="I70" s="106"/>
      <c r="J70" s="107" t="s">
        <v>20</v>
      </c>
      <c r="K70" s="108" t="s">
        <v>23</v>
      </c>
      <c r="L70" s="100" t="s">
        <v>21</v>
      </c>
      <c r="M70" s="453"/>
      <c r="N70" s="453"/>
      <c r="O70" s="453"/>
      <c r="P70" s="453"/>
      <c r="Q70" s="453"/>
      <c r="R70" s="453"/>
      <c r="S70" s="453"/>
      <c r="T70" s="453"/>
      <c r="U70" s="453"/>
      <c r="V70" s="453"/>
      <c r="W70" s="453"/>
      <c r="X70" s="447" t="str">
        <f t="shared" ref="X70" si="70">IF(AQ71="","",SUM(M70:W70)-(-(AQ71-SUM(M70:W70))/$AQ$3)*SUM($M$2:$W$2))</f>
        <v/>
      </c>
      <c r="Y70" s="466"/>
      <c r="Z70" s="533">
        <f>+X72</f>
        <v>0</v>
      </c>
      <c r="AA70" s="447">
        <f t="shared" si="0"/>
        <v>0</v>
      </c>
      <c r="AB70" s="343">
        <f>+AC70+AA70</f>
        <v>0</v>
      </c>
      <c r="AC70" s="343">
        <v>0</v>
      </c>
      <c r="AD70" s="344"/>
      <c r="AE70" s="345"/>
      <c r="AF70" s="346"/>
      <c r="AG70" s="347"/>
      <c r="AH70" s="341"/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8" s="98" customFormat="1" ht="62.25" customHeight="1" x14ac:dyDescent="0.9">
      <c r="B71" s="351">
        <v>12</v>
      </c>
      <c r="C71" s="406">
        <v>12</v>
      </c>
      <c r="D71" s="407"/>
      <c r="E71" s="111"/>
      <c r="F71" s="111"/>
      <c r="G71" s="539"/>
      <c r="H71" s="111"/>
      <c r="I71" s="111"/>
      <c r="J71" s="113"/>
      <c r="K71" s="130"/>
      <c r="L71" s="101" t="s">
        <v>17</v>
      </c>
      <c r="M71" s="454"/>
      <c r="N71" s="454"/>
      <c r="O71" s="454"/>
      <c r="P71" s="454"/>
      <c r="Q71" s="454"/>
      <c r="R71" s="454"/>
      <c r="S71" s="454"/>
      <c r="T71" s="454"/>
      <c r="U71" s="454"/>
      <c r="V71" s="454"/>
      <c r="W71" s="454"/>
      <c r="X71" s="123">
        <f>+IF(H72="s",0,IF(AA71=0,0,IF(COUNTA(M71:W71)=AK73+0.25,SUMIF($C:$C,B71,$AA:$AA)/AK73,SUMIF($C:$C,B71,$AA:$AA)/(COUNTA(M71:W71)))))</f>
        <v>0</v>
      </c>
      <c r="Y71" s="466"/>
      <c r="Z71" s="534"/>
      <c r="AA71" s="134">
        <f t="shared" si="0"/>
        <v>0</v>
      </c>
      <c r="AB71" s="354">
        <f>+AA71+AC71</f>
        <v>0</v>
      </c>
      <c r="AC71" s="354">
        <v>0</v>
      </c>
      <c r="AD71" s="355">
        <f>+AB70-AB71</f>
        <v>0</v>
      </c>
      <c r="AE71" s="131" t="str">
        <f>+IF(((AA72+(AA73/2))*60)=0,"",(J71*AA71)/((AA72+(AA73/2))*60))</f>
        <v/>
      </c>
      <c r="AF71" s="347"/>
      <c r="AG71" s="347"/>
      <c r="AH71" s="341"/>
      <c r="AI71" s="341"/>
      <c r="AJ71" s="356"/>
      <c r="AK71" s="348"/>
      <c r="AL71" s="349"/>
      <c r="AM71" s="341"/>
      <c r="AN71" s="341"/>
      <c r="AO71" s="341"/>
      <c r="AP71" s="341"/>
      <c r="AQ71" s="339" t="str">
        <f t="shared" si="4"/>
        <v/>
      </c>
      <c r="AR71" s="434"/>
      <c r="AT71" s="390">
        <v>0</v>
      </c>
      <c r="AV71" s="390">
        <f t="shared" ref="AV71" si="71">+AT71-AD71</f>
        <v>0</v>
      </c>
    </row>
    <row r="72" spans="2:58" s="98" customFormat="1" ht="62.25" customHeight="1" x14ac:dyDescent="0.9">
      <c r="B72" s="357">
        <f>+B71</f>
        <v>12</v>
      </c>
      <c r="C72" s="408"/>
      <c r="D72" s="184"/>
      <c r="E72" s="111">
        <f>+B71</f>
        <v>12</v>
      </c>
      <c r="F72" s="409"/>
      <c r="G72" s="539"/>
      <c r="H72" s="411"/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53"/>
      <c r="N72" s="453"/>
      <c r="O72" s="453"/>
      <c r="P72" s="453"/>
      <c r="Q72" s="453"/>
      <c r="R72" s="453"/>
      <c r="S72" s="453"/>
      <c r="T72" s="453"/>
      <c r="U72" s="453"/>
      <c r="V72" s="453"/>
      <c r="W72" s="453"/>
      <c r="X72" s="160">
        <f>+IF(H72="l",IF(COUNTA(M71:W71)=AK73+0.25,AA71-K71*AK73,AA71-(K71*COUNTA(M71:W71))),IF(H72="s",0,IF(COUNTA(M71:W71)=AK73+0.25,SUMIF($C:$C,B71,$AA:$AA)-K71*AK73,SUMIF($C:$C,B71,$AA:$AA)-K71*COUNTA(M71:W71))))</f>
        <v>0</v>
      </c>
      <c r="Y72" s="466"/>
      <c r="Z72" s="534"/>
      <c r="AA72" s="462">
        <f t="shared" ref="AA72:AA73" si="72">+SUM(M72:W72)-U72*0.25</f>
        <v>0</v>
      </c>
      <c r="AB72" s="360"/>
      <c r="AC72" s="360"/>
      <c r="AD72" s="362"/>
      <c r="AE72" s="363"/>
      <c r="AF72" s="346"/>
      <c r="AG72" s="347"/>
      <c r="AH72" s="341"/>
      <c r="AI72" s="341"/>
      <c r="AJ72" s="341"/>
      <c r="AK72" s="348"/>
      <c r="AL72" s="349"/>
      <c r="AM72" s="341"/>
      <c r="AN72" s="341"/>
      <c r="AO72" s="341"/>
      <c r="AP72" s="341"/>
      <c r="AQ72" s="438"/>
      <c r="AR72" s="434"/>
      <c r="AT72" s="390"/>
      <c r="AV72" s="390"/>
    </row>
    <row r="73" spans="2:58" s="98" customFormat="1" ht="62.25" customHeight="1" thickBot="1" x14ac:dyDescent="0.95">
      <c r="B73" s="364">
        <f>+B71</f>
        <v>12</v>
      </c>
      <c r="C73" s="410"/>
      <c r="D73" s="174"/>
      <c r="E73" s="175">
        <f>+E72+100</f>
        <v>112</v>
      </c>
      <c r="F73" s="175"/>
      <c r="G73" s="539"/>
      <c r="H73" s="117"/>
      <c r="I73" s="442"/>
      <c r="J73" s="165" t="str">
        <f>+IF(K73="","",IF(K71=0,"",(K71*J71)/(K73*60)))</f>
        <v/>
      </c>
      <c r="K73" s="118"/>
      <c r="L73" s="104" t="s">
        <v>19</v>
      </c>
      <c r="M73" s="455"/>
      <c r="N73" s="455"/>
      <c r="O73" s="455"/>
      <c r="P73" s="455"/>
      <c r="Q73" s="455"/>
      <c r="R73" s="455"/>
      <c r="S73" s="455"/>
      <c r="T73" s="455"/>
      <c r="U73" s="455"/>
      <c r="V73" s="455"/>
      <c r="W73" s="455"/>
      <c r="X73" s="173"/>
      <c r="Y73" s="467"/>
      <c r="Z73" s="371"/>
      <c r="AA73" s="465">
        <f t="shared" si="72"/>
        <v>0</v>
      </c>
      <c r="AB73" s="367"/>
      <c r="AC73" s="367"/>
      <c r="AD73" s="368" t="str">
        <f>+IFERROR(AD71/(K71*$AQ$3),"")</f>
        <v/>
      </c>
      <c r="AE73" s="369"/>
      <c r="AF73" s="347"/>
      <c r="AG73" s="347"/>
      <c r="AH73" s="341"/>
      <c r="AI73" s="341"/>
      <c r="AJ73" s="356"/>
      <c r="AK73" s="370">
        <v>10.25</v>
      </c>
      <c r="AL73" s="349"/>
      <c r="AM73" s="341"/>
      <c r="AN73" s="341"/>
      <c r="AO73" s="341"/>
      <c r="AP73" s="341"/>
      <c r="AQ73" s="369"/>
      <c r="AR73" s="434"/>
      <c r="AT73" s="390" t="s">
        <v>416</v>
      </c>
      <c r="AV73" s="390"/>
    </row>
    <row r="74" spans="2:58" s="98" customFormat="1" ht="62.25" customHeight="1" thickTop="1" x14ac:dyDescent="0.9">
      <c r="B74" s="342">
        <f>+B75</f>
        <v>13</v>
      </c>
      <c r="C74" s="405"/>
      <c r="D74" s="106"/>
      <c r="E74" s="106"/>
      <c r="F74" s="106"/>
      <c r="G74" s="540" t="s">
        <v>432</v>
      </c>
      <c r="H74" s="106"/>
      <c r="I74" s="106"/>
      <c r="J74" s="107" t="s">
        <v>20</v>
      </c>
      <c r="K74" s="108" t="s">
        <v>23</v>
      </c>
      <c r="L74" s="100" t="s">
        <v>21</v>
      </c>
      <c r="M74" s="448">
        <v>120</v>
      </c>
      <c r="N74" s="448">
        <v>60</v>
      </c>
      <c r="O74" s="448"/>
      <c r="P74" s="448">
        <v>60</v>
      </c>
      <c r="Q74" s="448">
        <v>60</v>
      </c>
      <c r="R74" s="448"/>
      <c r="S74" s="448"/>
      <c r="T74" s="448"/>
      <c r="U74" s="448"/>
      <c r="V74" s="448"/>
      <c r="W74" s="448"/>
      <c r="X74" s="447">
        <f t="shared" ref="X74" si="73">IF(AQ75="","",SUM(M74:W74)-(-(AQ75-SUM(M74:W74))/$AQ$3)*SUM($M$2:$W$2))</f>
        <v>300</v>
      </c>
      <c r="Y74" s="466"/>
      <c r="Z74" s="533">
        <f>+X76</f>
        <v>-91</v>
      </c>
      <c r="AA74" s="447">
        <f t="shared" si="0"/>
        <v>300</v>
      </c>
      <c r="AB74" s="343">
        <f>+AC74+AA74</f>
        <v>5221</v>
      </c>
      <c r="AC74" s="343">
        <v>4921</v>
      </c>
      <c r="AD74" s="344"/>
      <c r="AE74" s="345"/>
      <c r="AF74" s="346"/>
      <c r="AG74" s="347">
        <f t="shared" si="1"/>
        <v>0</v>
      </c>
      <c r="AH74" s="341">
        <f t="shared" si="2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8" s="98" customFormat="1" ht="62.25" customHeight="1" x14ac:dyDescent="1.35">
      <c r="B75" s="351">
        <v>13</v>
      </c>
      <c r="C75" s="406">
        <f>+B75</f>
        <v>13</v>
      </c>
      <c r="D75" s="407" t="s">
        <v>431</v>
      </c>
      <c r="E75" s="111"/>
      <c r="F75" s="111" t="s">
        <v>35</v>
      </c>
      <c r="G75" s="541" t="str">
        <f t="shared" ref="G75:G77" si="74">+G74</f>
        <v>2158-755-712</v>
      </c>
      <c r="H75" s="111"/>
      <c r="I75" s="111" t="s">
        <v>33</v>
      </c>
      <c r="J75" s="113">
        <v>51.42</v>
      </c>
      <c r="K75" s="130">
        <v>52</v>
      </c>
      <c r="L75" s="101" t="s">
        <v>17</v>
      </c>
      <c r="M75" s="214">
        <v>40</v>
      </c>
      <c r="N75" s="214">
        <v>45</v>
      </c>
      <c r="O75" s="214">
        <v>40</v>
      </c>
      <c r="P75" s="214">
        <v>45</v>
      </c>
      <c r="Q75" s="214">
        <v>45</v>
      </c>
      <c r="R75" s="214">
        <v>50</v>
      </c>
      <c r="S75" s="214">
        <v>25</v>
      </c>
      <c r="T75" s="214">
        <v>39</v>
      </c>
      <c r="U75" s="214">
        <v>35</v>
      </c>
      <c r="V75" s="214"/>
      <c r="W75" s="214"/>
      <c r="X75" s="123">
        <f>+IF(H76="s",0,IF(AA75=0,0,IF(COUNTA(M75:W75)=AK77+0.25,SUMIF($C:$C,B75,$AA:$AA)/AK77,SUMIF($C:$C,B75,$AA:$AA)/(COUNTA(M75:W75)))))</f>
        <v>41.6</v>
      </c>
      <c r="Y75" s="466"/>
      <c r="Z75" s="534"/>
      <c r="AA75" s="134">
        <f t="shared" si="0"/>
        <v>364</v>
      </c>
      <c r="AB75" s="354">
        <f>+AA75+AC75</f>
        <v>4607</v>
      </c>
      <c r="AC75" s="354">
        <v>4243</v>
      </c>
      <c r="AD75" s="355">
        <f>+AB74-AB75</f>
        <v>614</v>
      </c>
      <c r="AE75" s="131">
        <f>+IF(((AA76+(AA77/2))*60)=0,"",(J75*AA75)/((AA76+(AA77/2))*60))</f>
        <v>0.73921327014218019</v>
      </c>
      <c r="AF75" s="347">
        <f>+AA76+AA77/2</f>
        <v>422</v>
      </c>
      <c r="AG75" s="347">
        <f t="shared" si="1"/>
        <v>422</v>
      </c>
      <c r="AH75" s="341">
        <f t="shared" si="2"/>
        <v>25320</v>
      </c>
      <c r="AI75" s="341">
        <f>+AA75*J75</f>
        <v>18716.88</v>
      </c>
      <c r="AJ75" s="356">
        <f>+AA75-(AF75*K75/K77)</f>
        <v>-66.274509803921546</v>
      </c>
      <c r="AK75" s="348"/>
      <c r="AL75" s="349"/>
      <c r="AM75" s="341"/>
      <c r="AN75" s="341"/>
      <c r="AO75" s="341"/>
      <c r="AP75" s="341"/>
      <c r="AQ75" s="339">
        <f t="shared" si="4"/>
        <v>-159.5</v>
      </c>
      <c r="AR75" s="434">
        <v>1.5</v>
      </c>
      <c r="AT75" s="390">
        <v>678</v>
      </c>
      <c r="AV75" s="390">
        <f t="shared" ref="AV75" si="75">+AT75-AD75</f>
        <v>64</v>
      </c>
      <c r="AW75" s="535" t="s">
        <v>473</v>
      </c>
      <c r="AX75" s="535"/>
      <c r="AY75" s="535"/>
      <c r="AZ75" s="535"/>
      <c r="BA75" s="535"/>
      <c r="BB75" s="535"/>
      <c r="BC75" s="535"/>
      <c r="BD75" s="535"/>
      <c r="BE75" s="535"/>
      <c r="BF75" s="535"/>
    </row>
    <row r="76" spans="2:58" s="98" customFormat="1" ht="62.25" customHeight="1" x14ac:dyDescent="0.9">
      <c r="B76" s="357">
        <f>+B75</f>
        <v>13</v>
      </c>
      <c r="C76" s="408"/>
      <c r="D76" s="184"/>
      <c r="E76" s="111">
        <f>+B75</f>
        <v>13</v>
      </c>
      <c r="F76" s="412"/>
      <c r="G76" s="541" t="str">
        <f t="shared" si="74"/>
        <v>2158-755-712</v>
      </c>
      <c r="H76" s="411"/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48">
        <v>48</v>
      </c>
      <c r="N76" s="448">
        <v>48</v>
      </c>
      <c r="O76" s="448">
        <v>48</v>
      </c>
      <c r="P76" s="448">
        <v>48</v>
      </c>
      <c r="Q76" s="448">
        <v>48</v>
      </c>
      <c r="R76" s="448">
        <v>48</v>
      </c>
      <c r="S76" s="448">
        <v>48</v>
      </c>
      <c r="T76" s="448">
        <v>48</v>
      </c>
      <c r="U76" s="448">
        <v>48</v>
      </c>
      <c r="V76" s="448"/>
      <c r="W76" s="448"/>
      <c r="X76" s="160">
        <f>+IF(H76="l",IF(COUNTA(M75:W75)=AK77+0.25,AA75-K75*AK77,AA75-(K75*COUNTA(M75:W75))),IF(H76="s",0,IF(COUNTA(M75:W75)=AK77+0.25,SUMIF($C:$C,B75,$AA:$AA)-K75*AK77,SUMIF($C:$C,B75,$AA:$AA)-K75*COUNTA(M75:W75))))</f>
        <v>-91</v>
      </c>
      <c r="Y76" s="466"/>
      <c r="Z76" s="534"/>
      <c r="AA76" s="462">
        <f t="shared" ref="AA76:AA77" si="76">+SUM(M76:W76)-U76*0.25</f>
        <v>420</v>
      </c>
      <c r="AB76" s="360"/>
      <c r="AC76" s="360"/>
      <c r="AD76" s="362"/>
      <c r="AE76" s="363"/>
      <c r="AF76" s="346"/>
      <c r="AG76" s="347">
        <f t="shared" si="1"/>
        <v>0</v>
      </c>
      <c r="AH76" s="341">
        <f t="shared" si="2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420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8" s="98" customFormat="1" ht="62.25" customHeight="1" thickBot="1" x14ac:dyDescent="0.95">
      <c r="B77" s="364">
        <f>+B75</f>
        <v>13</v>
      </c>
      <c r="C77" s="410"/>
      <c r="D77" s="174" t="s">
        <v>379</v>
      </c>
      <c r="E77" s="175">
        <f>+E76+100</f>
        <v>113</v>
      </c>
      <c r="F77" s="175"/>
      <c r="G77" s="542" t="str">
        <f t="shared" si="74"/>
        <v>2158-755-712</v>
      </c>
      <c r="H77" s="117"/>
      <c r="I77" s="442"/>
      <c r="J77" s="165">
        <f>+IF(K77="","",IF(K75=0,"",(K75*J75)/(K77*60)))</f>
        <v>0.87380392156862752</v>
      </c>
      <c r="K77" s="118">
        <v>51</v>
      </c>
      <c r="L77" s="104" t="s">
        <v>19</v>
      </c>
      <c r="M77" s="216">
        <v>1</v>
      </c>
      <c r="N77" s="216">
        <v>1</v>
      </c>
      <c r="O77" s="216">
        <v>1</v>
      </c>
      <c r="P77" s="216">
        <v>1</v>
      </c>
      <c r="Q77" s="216"/>
      <c r="R77" s="216"/>
      <c r="S77" s="216"/>
      <c r="T77" s="216"/>
      <c r="U77" s="216"/>
      <c r="V77" s="216"/>
      <c r="W77" s="216"/>
      <c r="X77" s="173"/>
      <c r="Y77" s="467">
        <v>30.54</v>
      </c>
      <c r="Z77" s="365">
        <v>30.54</v>
      </c>
      <c r="AA77" s="465">
        <f t="shared" si="76"/>
        <v>4</v>
      </c>
      <c r="AB77" s="367"/>
      <c r="AC77" s="367"/>
      <c r="AD77" s="368">
        <f>+IFERROR(AD75/(K75*$AQ$3),"")</f>
        <v>1.3494505494505495</v>
      </c>
      <c r="AE77" s="369"/>
      <c r="AF77" s="347"/>
      <c r="AG77" s="347">
        <f t="shared" si="1"/>
        <v>0</v>
      </c>
      <c r="AH77" s="341">
        <f t="shared" si="2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4</v>
      </c>
      <c r="AM77" s="341">
        <f>+AL77-AA77</f>
        <v>0</v>
      </c>
      <c r="AN77" s="341"/>
      <c r="AO77" s="341"/>
      <c r="AP77" s="341"/>
      <c r="AQ77" s="369"/>
      <c r="AR77" s="434"/>
      <c r="AT77" s="390">
        <v>1.7219047619047618</v>
      </c>
      <c r="AV77" s="390"/>
    </row>
    <row r="78" spans="2:58" s="98" customFormat="1" ht="58.5" customHeight="1" thickTop="1" x14ac:dyDescent="0.9">
      <c r="B78" s="373">
        <f>+B79</f>
        <v>14</v>
      </c>
      <c r="C78" s="405"/>
      <c r="D78" s="106"/>
      <c r="E78" s="106"/>
      <c r="F78" s="106"/>
      <c r="G78" s="540" t="s">
        <v>429</v>
      </c>
      <c r="H78" s="106"/>
      <c r="I78" s="106"/>
      <c r="J78" s="107" t="s">
        <v>20</v>
      </c>
      <c r="K78" s="108" t="s">
        <v>23</v>
      </c>
      <c r="L78" s="100" t="s">
        <v>21</v>
      </c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48"/>
      <c r="X78" s="447" t="str">
        <f t="shared" ref="X78" si="77">IF(AQ79="","",SUM(M78:W78)-(-(AQ79-SUM(M78:W78))/$AQ$3)*SUM($M$2:$W$2))</f>
        <v/>
      </c>
      <c r="Y78" s="466"/>
      <c r="Z78" s="533">
        <f>+X80</f>
        <v>-147</v>
      </c>
      <c r="AA78" s="447">
        <f t="shared" si="0"/>
        <v>0</v>
      </c>
      <c r="AB78" s="343">
        <f>+AC78+AA78</f>
        <v>5850</v>
      </c>
      <c r="AC78" s="343">
        <v>5850</v>
      </c>
      <c r="AD78" s="344"/>
      <c r="AE78" s="345"/>
      <c r="AF78" s="346"/>
      <c r="AG78" s="347">
        <f t="shared" si="1"/>
        <v>0</v>
      </c>
      <c r="AH78" s="341">
        <f t="shared" si="2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8" s="98" customFormat="1" ht="58.5" customHeight="1" x14ac:dyDescent="0.9">
      <c r="B79" s="374">
        <v>14</v>
      </c>
      <c r="C79" s="406">
        <f>+B79</f>
        <v>14</v>
      </c>
      <c r="D79" s="407" t="s">
        <v>427</v>
      </c>
      <c r="E79" s="111"/>
      <c r="F79" s="111" t="s">
        <v>428</v>
      </c>
      <c r="G79" s="541" t="str">
        <f t="shared" ref="G79:G81" si="78">+G78</f>
        <v>NEGRONI-202942</v>
      </c>
      <c r="H79" s="111"/>
      <c r="I79" s="111" t="s">
        <v>430</v>
      </c>
      <c r="J79" s="113">
        <v>48.06</v>
      </c>
      <c r="K79" s="471">
        <v>44</v>
      </c>
      <c r="L79" s="101" t="s">
        <v>17</v>
      </c>
      <c r="M79" s="214">
        <v>18</v>
      </c>
      <c r="N79" s="214">
        <v>30</v>
      </c>
      <c r="O79" s="214">
        <v>24</v>
      </c>
      <c r="P79" s="214">
        <v>35</v>
      </c>
      <c r="Q79" s="214">
        <v>30</v>
      </c>
      <c r="R79" s="214">
        <v>23</v>
      </c>
      <c r="S79" s="214">
        <v>25</v>
      </c>
      <c r="T79" s="214">
        <v>30</v>
      </c>
      <c r="U79" s="214">
        <v>23</v>
      </c>
      <c r="V79" s="214"/>
      <c r="W79" s="214"/>
      <c r="X79" s="123">
        <f>+IF(H80="s",0,IF(AA79=0,0,IF(COUNTA(M79:W79)=AK81+0.25,SUMIF($C:$C,B79,$AA:$AA)/AK81,SUMIF($C:$C,B79,$AA:$AA)/(COUNTA(M79:W79)))))</f>
        <v>27.2</v>
      </c>
      <c r="Y79" s="466"/>
      <c r="Z79" s="534"/>
      <c r="AA79" s="134">
        <f t="shared" si="0"/>
        <v>238</v>
      </c>
      <c r="AB79" s="354">
        <f>+AA79+AC79</f>
        <v>5283</v>
      </c>
      <c r="AC79" s="354">
        <v>5045</v>
      </c>
      <c r="AD79" s="355">
        <f>+AB78-AB79</f>
        <v>567</v>
      </c>
      <c r="AE79" s="131">
        <f>+IF(((AA80+(AA81/2))*60)=0,"",(J79*AA79)/((AA80+(AA81/2))*60))</f>
        <v>0.52355097837281162</v>
      </c>
      <c r="AF79" s="347">
        <f>+AA80+AA81/2</f>
        <v>364.125</v>
      </c>
      <c r="AG79" s="347">
        <f t="shared" si="1"/>
        <v>364.07499999999999</v>
      </c>
      <c r="AH79" s="341">
        <f t="shared" si="2"/>
        <v>21847.5</v>
      </c>
      <c r="AI79" s="341">
        <f>+AA79*J79</f>
        <v>11438.28</v>
      </c>
      <c r="AJ79" s="356">
        <f>+AA79-(AF79*K79/K81)</f>
        <v>-126.125</v>
      </c>
      <c r="AK79" s="348"/>
      <c r="AL79" s="349"/>
      <c r="AM79" s="341"/>
      <c r="AN79" s="341"/>
      <c r="AO79" s="341"/>
      <c r="AP79" s="341"/>
      <c r="AQ79" s="339"/>
      <c r="AR79" s="434"/>
      <c r="AT79" s="390">
        <v>805</v>
      </c>
      <c r="AV79" s="390">
        <f t="shared" ref="AV79" si="79">+AT79-AD79</f>
        <v>238</v>
      </c>
    </row>
    <row r="80" spans="2:58" s="98" customFormat="1" ht="58.5" customHeight="1" x14ac:dyDescent="0.9">
      <c r="B80" s="357">
        <f>+B79</f>
        <v>14</v>
      </c>
      <c r="C80" s="408"/>
      <c r="D80" s="184"/>
      <c r="E80" s="111">
        <f>+B79</f>
        <v>14</v>
      </c>
      <c r="F80" s="409"/>
      <c r="G80" s="541" t="str">
        <f t="shared" si="78"/>
        <v>NEGRONI-202942</v>
      </c>
      <c r="H80" s="411"/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48">
        <v>41</v>
      </c>
      <c r="N80" s="448">
        <v>41</v>
      </c>
      <c r="O80" s="448">
        <v>41</v>
      </c>
      <c r="P80" s="448">
        <v>41</v>
      </c>
      <c r="Q80" s="448">
        <v>40</v>
      </c>
      <c r="R80" s="448">
        <v>41</v>
      </c>
      <c r="S80" s="448">
        <v>41</v>
      </c>
      <c r="T80" s="448">
        <v>41</v>
      </c>
      <c r="U80" s="448">
        <v>41</v>
      </c>
      <c r="V80" s="448"/>
      <c r="W80" s="448"/>
      <c r="X80" s="160">
        <f>+IF(H80="l",IF(COUNTA(M79:W79)=AK81+0.25,AA79-K79*AK81,AA79-(K79*COUNTA(M79:W79))),IF(H80="s",0,IF(COUNTA(M79:W79)=AK81+0.25,SUMIF($C:$C,B79,$AA:$AA)-K79*AK81,SUMIF($C:$C,B79,$AA:$AA)-K79*COUNTA(M79:W79))))</f>
        <v>-147</v>
      </c>
      <c r="Y80" s="466"/>
      <c r="Z80" s="534"/>
      <c r="AA80" s="462">
        <f t="shared" ref="AA80:AA81" si="80">+SUM(M80:W80)-U80*0.25</f>
        <v>357.75</v>
      </c>
      <c r="AB80" s="360"/>
      <c r="AC80" s="360"/>
      <c r="AD80" s="362"/>
      <c r="AE80" s="363"/>
      <c r="AF80" s="346"/>
      <c r="AG80" s="347">
        <f t="shared" si="1"/>
        <v>0</v>
      </c>
      <c r="AH80" s="341">
        <f t="shared" si="2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357.75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59" s="98" customFormat="1" ht="58.5" customHeight="1" thickBot="1" x14ac:dyDescent="0.95">
      <c r="B81" s="364">
        <f>+B79</f>
        <v>14</v>
      </c>
      <c r="C81" s="410"/>
      <c r="D81" s="174" t="s">
        <v>112</v>
      </c>
      <c r="E81" s="175">
        <f>+E80+100</f>
        <v>114</v>
      </c>
      <c r="F81" s="175"/>
      <c r="G81" s="542" t="str">
        <f t="shared" si="78"/>
        <v>NEGRONI-202942</v>
      </c>
      <c r="H81" s="117"/>
      <c r="I81" s="442"/>
      <c r="J81" s="165">
        <f>+IF(K81="","",IF(K79=0,"",(K79*J79)/(K81*60)))</f>
        <v>0.80100000000000016</v>
      </c>
      <c r="K81" s="471">
        <v>44</v>
      </c>
      <c r="L81" s="104" t="s">
        <v>19</v>
      </c>
      <c r="M81" s="216">
        <v>2</v>
      </c>
      <c r="N81" s="216">
        <v>2</v>
      </c>
      <c r="O81" s="216">
        <v>2</v>
      </c>
      <c r="P81" s="216">
        <v>2</v>
      </c>
      <c r="Q81" s="216">
        <v>1</v>
      </c>
      <c r="R81" s="216">
        <v>1</v>
      </c>
      <c r="S81" s="216">
        <v>1</v>
      </c>
      <c r="T81" s="216">
        <v>1</v>
      </c>
      <c r="U81" s="216">
        <v>1</v>
      </c>
      <c r="V81" s="216"/>
      <c r="W81" s="216"/>
      <c r="X81" s="173"/>
      <c r="Y81" s="467">
        <v>43.52</v>
      </c>
      <c r="Z81" s="365">
        <v>43.52</v>
      </c>
      <c r="AA81" s="465">
        <f t="shared" si="80"/>
        <v>12.75</v>
      </c>
      <c r="AB81" s="367"/>
      <c r="AC81" s="367"/>
      <c r="AD81" s="368">
        <f>+IFERROR(AD79/(K79*$AQ$3),"")</f>
        <v>1.4727272727272727</v>
      </c>
      <c r="AE81" s="369"/>
      <c r="AF81" s="347"/>
      <c r="AG81" s="347">
        <f t="shared" si="1"/>
        <v>0</v>
      </c>
      <c r="AH81" s="341">
        <f t="shared" si="2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12.75</v>
      </c>
      <c r="AM81" s="341">
        <f>+AL81-AA81</f>
        <v>0</v>
      </c>
      <c r="AN81" s="341"/>
      <c r="AO81" s="341"/>
      <c r="AP81" s="341"/>
      <c r="AQ81" s="369"/>
      <c r="AR81" s="434"/>
      <c r="AT81" s="390">
        <v>2.0909090909090908</v>
      </c>
      <c r="AV81" s="390"/>
    </row>
    <row r="82" spans="2:59" s="98" customFormat="1" ht="58.5" customHeight="1" thickTop="1" x14ac:dyDescent="0.9">
      <c r="B82" s="373">
        <f>+B83</f>
        <v>14</v>
      </c>
      <c r="C82" s="405"/>
      <c r="D82" s="106"/>
      <c r="E82" s="106"/>
      <c r="F82" s="106"/>
      <c r="G82" s="540" t="s">
        <v>481</v>
      </c>
      <c r="H82" s="106"/>
      <c r="I82" s="106"/>
      <c r="J82" s="107" t="s">
        <v>20</v>
      </c>
      <c r="K82" s="108" t="s">
        <v>23</v>
      </c>
      <c r="L82" s="100" t="s">
        <v>21</v>
      </c>
      <c r="M82" s="448"/>
      <c r="N82" s="448">
        <v>60</v>
      </c>
      <c r="O82" s="448">
        <v>60</v>
      </c>
      <c r="P82" s="448">
        <v>60</v>
      </c>
      <c r="Q82" s="448">
        <v>60</v>
      </c>
      <c r="R82" s="448"/>
      <c r="S82" s="448"/>
      <c r="T82" s="448">
        <v>60</v>
      </c>
      <c r="U82" s="448"/>
      <c r="V82" s="448"/>
      <c r="W82" s="448"/>
      <c r="X82" s="447">
        <f t="shared" ref="X82" si="81">IF(AQ83="","",SUM(M82:W82)-(-(AQ83-SUM(M82:W82))/$AQ$3)*SUM($M$2:$W$2))</f>
        <v>300</v>
      </c>
      <c r="Y82" s="466"/>
      <c r="Z82" s="533">
        <f>+X84</f>
        <v>0</v>
      </c>
      <c r="AA82" s="447">
        <f t="shared" ref="AA82:AA83" si="82">+SUM(L82:W82)</f>
        <v>300</v>
      </c>
      <c r="AB82" s="343">
        <f>+AC82+AA82</f>
        <v>420</v>
      </c>
      <c r="AC82" s="343">
        <v>120</v>
      </c>
      <c r="AD82" s="344"/>
      <c r="AE82" s="345"/>
      <c r="AF82" s="346"/>
      <c r="AG82" s="347">
        <f t="shared" si="1"/>
        <v>0</v>
      </c>
      <c r="AH82" s="341">
        <f t="shared" si="2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59" s="98" customFormat="1" ht="58.5" customHeight="1" x14ac:dyDescent="0.9">
      <c r="B83" s="374">
        <v>14</v>
      </c>
      <c r="C83" s="406">
        <f>+B83</f>
        <v>14</v>
      </c>
      <c r="D83" s="407" t="s">
        <v>480</v>
      </c>
      <c r="E83" s="111"/>
      <c r="F83" s="111" t="s">
        <v>35</v>
      </c>
      <c r="G83" s="541" t="str">
        <f t="shared" ref="G83:G85" si="83">+G82</f>
        <v>2396-593-600</v>
      </c>
      <c r="H83" s="111"/>
      <c r="I83" s="111" t="s">
        <v>33</v>
      </c>
      <c r="J83" s="113">
        <v>40.03</v>
      </c>
      <c r="K83" s="130">
        <v>61</v>
      </c>
      <c r="L83" s="101" t="s">
        <v>17</v>
      </c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123">
        <f>+IF(H84="s",0,IF(AA83=0,0,IF(COUNTA(M83:W83)=AK85+0.25,SUMIF($C:$C,B83,$AA:$AA)/AK85,SUMIF($C:$C,B83,$AA:$AA)/(COUNTA(M83:W83)))))</f>
        <v>0</v>
      </c>
      <c r="Y83" s="466"/>
      <c r="Z83" s="534"/>
      <c r="AA83" s="134">
        <f t="shared" si="82"/>
        <v>0</v>
      </c>
      <c r="AB83" s="354">
        <f>+AA83+AC83</f>
        <v>0</v>
      </c>
      <c r="AC83" s="354">
        <v>0</v>
      </c>
      <c r="AD83" s="355">
        <f>+AB82-AB83</f>
        <v>420</v>
      </c>
      <c r="AE83" s="131">
        <f>+IF(((AA84+(AA85/2))*60)=0,"",(J83*AA83)/((AA84+(AA85/2))*60))</f>
        <v>0</v>
      </c>
      <c r="AF83" s="347">
        <f>+AA84+AA85/2</f>
        <v>18.25</v>
      </c>
      <c r="AG83" s="347">
        <f t="shared" si="1"/>
        <v>18.149999999999999</v>
      </c>
      <c r="AH83" s="341">
        <f t="shared" si="2"/>
        <v>1095</v>
      </c>
      <c r="AI83" s="341">
        <f>+AA83*J83</f>
        <v>0</v>
      </c>
      <c r="AJ83" s="356">
        <f>+AA83-(AF83*K83/K85)</f>
        <v>-24.201086956521738</v>
      </c>
      <c r="AK83" s="348"/>
      <c r="AL83" s="349"/>
      <c r="AM83" s="341"/>
      <c r="AN83" s="341"/>
      <c r="AO83" s="341"/>
      <c r="AP83" s="341"/>
      <c r="AQ83" s="339">
        <f>-240+AA82</f>
        <v>60</v>
      </c>
      <c r="AR83" s="434"/>
      <c r="AT83" s="390">
        <v>120</v>
      </c>
      <c r="AV83" s="390">
        <f t="shared" ref="AV83" si="84">+AT83-AD83</f>
        <v>-300</v>
      </c>
    </row>
    <row r="84" spans="2:59" s="98" customFormat="1" ht="58.5" customHeight="1" x14ac:dyDescent="0.9">
      <c r="B84" s="357">
        <f>+B83</f>
        <v>14</v>
      </c>
      <c r="C84" s="408"/>
      <c r="D84" s="184"/>
      <c r="E84" s="111">
        <f>+B83</f>
        <v>14</v>
      </c>
      <c r="F84" s="409"/>
      <c r="G84" s="541" t="str">
        <f t="shared" si="83"/>
        <v>2396-593-600</v>
      </c>
      <c r="H84" s="411" t="s">
        <v>413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48">
        <v>1</v>
      </c>
      <c r="N84" s="448">
        <v>1</v>
      </c>
      <c r="O84" s="448">
        <v>1</v>
      </c>
      <c r="P84" s="448">
        <v>1</v>
      </c>
      <c r="Q84" s="448">
        <v>2</v>
      </c>
      <c r="R84" s="448">
        <v>2</v>
      </c>
      <c r="S84" s="448">
        <v>2</v>
      </c>
      <c r="T84" s="448">
        <v>2</v>
      </c>
      <c r="U84" s="448">
        <v>2</v>
      </c>
      <c r="V84" s="448"/>
      <c r="W84" s="448"/>
      <c r="X84" s="160">
        <f>+IF(H84="l",IF(COUNTA(M83:W83)=AK85+0.25,AA83-K83*AK85,AA83-(K83*COUNTA(M83:W83))),IF(H84="s",0,IF(COUNTA(M83:W83)=AK85+0.25,SUMIF($C:$C,B83,$AA:$AA)-K83*AK85,SUMIF($C:$C,B83,$AA:$AA)-K83*COUNTA(M83:W83))))</f>
        <v>0</v>
      </c>
      <c r="Y84" s="466"/>
      <c r="Z84" s="534"/>
      <c r="AA84" s="462">
        <f t="shared" ref="AA84:AA85" si="85">+SUM(M84:W84)-U84*0.25</f>
        <v>13.5</v>
      </c>
      <c r="AB84" s="360"/>
      <c r="AC84" s="360"/>
      <c r="AD84" s="362"/>
      <c r="AE84" s="363"/>
      <c r="AF84" s="346"/>
      <c r="AG84" s="347">
        <f t="shared" si="1"/>
        <v>0</v>
      </c>
      <c r="AH84" s="341">
        <f t="shared" si="2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13.5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59" s="98" customFormat="1" ht="58.5" customHeight="1" thickBot="1" x14ac:dyDescent="0.95">
      <c r="B85" s="364">
        <f>+B83</f>
        <v>14</v>
      </c>
      <c r="C85" s="410"/>
      <c r="D85" s="174" t="s">
        <v>112</v>
      </c>
      <c r="E85" s="175">
        <f>+E84+100</f>
        <v>114</v>
      </c>
      <c r="F85" s="175"/>
      <c r="G85" s="542" t="str">
        <f t="shared" si="83"/>
        <v>2396-593-600</v>
      </c>
      <c r="H85" s="117"/>
      <c r="I85" s="442"/>
      <c r="J85" s="165">
        <f>+IF(K85="","",IF(K83=0,"",(K83*J83)/(K85*60)))</f>
        <v>0.88472101449275364</v>
      </c>
      <c r="K85" s="118">
        <v>46</v>
      </c>
      <c r="L85" s="104" t="s">
        <v>19</v>
      </c>
      <c r="M85" s="216"/>
      <c r="N85" s="216"/>
      <c r="O85" s="216"/>
      <c r="P85" s="216"/>
      <c r="Q85" s="216">
        <v>2</v>
      </c>
      <c r="R85" s="216">
        <v>2</v>
      </c>
      <c r="S85" s="216">
        <v>2</v>
      </c>
      <c r="T85" s="216">
        <v>2</v>
      </c>
      <c r="U85" s="216">
        <v>2</v>
      </c>
      <c r="V85" s="216"/>
      <c r="W85" s="216"/>
      <c r="X85" s="173"/>
      <c r="Y85" s="467" t="e">
        <v>#DIV/0!</v>
      </c>
      <c r="Z85" s="371" t="e">
        <f>+IF(COUNTA(M83:W83)=$AJ$4+0.25,$AJ$4-(AA83/K83),COUNTA(M83:W83)-(AA83/K83))+Y85</f>
        <v>#DIV/0!</v>
      </c>
      <c r="AA85" s="465">
        <f t="shared" si="85"/>
        <v>9.5</v>
      </c>
      <c r="AB85" s="367"/>
      <c r="AC85" s="367"/>
      <c r="AD85" s="368">
        <f>+IFERROR(AD83/(K83*$AQ$3),"")</f>
        <v>0.78688524590163933</v>
      </c>
      <c r="AE85" s="369"/>
      <c r="AF85" s="347"/>
      <c r="AG85" s="347">
        <f t="shared" si="1"/>
        <v>0</v>
      </c>
      <c r="AH85" s="341">
        <f t="shared" si="2"/>
        <v>0</v>
      </c>
      <c r="AI85" s="341"/>
      <c r="AJ85" s="356"/>
      <c r="AK85" s="370">
        <f>+$AJ$4</f>
        <v>8.75</v>
      </c>
      <c r="AL85" s="349">
        <f>+IF(AK85=7.75,SUM(M85:S85)+T85*0.75,IF(AK85=8,SUM(M85:T85),IF(AK85=7.25,SUM(M85:S85)+T85*0.25,IF(AK85=8.25,SUM(M85:T85)+U85*0.25,IF(AK85=8.75,SUM(M85:T85)+U85*0.75,0)))))</f>
        <v>9.5</v>
      </c>
      <c r="AM85" s="341">
        <f>+AL85-AA85</f>
        <v>0</v>
      </c>
      <c r="AN85" s="341"/>
      <c r="AO85" s="341"/>
      <c r="AP85" s="341"/>
      <c r="AQ85" s="369"/>
      <c r="AR85" s="434"/>
      <c r="AT85" s="390" t="s">
        <v>416</v>
      </c>
      <c r="AV85" s="390"/>
    </row>
    <row r="86" spans="2:59" s="98" customFormat="1" ht="62.25" customHeight="1" thickTop="1" x14ac:dyDescent="0.9">
      <c r="B86" s="342">
        <f>+B87</f>
        <v>15</v>
      </c>
      <c r="C86" s="405"/>
      <c r="D86" s="106"/>
      <c r="E86" s="106"/>
      <c r="F86" s="106"/>
      <c r="G86" s="539" t="s">
        <v>435</v>
      </c>
      <c r="H86" s="106"/>
      <c r="I86" s="106"/>
      <c r="J86" s="107" t="s">
        <v>20</v>
      </c>
      <c r="K86" s="108" t="s">
        <v>23</v>
      </c>
      <c r="L86" s="100" t="s">
        <v>21</v>
      </c>
      <c r="M86" s="448">
        <v>80</v>
      </c>
      <c r="N86" s="448">
        <v>40</v>
      </c>
      <c r="O86" s="448">
        <v>80</v>
      </c>
      <c r="P86" s="448">
        <v>40</v>
      </c>
      <c r="Q86" s="448">
        <v>80</v>
      </c>
      <c r="R86" s="448">
        <v>40</v>
      </c>
      <c r="S86" s="448">
        <v>40</v>
      </c>
      <c r="T86" s="448"/>
      <c r="U86" s="448"/>
      <c r="V86" s="448"/>
      <c r="W86" s="448"/>
      <c r="X86" s="447">
        <f t="shared" ref="X86" si="86">IF(AQ87="","",SUM(M86:W86)-(-(AQ87-SUM(M86:W86))/$AQ$3)*SUM($M$2:$W$2))</f>
        <v>400</v>
      </c>
      <c r="Y86" s="466"/>
      <c r="Z86" s="533">
        <f>+X88</f>
        <v>-72.5</v>
      </c>
      <c r="AA86" s="447">
        <f t="shared" ref="AA86:AA107" si="87">+SUM(L86:W86)</f>
        <v>400</v>
      </c>
      <c r="AB86" s="343">
        <f>+AC86+AA86</f>
        <v>4032</v>
      </c>
      <c r="AC86" s="343">
        <v>3632</v>
      </c>
      <c r="AD86" s="344"/>
      <c r="AE86" s="345"/>
      <c r="AF86" s="346"/>
      <c r="AG86" s="347">
        <f t="shared" si="1"/>
        <v>0</v>
      </c>
      <c r="AH86" s="341">
        <f t="shared" si="2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59" s="98" customFormat="1" ht="62.25" customHeight="1" x14ac:dyDescent="1.35">
      <c r="B87" s="351">
        <v>15</v>
      </c>
      <c r="C87" s="406">
        <f>+B87</f>
        <v>15</v>
      </c>
      <c r="D87" s="407" t="s">
        <v>436</v>
      </c>
      <c r="E87" s="111"/>
      <c r="F87" s="111" t="s">
        <v>35</v>
      </c>
      <c r="G87" s="539" t="str">
        <f t="shared" ref="G87:G89" si="88">+G86</f>
        <v>2076-780-803</v>
      </c>
      <c r="H87" s="111"/>
      <c r="I87" s="111" t="s">
        <v>38</v>
      </c>
      <c r="J87" s="113">
        <v>38.729999999999997</v>
      </c>
      <c r="K87" s="130">
        <v>58</v>
      </c>
      <c r="L87" s="101" t="s">
        <v>17</v>
      </c>
      <c r="M87" s="214">
        <v>45</v>
      </c>
      <c r="N87" s="214">
        <v>50</v>
      </c>
      <c r="O87" s="214">
        <v>50</v>
      </c>
      <c r="P87" s="214">
        <v>50</v>
      </c>
      <c r="Q87" s="214">
        <v>50</v>
      </c>
      <c r="R87" s="214">
        <v>50</v>
      </c>
      <c r="S87" s="214">
        <v>50</v>
      </c>
      <c r="T87" s="214">
        <v>50</v>
      </c>
      <c r="U87" s="214">
        <v>40</v>
      </c>
      <c r="V87" s="214"/>
      <c r="W87" s="214"/>
      <c r="X87" s="123">
        <f>+IF(H88="s",0,IF(AA87=0,0,IF(COUNTA(M87:W87)=AK89+0.25,SUMIF($C:$C,B87,$AA:$AA)/AK89,SUMIF($C:$C,B87,$AA:$AA)/(COUNTA(M87:W87)))))</f>
        <v>49.714285714285715</v>
      </c>
      <c r="Y87" s="466"/>
      <c r="Z87" s="534"/>
      <c r="AA87" s="134">
        <f t="shared" si="87"/>
        <v>435</v>
      </c>
      <c r="AB87" s="354">
        <f>+AA87+AC87</f>
        <v>3477</v>
      </c>
      <c r="AC87" s="354">
        <v>3042</v>
      </c>
      <c r="AD87" s="355">
        <f>+AB86-AB87</f>
        <v>555</v>
      </c>
      <c r="AE87" s="131">
        <f>+IF(((AA88+(AA89/2))*60)=0,"",(J87*AA87)/((AA88+(AA89/2))*60))</f>
        <v>0.75915511997296381</v>
      </c>
      <c r="AF87" s="347">
        <f>+AA88+AA89/2</f>
        <v>369.875</v>
      </c>
      <c r="AG87" s="347">
        <f t="shared" si="1"/>
        <v>369.52499999999998</v>
      </c>
      <c r="AH87" s="341">
        <f t="shared" si="2"/>
        <v>22192.5</v>
      </c>
      <c r="AI87" s="341">
        <f>+AA87*J87</f>
        <v>16847.55</v>
      </c>
      <c r="AJ87" s="356">
        <f>+AA87-(AF87*K87/K89)</f>
        <v>-75.779761904761926</v>
      </c>
      <c r="AK87" s="348"/>
      <c r="AL87" s="349"/>
      <c r="AM87" s="341"/>
      <c r="AN87" s="341"/>
      <c r="AO87" s="341"/>
      <c r="AP87" s="341"/>
      <c r="AQ87" s="339">
        <f t="shared" ref="AQ87:AQ91" si="89">IF(AR87=0,"",AT87-(($AQ$3*K87)+($AQ$3*K87)*AR87)+AA86)</f>
        <v>-278.75</v>
      </c>
      <c r="AR87" s="434">
        <v>1.5</v>
      </c>
      <c r="AT87" s="390">
        <v>590</v>
      </c>
      <c r="AV87" s="390">
        <f t="shared" ref="AV87" si="90">+AT87-AD87</f>
        <v>35</v>
      </c>
      <c r="AW87" s="535" t="s">
        <v>473</v>
      </c>
      <c r="AX87" s="535"/>
      <c r="AY87" s="535"/>
      <c r="AZ87" s="535"/>
      <c r="BA87" s="535"/>
      <c r="BB87" s="535"/>
      <c r="BC87" s="535"/>
      <c r="BD87" s="535"/>
      <c r="BE87" s="535"/>
      <c r="BF87" s="535"/>
    </row>
    <row r="88" spans="2:59" s="98" customFormat="1" ht="62.25" customHeight="1" x14ac:dyDescent="0.9">
      <c r="B88" s="357">
        <f>+B87</f>
        <v>15</v>
      </c>
      <c r="C88" s="408"/>
      <c r="D88" s="184"/>
      <c r="E88" s="111">
        <f>+B87</f>
        <v>15</v>
      </c>
      <c r="F88" s="412"/>
      <c r="G88" s="539" t="str">
        <f t="shared" si="88"/>
        <v>2076-780-803</v>
      </c>
      <c r="H88" s="411" t="s">
        <v>412</v>
      </c>
      <c r="I88" s="113">
        <f>+IFERROR(IF(K89=0,0,IF((LOOKUP(2,1/(M88:W88&lt;&gt;""),M88:W88)-K89)&lt;0,0,IF(K89=0,"",LOOKUP(2,1/(M88:W88&lt;&gt;""),M88:W88)-K89))),0)</f>
        <v>0</v>
      </c>
      <c r="J88" s="113">
        <v>1</v>
      </c>
      <c r="K88" s="114" t="s">
        <v>22</v>
      </c>
      <c r="L88" s="102" t="s">
        <v>18</v>
      </c>
      <c r="M88" s="448">
        <v>40</v>
      </c>
      <c r="N88" s="448">
        <v>42</v>
      </c>
      <c r="O88" s="448">
        <v>42</v>
      </c>
      <c r="P88" s="448">
        <v>42</v>
      </c>
      <c r="Q88" s="448">
        <v>42</v>
      </c>
      <c r="R88" s="448">
        <v>42</v>
      </c>
      <c r="S88" s="448">
        <v>42</v>
      </c>
      <c r="T88" s="448">
        <v>42</v>
      </c>
      <c r="U88" s="448">
        <v>42</v>
      </c>
      <c r="V88" s="448"/>
      <c r="W88" s="448"/>
      <c r="X88" s="160">
        <f>+IF(H88="l",IF(COUNTA(M87:W87)=AK89+0.25,AA87-K87*AK89,AA87-(K87*COUNTA(M87:W87))),IF(H88="s",0,IF(COUNTA(M87:W87)=AK89+0.25,SUMIF($C:$C,B87,$AA:$AA)-K87*AK89,SUMIF($C:$C,B87,$AA:$AA)-K87*COUNTA(M87:W87))))</f>
        <v>-72.5</v>
      </c>
      <c r="Y88" s="466"/>
      <c r="Z88" s="534"/>
      <c r="AA88" s="462">
        <f t="shared" ref="AA88:AA89" si="91">+SUM(M88:W88)-U88*0.25</f>
        <v>365.5</v>
      </c>
      <c r="AB88" s="360"/>
      <c r="AC88" s="360"/>
      <c r="AD88" s="362"/>
      <c r="AE88" s="363"/>
      <c r="AF88" s="346"/>
      <c r="AG88" s="347">
        <f t="shared" si="1"/>
        <v>0</v>
      </c>
      <c r="AH88" s="341">
        <f t="shared" si="2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365.5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59" s="98" customFormat="1" ht="62.25" customHeight="1" thickBot="1" x14ac:dyDescent="0.95">
      <c r="B89" s="364">
        <f>+B87</f>
        <v>15</v>
      </c>
      <c r="C89" s="410"/>
      <c r="D89" s="174" t="s">
        <v>93</v>
      </c>
      <c r="E89" s="175">
        <f>+E88+100</f>
        <v>115</v>
      </c>
      <c r="F89" s="175"/>
      <c r="G89" s="539" t="str">
        <f t="shared" si="88"/>
        <v>2076-780-803</v>
      </c>
      <c r="H89" s="117"/>
      <c r="I89" s="442"/>
      <c r="J89" s="165">
        <f>+IF(K89="","",IF(K87=0,"",(K87*J87)/(K89*60)))</f>
        <v>0.89140476190476181</v>
      </c>
      <c r="K89" s="118">
        <v>42</v>
      </c>
      <c r="L89" s="104" t="s">
        <v>19</v>
      </c>
      <c r="M89" s="216">
        <v>1</v>
      </c>
      <c r="N89" s="216">
        <v>1</v>
      </c>
      <c r="O89" s="216">
        <v>1</v>
      </c>
      <c r="P89" s="216">
        <v>1</v>
      </c>
      <c r="Q89" s="216">
        <v>1</v>
      </c>
      <c r="R89" s="216">
        <v>1</v>
      </c>
      <c r="S89" s="216">
        <v>1</v>
      </c>
      <c r="T89" s="216">
        <v>1</v>
      </c>
      <c r="U89" s="216">
        <v>1</v>
      </c>
      <c r="V89" s="216"/>
      <c r="W89" s="216"/>
      <c r="X89" s="173"/>
      <c r="Y89" s="467">
        <v>15.46</v>
      </c>
      <c r="Z89" s="365">
        <v>15.46</v>
      </c>
      <c r="AA89" s="465">
        <f t="shared" si="91"/>
        <v>8.75</v>
      </c>
      <c r="AB89" s="367"/>
      <c r="AC89" s="367"/>
      <c r="AD89" s="368">
        <f>+IFERROR(AD87/(K87*$AQ$3),"")</f>
        <v>1.0935960591133005</v>
      </c>
      <c r="AE89" s="369"/>
      <c r="AF89" s="347"/>
      <c r="AG89" s="347">
        <f t="shared" si="1"/>
        <v>0</v>
      </c>
      <c r="AH89" s="341">
        <f t="shared" si="2"/>
        <v>0</v>
      </c>
      <c r="AI89" s="341"/>
      <c r="AJ89" s="356"/>
      <c r="AK89" s="370">
        <f>+$AJ$4</f>
        <v>8.75</v>
      </c>
      <c r="AL89" s="349">
        <f>+IF(AK89=7.75,SUM(M89:S89)+T89*0.75,IF(AK89=8,SUM(M89:T89),IF(AK89=7.25,SUM(M89:S89)+T89*0.25,IF(AK89=8.25,SUM(M89:T89)+U89*0.25,IF(AK89=8.75,SUM(M89:T89)+U89*0.75,0)))))</f>
        <v>8.75</v>
      </c>
      <c r="AM89" s="341">
        <f>+AL89-AA89</f>
        <v>0</v>
      </c>
      <c r="AN89" s="341"/>
      <c r="AO89" s="341"/>
      <c r="AP89" s="341"/>
      <c r="AQ89" s="369"/>
      <c r="AR89" s="434"/>
      <c r="AT89" s="390">
        <v>1.1625615763546797</v>
      </c>
      <c r="AV89" s="390"/>
    </row>
    <row r="90" spans="2:59" s="98" customFormat="1" ht="62.25" customHeight="1" thickTop="1" x14ac:dyDescent="0.9">
      <c r="B90" s="373">
        <f>+B91</f>
        <v>16</v>
      </c>
      <c r="C90" s="405"/>
      <c r="D90" s="106"/>
      <c r="E90" s="106"/>
      <c r="F90" s="106"/>
      <c r="G90" s="540" t="s">
        <v>432</v>
      </c>
      <c r="H90" s="106"/>
      <c r="I90" s="106"/>
      <c r="J90" s="107" t="s">
        <v>20</v>
      </c>
      <c r="K90" s="108" t="s">
        <v>23</v>
      </c>
      <c r="L90" s="100" t="s">
        <v>21</v>
      </c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48"/>
      <c r="X90" s="447" t="str">
        <f t="shared" ref="X90" si="92">IF(AQ91="","",SUM(M90:W90)-(-(AQ91-SUM(M90:W90))/$AQ$3)*SUM($M$2:$W$2))</f>
        <v/>
      </c>
      <c r="Y90" s="466">
        <v>0</v>
      </c>
      <c r="Z90" s="533">
        <f>+X92</f>
        <v>0</v>
      </c>
      <c r="AA90" s="447">
        <f t="shared" si="87"/>
        <v>0</v>
      </c>
      <c r="AB90" s="343">
        <f>+AC90+AA90</f>
        <v>3661</v>
      </c>
      <c r="AC90" s="343">
        <v>3661</v>
      </c>
      <c r="AD90" s="344"/>
      <c r="AE90" s="345"/>
      <c r="AF90" s="346"/>
      <c r="AG90" s="347">
        <f t="shared" si="1"/>
        <v>0</v>
      </c>
      <c r="AH90" s="341">
        <f t="shared" si="2"/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59" s="98" customFormat="1" ht="62.25" customHeight="1" x14ac:dyDescent="0.9">
      <c r="B91" s="374">
        <v>16</v>
      </c>
      <c r="C91" s="406">
        <f>+B91</f>
        <v>16</v>
      </c>
      <c r="D91" s="407" t="s">
        <v>431</v>
      </c>
      <c r="E91" s="111"/>
      <c r="F91" s="111" t="s">
        <v>35</v>
      </c>
      <c r="G91" s="541" t="str">
        <f t="shared" ref="G91:G93" si="93">+G90</f>
        <v>2158-755-712</v>
      </c>
      <c r="H91" s="111"/>
      <c r="I91" s="111" t="s">
        <v>33</v>
      </c>
      <c r="J91" s="113">
        <v>51.42</v>
      </c>
      <c r="K91" s="130">
        <v>52</v>
      </c>
      <c r="L91" s="101" t="s">
        <v>17</v>
      </c>
      <c r="M91" s="214"/>
      <c r="N91" s="214"/>
      <c r="O91" s="214">
        <v>27</v>
      </c>
      <c r="P91" s="214"/>
      <c r="Q91" s="214"/>
      <c r="R91" s="214"/>
      <c r="S91" s="214"/>
      <c r="T91" s="214"/>
      <c r="U91" s="214"/>
      <c r="V91" s="214"/>
      <c r="W91" s="214"/>
      <c r="X91" s="123">
        <f>+IF(H92="s",0,IF(AA91=0,0,IF(COUNTA(M91:W91)=AK93+0.25,SUMIF($C:$C,B91,$AA:$AA)/AK93,SUMIF($C:$C,B91,$AA:$AA)/(COUNTA(M91:W91)))))</f>
        <v>0</v>
      </c>
      <c r="Y91" s="466"/>
      <c r="Z91" s="534"/>
      <c r="AA91" s="134">
        <f t="shared" si="87"/>
        <v>27</v>
      </c>
      <c r="AB91" s="354">
        <f>+AA91+AC91</f>
        <v>3659</v>
      </c>
      <c r="AC91" s="354">
        <v>3632</v>
      </c>
      <c r="AD91" s="355">
        <f>+AB90-AB91</f>
        <v>2</v>
      </c>
      <c r="AE91" s="131">
        <f>+IF(((AA92+(AA93/2))*60)=0,"",(J91*AA91)/((AA92+(AA93/2))*60))</f>
        <v>23.139000000000003</v>
      </c>
      <c r="AF91" s="347">
        <f>+AA92+AA93/2</f>
        <v>1</v>
      </c>
      <c r="AG91" s="347">
        <f t="shared" si="1"/>
        <v>1</v>
      </c>
      <c r="AH91" s="341">
        <f t="shared" si="2"/>
        <v>60</v>
      </c>
      <c r="AI91" s="341">
        <f>+AA91*J91</f>
        <v>1388.3400000000001</v>
      </c>
      <c r="AJ91" s="356">
        <f>+AA91-(AF91*K91/K93)</f>
        <v>25.980392156862745</v>
      </c>
      <c r="AK91" s="348"/>
      <c r="AL91" s="349"/>
      <c r="AM91" s="341"/>
      <c r="AN91" s="341"/>
      <c r="AO91" s="341"/>
      <c r="AP91" s="341"/>
      <c r="AQ91" s="339" t="str">
        <f t="shared" si="89"/>
        <v/>
      </c>
      <c r="AR91" s="434"/>
      <c r="AT91" s="390">
        <v>29</v>
      </c>
      <c r="AV91" s="390">
        <f t="shared" ref="AV91" si="94">+AT91-AD91</f>
        <v>27</v>
      </c>
      <c r="AW91" s="536"/>
      <c r="AX91" s="536"/>
      <c r="AY91" s="536"/>
      <c r="AZ91" s="536"/>
      <c r="BA91" s="536"/>
      <c r="BB91" s="536"/>
      <c r="BC91" s="536"/>
      <c r="BD91" s="536"/>
      <c r="BE91" s="536"/>
      <c r="BF91" s="536"/>
      <c r="BG91" s="536"/>
    </row>
    <row r="92" spans="2:59" s="98" customFormat="1" ht="62.25" customHeight="1" x14ac:dyDescent="0.9">
      <c r="B92" s="357">
        <f>+B91</f>
        <v>16</v>
      </c>
      <c r="C92" s="408"/>
      <c r="D92" s="184"/>
      <c r="E92" s="111">
        <f>+B91</f>
        <v>16</v>
      </c>
      <c r="F92" s="409"/>
      <c r="G92" s="541" t="str">
        <f t="shared" si="93"/>
        <v>2158-755-712</v>
      </c>
      <c r="H92" s="411" t="s">
        <v>414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48"/>
      <c r="N92" s="448"/>
      <c r="O92" s="448">
        <v>1</v>
      </c>
      <c r="P92" s="448"/>
      <c r="Q92" s="448"/>
      <c r="R92" s="448"/>
      <c r="S92" s="448"/>
      <c r="T92" s="448"/>
      <c r="U92" s="448"/>
      <c r="V92" s="448"/>
      <c r="W92" s="448"/>
      <c r="X92" s="160">
        <f>+IF(H92="l",IF(COUNTA(M91:W91)=AK93+0.25,AA91-K91*AK93,AA91-(K91*COUNTA(M91:W91))),IF(H92="s",0,IF(COUNTA(M91:W91)=AK93+0.25,SUMIF($C:$C,B91,$AA:$AA)-K91*AK93,SUMIF($C:$C,B91,$AA:$AA)-K91*COUNTA(M91:W91))))</f>
        <v>0</v>
      </c>
      <c r="Y92" s="466"/>
      <c r="Z92" s="534"/>
      <c r="AA92" s="462">
        <f t="shared" ref="AA92:AA93" si="95">+SUM(M92:W92)-U92*0.25</f>
        <v>1</v>
      </c>
      <c r="AB92" s="360"/>
      <c r="AC92" s="360"/>
      <c r="AD92" s="362"/>
      <c r="AE92" s="363"/>
      <c r="AF92" s="346"/>
      <c r="AG92" s="347">
        <f t="shared" si="1"/>
        <v>0</v>
      </c>
      <c r="AH92" s="341">
        <f t="shared" si="2"/>
        <v>0</v>
      </c>
      <c r="AI92" s="341"/>
      <c r="AJ92" s="341"/>
      <c r="AK92" s="348"/>
      <c r="AL92" s="349">
        <f>+IF(AK93=7.75,SUM(M92:S92)+T92*0.75,IF(AK93=8,SUM(M92:T92),IF(AK93=7.25,SUM(M92:S92)+T92*0.25,IF(AK93=8.25,SUM(M92:T92)+U92*0.25,IF(AK93=8.75,SUM(M92:T92)+U92*0.75,0)))))</f>
        <v>1</v>
      </c>
      <c r="AM92" s="341">
        <f>+AL92-AA92</f>
        <v>0</v>
      </c>
      <c r="AN92" s="341"/>
      <c r="AO92" s="341"/>
      <c r="AP92" s="341"/>
      <c r="AQ92" s="438"/>
      <c r="AR92" s="434"/>
      <c r="AT92" s="390"/>
      <c r="AV92" s="390"/>
    </row>
    <row r="93" spans="2:59" s="98" customFormat="1" ht="62.25" customHeight="1" thickBot="1" x14ac:dyDescent="0.95">
      <c r="B93" s="375">
        <f>+B91</f>
        <v>16</v>
      </c>
      <c r="C93" s="410"/>
      <c r="D93" s="413" t="s">
        <v>152</v>
      </c>
      <c r="E93" s="175">
        <f>+E92+100</f>
        <v>116</v>
      </c>
      <c r="F93" s="175"/>
      <c r="G93" s="542" t="str">
        <f t="shared" si="93"/>
        <v>2158-755-712</v>
      </c>
      <c r="H93" s="117"/>
      <c r="I93" s="442"/>
      <c r="J93" s="165">
        <f>+IF(K93="","",IF(K91=0,"",(K91*J91)/(K93*60)))</f>
        <v>0.87380392156862752</v>
      </c>
      <c r="K93" s="118">
        <v>51</v>
      </c>
      <c r="L93" s="104" t="s">
        <v>19</v>
      </c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173"/>
      <c r="Y93" s="467">
        <v>18.93</v>
      </c>
      <c r="Z93" s="365">
        <v>18.93</v>
      </c>
      <c r="AA93" s="465">
        <f t="shared" si="95"/>
        <v>0</v>
      </c>
      <c r="AB93" s="367"/>
      <c r="AC93" s="367"/>
      <c r="AD93" s="368">
        <f>+IFERROR(AD91/(K91*$AQ$3),"")</f>
        <v>4.3956043956043956E-3</v>
      </c>
      <c r="AE93" s="369"/>
      <c r="AF93" s="347"/>
      <c r="AG93" s="347">
        <f t="shared" si="1"/>
        <v>0</v>
      </c>
      <c r="AH93" s="341">
        <f t="shared" si="2"/>
        <v>0</v>
      </c>
      <c r="AI93" s="341"/>
      <c r="AJ93" s="356"/>
      <c r="AK93" s="370">
        <f>+$AJ$4</f>
        <v>8.75</v>
      </c>
      <c r="AL93" s="349">
        <f>+IF(AK93=7.75,SUM(M93:S93)+T93*0.75,IF(AK93=8,SUM(M93:T93),IF(AK93=7.25,SUM(M93:S93)+T93*0.25,IF(AK93=8.25,SUM(M93:T93)+U93*0.25,IF(AK93=8.75,SUM(M93:T93)+U93*0.75,0)))))</f>
        <v>0</v>
      </c>
      <c r="AM93" s="341">
        <f>+AL93-AA93</f>
        <v>0</v>
      </c>
      <c r="AN93" s="341"/>
      <c r="AO93" s="341"/>
      <c r="AP93" s="341"/>
      <c r="AQ93" s="369"/>
      <c r="AR93" s="434"/>
      <c r="AT93" s="390">
        <v>6.3736263736263732E-2</v>
      </c>
      <c r="AV93" s="390"/>
    </row>
    <row r="94" spans="2:59" s="98" customFormat="1" ht="62.25" customHeight="1" thickTop="1" x14ac:dyDescent="0.9">
      <c r="B94" s="373">
        <f>+B95</f>
        <v>16</v>
      </c>
      <c r="C94" s="405"/>
      <c r="D94" s="106"/>
      <c r="E94" s="106"/>
      <c r="F94" s="106"/>
      <c r="G94" s="539" t="s">
        <v>476</v>
      </c>
      <c r="H94" s="106"/>
      <c r="I94" s="106"/>
      <c r="J94" s="107" t="s">
        <v>20</v>
      </c>
      <c r="K94" s="108" t="s">
        <v>23</v>
      </c>
      <c r="L94" s="100" t="s">
        <v>21</v>
      </c>
      <c r="M94" s="448"/>
      <c r="N94" s="448"/>
      <c r="O94" s="448"/>
      <c r="P94" s="448">
        <v>120</v>
      </c>
      <c r="Q94" s="448">
        <v>120</v>
      </c>
      <c r="R94" s="448">
        <v>120</v>
      </c>
      <c r="S94" s="448">
        <v>60</v>
      </c>
      <c r="T94" s="448"/>
      <c r="U94" s="448"/>
      <c r="V94" s="448"/>
      <c r="W94" s="448"/>
      <c r="X94" s="447">
        <f t="shared" ref="X94" si="96">IF(AQ95="","",SUM(M94:W94)-(-(AQ95-SUM(M94:W94))/$AQ$3)*SUM($M$2:$W$2))</f>
        <v>420</v>
      </c>
      <c r="Y94" s="466"/>
      <c r="Z94" s="533">
        <f>+X96</f>
        <v>-1100</v>
      </c>
      <c r="AA94" s="447">
        <f t="shared" si="87"/>
        <v>420</v>
      </c>
      <c r="AB94" s="343">
        <f>+AC94+AA94</f>
        <v>1380</v>
      </c>
      <c r="AC94" s="343">
        <v>960</v>
      </c>
      <c r="AD94" s="344"/>
      <c r="AE94" s="345"/>
      <c r="AF94" s="346"/>
      <c r="AG94" s="347">
        <f t="shared" si="1"/>
        <v>0</v>
      </c>
      <c r="AH94" s="341">
        <f t="shared" si="2"/>
        <v>0</v>
      </c>
      <c r="AI94" s="341"/>
      <c r="AJ94" s="341"/>
      <c r="AK94" s="348"/>
      <c r="AL94" s="349"/>
      <c r="AM94" s="341"/>
      <c r="AN94" s="341"/>
      <c r="AO94" s="341"/>
      <c r="AP94" s="341"/>
      <c r="AQ94" s="350"/>
      <c r="AR94" s="434"/>
      <c r="AT94" s="390"/>
      <c r="AV94" s="390"/>
    </row>
    <row r="95" spans="2:59" s="98" customFormat="1" ht="62.25" customHeight="1" x14ac:dyDescent="0.9">
      <c r="B95" s="374">
        <v>16</v>
      </c>
      <c r="C95" s="406">
        <f>+B95</f>
        <v>16</v>
      </c>
      <c r="D95" s="407" t="s">
        <v>474</v>
      </c>
      <c r="E95" s="111"/>
      <c r="F95" s="111" t="s">
        <v>475</v>
      </c>
      <c r="G95" s="539" t="str">
        <f t="shared" ref="G95:G97" si="97">+G94</f>
        <v>Cheristina-blanc</v>
      </c>
      <c r="H95" s="111"/>
      <c r="I95" s="111" t="s">
        <v>477</v>
      </c>
      <c r="J95" s="113">
        <v>21.04</v>
      </c>
      <c r="K95" s="130">
        <v>140</v>
      </c>
      <c r="L95" s="101" t="s">
        <v>17</v>
      </c>
      <c r="M95" s="214">
        <v>0</v>
      </c>
      <c r="N95" s="214">
        <v>0</v>
      </c>
      <c r="O95" s="214">
        <v>0</v>
      </c>
      <c r="P95" s="214">
        <v>0</v>
      </c>
      <c r="Q95" s="214">
        <v>0</v>
      </c>
      <c r="R95" s="214">
        <v>30</v>
      </c>
      <c r="S95" s="214">
        <v>35</v>
      </c>
      <c r="T95" s="214">
        <v>35</v>
      </c>
      <c r="U95" s="214">
        <v>25</v>
      </c>
      <c r="V95" s="214"/>
      <c r="W95" s="214"/>
      <c r="X95" s="123">
        <f>+IF(H96="s",0,IF(AA95=0,0,IF(COUNTA(M95:W95)=AK97+0.25,SUMIF($C:$C,B95,$AA:$AA)/AK97,SUMIF($C:$C,B95,$AA:$AA)/(COUNTA(M95:W95)))))</f>
        <v>17.37142857142857</v>
      </c>
      <c r="Y95" s="466"/>
      <c r="Z95" s="534"/>
      <c r="AA95" s="134">
        <f t="shared" si="87"/>
        <v>125</v>
      </c>
      <c r="AB95" s="354">
        <f>+AA95+AC95</f>
        <v>125</v>
      </c>
      <c r="AC95" s="354">
        <v>0</v>
      </c>
      <c r="AD95" s="355">
        <f>+AB94-AB95</f>
        <v>1255</v>
      </c>
      <c r="AE95" s="131">
        <f>+IF(((AA96+(AA97/2))*60)=0,"",(J95*AA95)/((AA96+(AA97/2))*60))</f>
        <v>0.11775240653682562</v>
      </c>
      <c r="AF95" s="347">
        <f>+AA96+AA97/2</f>
        <v>372.25</v>
      </c>
      <c r="AG95" s="347">
        <f t="shared" si="1"/>
        <v>372.15</v>
      </c>
      <c r="AH95" s="341">
        <f t="shared" si="2"/>
        <v>22335</v>
      </c>
      <c r="AI95" s="341">
        <f>+AA95*J95</f>
        <v>2630</v>
      </c>
      <c r="AJ95" s="356">
        <f>+AA95-(AF95*K95/K97)</f>
        <v>-805.625</v>
      </c>
      <c r="AK95" s="348"/>
      <c r="AL95" s="349"/>
      <c r="AM95" s="341"/>
      <c r="AN95" s="341"/>
      <c r="AO95" s="341"/>
      <c r="AP95" s="341"/>
      <c r="AQ95" s="339">
        <f>-400+AA94</f>
        <v>20</v>
      </c>
      <c r="AR95" s="434">
        <v>1.5</v>
      </c>
      <c r="AT95" s="390">
        <v>960</v>
      </c>
      <c r="AV95" s="390">
        <f t="shared" ref="AV95" si="98">+AT95-AD95</f>
        <v>-295</v>
      </c>
      <c r="AW95" s="536"/>
      <c r="AX95" s="536"/>
      <c r="AY95" s="536"/>
      <c r="AZ95" s="536"/>
      <c r="BA95" s="536"/>
      <c r="BB95" s="536"/>
      <c r="BC95" s="536"/>
      <c r="BD95" s="536"/>
      <c r="BE95" s="536"/>
      <c r="BF95" s="536"/>
      <c r="BG95" s="536"/>
    </row>
    <row r="96" spans="2:59" s="98" customFormat="1" ht="62.25" customHeight="1" x14ac:dyDescent="0.9">
      <c r="B96" s="357">
        <f>+B95</f>
        <v>16</v>
      </c>
      <c r="C96" s="408"/>
      <c r="D96" s="184"/>
      <c r="E96" s="111">
        <f>+B95</f>
        <v>16</v>
      </c>
      <c r="F96" s="409"/>
      <c r="G96" s="539" t="str">
        <f t="shared" si="97"/>
        <v>Cheristina-blanc</v>
      </c>
      <c r="H96" s="411" t="s">
        <v>413</v>
      </c>
      <c r="I96" s="113">
        <f>+IFERROR(IF(K97=0,0,IF((LOOKUP(2,1/(M96:W96&lt;&gt;""),M96:W96)-K97)&lt;0,0,IF(K97=0,"",LOOKUP(2,1/(M96:W96&lt;&gt;""),M96:W96)-K97))),0)</f>
        <v>0</v>
      </c>
      <c r="J96" s="113"/>
      <c r="K96" s="114" t="s">
        <v>22</v>
      </c>
      <c r="L96" s="102" t="s">
        <v>18</v>
      </c>
      <c r="M96" s="448">
        <v>40</v>
      </c>
      <c r="N96" s="448">
        <v>43</v>
      </c>
      <c r="O96" s="448">
        <v>42</v>
      </c>
      <c r="P96" s="448">
        <v>43</v>
      </c>
      <c r="Q96" s="448">
        <v>43</v>
      </c>
      <c r="R96" s="448">
        <v>43</v>
      </c>
      <c r="S96" s="448">
        <v>43</v>
      </c>
      <c r="T96" s="448">
        <v>43</v>
      </c>
      <c r="U96" s="448">
        <v>43</v>
      </c>
      <c r="V96" s="448"/>
      <c r="W96" s="448"/>
      <c r="X96" s="160">
        <f>+IF(H96="l",IF(COUNTA(M95:W95)=AK97+0.25,AA95-K95*AK97,AA95-(K95*COUNTA(M95:W95))),IF(H96="s",0,IF(COUNTA(M95:W95)=AK97+0.25,SUMIF($C:$C,B95,$AA:$AA)-K95*AK97,SUMIF($C:$C,B95,$AA:$AA)-K95*COUNTA(M95:W95))))</f>
        <v>-1100</v>
      </c>
      <c r="Y96" s="466"/>
      <c r="Z96" s="534"/>
      <c r="AA96" s="462">
        <f t="shared" ref="AA96:AA97" si="99">+SUM(M96:W96)-U96*0.25</f>
        <v>372.25</v>
      </c>
      <c r="AB96" s="360"/>
      <c r="AC96" s="360"/>
      <c r="AD96" s="362"/>
      <c r="AE96" s="363"/>
      <c r="AF96" s="346"/>
      <c r="AG96" s="347">
        <f t="shared" si="1"/>
        <v>0</v>
      </c>
      <c r="AH96" s="341">
        <f t="shared" si="2"/>
        <v>0</v>
      </c>
      <c r="AI96" s="341"/>
      <c r="AJ96" s="341"/>
      <c r="AK96" s="348"/>
      <c r="AL96" s="349">
        <f>+IF(AK97=7.75,SUM(M96:S96)+T96*0.75,IF(AK97=8,SUM(M96:T96),IF(AK97=7.25,SUM(M96:S96)+T96*0.25,IF(AK97=8.25,SUM(M96:T96)+U96*0.25,IF(AK97=8.75,SUM(M96:T96)+U96*0.75,0)))))</f>
        <v>372.25</v>
      </c>
      <c r="AM96" s="341">
        <f>+AL96-AA96</f>
        <v>0</v>
      </c>
      <c r="AN96" s="341"/>
      <c r="AO96" s="341"/>
      <c r="AP96" s="341"/>
      <c r="AQ96" s="438"/>
      <c r="AR96" s="434"/>
      <c r="AT96" s="390"/>
      <c r="AV96" s="390"/>
    </row>
    <row r="97" spans="2:48" s="98" customFormat="1" ht="62.25" customHeight="1" thickBot="1" x14ac:dyDescent="0.95">
      <c r="B97" s="375">
        <f>+B95</f>
        <v>16</v>
      </c>
      <c r="C97" s="410"/>
      <c r="D97" s="413" t="s">
        <v>152</v>
      </c>
      <c r="E97" s="175">
        <f>+E96+100</f>
        <v>116</v>
      </c>
      <c r="F97" s="175"/>
      <c r="G97" s="539" t="str">
        <f t="shared" si="97"/>
        <v>Cheristina-blanc</v>
      </c>
      <c r="H97" s="117"/>
      <c r="I97" s="442"/>
      <c r="J97" s="165">
        <f>+IF(K97="","",IF(K95=0,"",(K95*J95)/(K97*60)))</f>
        <v>0.87666666666666659</v>
      </c>
      <c r="K97" s="118">
        <v>56</v>
      </c>
      <c r="L97" s="104" t="s">
        <v>19</v>
      </c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173"/>
      <c r="Y97" s="467">
        <v>7.75</v>
      </c>
      <c r="Z97" s="371">
        <f>+IF(COUNTA(M95:W95)=$AJ$4+0.25,$AJ$4-(AA95/K95),COUNTA(M95:W95)-(AA95/K95))+Y97</f>
        <v>15.607142857142858</v>
      </c>
      <c r="AA97" s="465">
        <f t="shared" si="99"/>
        <v>0</v>
      </c>
      <c r="AB97" s="367"/>
      <c r="AC97" s="367"/>
      <c r="AD97" s="368">
        <f>+IFERROR(AD95/(K95*$AQ$3),"")</f>
        <v>1.0244897959183674</v>
      </c>
      <c r="AE97" s="369"/>
      <c r="AF97" s="347"/>
      <c r="AG97" s="347">
        <f t="shared" si="1"/>
        <v>0</v>
      </c>
      <c r="AH97" s="341">
        <f t="shared" si="2"/>
        <v>0</v>
      </c>
      <c r="AI97" s="341"/>
      <c r="AJ97" s="356"/>
      <c r="AK97" s="370">
        <f>+$AJ$4</f>
        <v>8.75</v>
      </c>
      <c r="AL97" s="349">
        <f>+IF(AK97=7.75,SUM(M97:S97)+T97*0.75,IF(AK97=8,SUM(M97:T97),IF(AK97=7.25,SUM(M97:S97)+T97*0.25,IF(AK97=8.25,SUM(M97:T97)+U97*0.25,IF(AK97=8.75,SUM(M97:T97)+U97*0.75,0)))))</f>
        <v>0</v>
      </c>
      <c r="AM97" s="341">
        <f>+AL97-AA97</f>
        <v>0</v>
      </c>
      <c r="AN97" s="341"/>
      <c r="AO97" s="341"/>
      <c r="AP97" s="341"/>
      <c r="AQ97" s="369"/>
      <c r="AR97" s="434"/>
      <c r="AT97" s="390">
        <v>0.78367346938775506</v>
      </c>
      <c r="AV97" s="390"/>
    </row>
    <row r="98" spans="2:48" s="98" customFormat="1" ht="62.25" customHeight="1" thickTop="1" x14ac:dyDescent="0.9">
      <c r="B98" s="342">
        <f>+B99</f>
        <v>17</v>
      </c>
      <c r="C98" s="405"/>
      <c r="D98" s="106"/>
      <c r="E98" s="106"/>
      <c r="F98" s="106"/>
      <c r="G98" s="540" t="s">
        <v>424</v>
      </c>
      <c r="H98" s="106"/>
      <c r="I98" s="111"/>
      <c r="J98" s="107" t="s">
        <v>20</v>
      </c>
      <c r="K98" s="108" t="s">
        <v>23</v>
      </c>
      <c r="L98" s="100" t="s">
        <v>21</v>
      </c>
      <c r="M98" s="448"/>
      <c r="N98" s="448"/>
      <c r="O98" s="448"/>
      <c r="P98" s="448"/>
      <c r="Q98" s="448"/>
      <c r="R98" s="448"/>
      <c r="S98" s="448"/>
      <c r="T98" s="448"/>
      <c r="U98" s="448"/>
      <c r="V98" s="448"/>
      <c r="W98" s="448"/>
      <c r="X98" s="447" t="str">
        <f t="shared" ref="X98" si="100">IF(AQ99="","",SUM(M98:W98)-(-(AQ99-SUM(M98:W98))/$AQ$3)*SUM($M$2:$W$2))</f>
        <v/>
      </c>
      <c r="Y98" s="466"/>
      <c r="Z98" s="533">
        <f>+X100</f>
        <v>0</v>
      </c>
      <c r="AA98" s="447">
        <f t="shared" si="87"/>
        <v>0</v>
      </c>
      <c r="AB98" s="343">
        <f>+AC98+AA98</f>
        <v>8553</v>
      </c>
      <c r="AC98" s="343">
        <v>8553</v>
      </c>
      <c r="AD98" s="344"/>
      <c r="AE98" s="345"/>
      <c r="AF98" s="346"/>
      <c r="AG98" s="347">
        <f t="shared" si="1"/>
        <v>0</v>
      </c>
      <c r="AH98" s="341">
        <f t="shared" si="2"/>
        <v>0</v>
      </c>
      <c r="AI98" s="341"/>
      <c r="AJ98" s="341"/>
      <c r="AK98" s="348"/>
      <c r="AL98" s="349"/>
      <c r="AM98" s="341"/>
      <c r="AN98" s="341"/>
      <c r="AO98" s="341"/>
      <c r="AP98" s="341"/>
      <c r="AQ98" s="350"/>
      <c r="AR98" s="434"/>
      <c r="AT98" s="390"/>
      <c r="AV98" s="390"/>
    </row>
    <row r="99" spans="2:48" s="98" customFormat="1" ht="62.25" customHeight="1" x14ac:dyDescent="0.9">
      <c r="B99" s="351">
        <v>17</v>
      </c>
      <c r="C99" s="406">
        <f>+B99</f>
        <v>17</v>
      </c>
      <c r="D99" s="407" t="s">
        <v>423</v>
      </c>
      <c r="E99" s="111"/>
      <c r="F99" s="111" t="s">
        <v>35</v>
      </c>
      <c r="G99" s="541" t="str">
        <f t="shared" ref="G99:G101" si="101">+G98</f>
        <v>2215-518-800</v>
      </c>
      <c r="H99" s="111"/>
      <c r="I99" s="111" t="s">
        <v>33</v>
      </c>
      <c r="J99" s="113">
        <v>33.42</v>
      </c>
      <c r="K99" s="130">
        <v>60</v>
      </c>
      <c r="L99" s="101" t="s">
        <v>17</v>
      </c>
      <c r="M99" s="214"/>
      <c r="N99" s="214"/>
      <c r="O99" s="214"/>
      <c r="P99" s="214">
        <v>30</v>
      </c>
      <c r="Q99" s="214"/>
      <c r="R99" s="214"/>
      <c r="S99" s="214"/>
      <c r="T99" s="214"/>
      <c r="U99" s="214"/>
      <c r="V99" s="214"/>
      <c r="W99" s="214"/>
      <c r="X99" s="123">
        <f>+IF(H100="s",0,IF(AA99=0,0,IF(COUNTA(M99:W99)=AK101+0.25,SUMIF($C:$C,B99,$AA:$AA)/AK101,SUMIF($C:$C,B99,$AA:$AA)/(COUNTA(M99:W99)))))</f>
        <v>0</v>
      </c>
      <c r="Y99" s="466"/>
      <c r="Z99" s="534"/>
      <c r="AA99" s="134">
        <f t="shared" si="87"/>
        <v>30</v>
      </c>
      <c r="AB99" s="354">
        <f>+AA99+AC99</f>
        <v>8550</v>
      </c>
      <c r="AC99" s="354">
        <v>8520</v>
      </c>
      <c r="AD99" s="355">
        <f>+AB98-AB99</f>
        <v>3</v>
      </c>
      <c r="AE99" s="131">
        <f>+IF(((AA100+(AA101/2))*60)=0,"",(J99*AA99)/((AA100+(AA101/2))*60))</f>
        <v>16.71</v>
      </c>
      <c r="AF99" s="347">
        <f>+AA100+AA101/2</f>
        <v>1</v>
      </c>
      <c r="AG99" s="347">
        <f t="shared" si="1"/>
        <v>1</v>
      </c>
      <c r="AH99" s="341">
        <f t="shared" si="2"/>
        <v>60</v>
      </c>
      <c r="AI99" s="341">
        <f>+AA99*J99</f>
        <v>1002.6</v>
      </c>
      <c r="AJ99" s="356">
        <f>+AA99-(AF99*K99/K101)</f>
        <v>28.421052631578949</v>
      </c>
      <c r="AK99" s="348"/>
      <c r="AL99" s="349"/>
      <c r="AM99" s="341"/>
      <c r="AN99" s="341"/>
      <c r="AO99" s="341"/>
      <c r="AP99" s="341"/>
      <c r="AQ99" s="339"/>
      <c r="AR99" s="434">
        <v>1.5</v>
      </c>
      <c r="AT99" s="390">
        <v>33</v>
      </c>
      <c r="AV99" s="390">
        <f t="shared" ref="AV99" si="102">+AT99-AD99</f>
        <v>30</v>
      </c>
    </row>
    <row r="100" spans="2:48" s="98" customFormat="1" ht="62.25" customHeight="1" x14ac:dyDescent="0.9">
      <c r="B100" s="357">
        <f>+B99</f>
        <v>17</v>
      </c>
      <c r="C100" s="408"/>
      <c r="D100" s="184"/>
      <c r="E100" s="111">
        <f>+B99</f>
        <v>17</v>
      </c>
      <c r="F100" s="409"/>
      <c r="G100" s="541" t="str">
        <f t="shared" si="101"/>
        <v>2215-518-800</v>
      </c>
      <c r="H100" s="411" t="s">
        <v>414</v>
      </c>
      <c r="I100" s="113">
        <f>+IFERROR(IF(K101=0,0,IF((LOOKUP(2,1/(M100:W100&lt;&gt;""),M100:W100)-K101)&lt;0,0,IF(K101=0,"",LOOKUP(2,1/(M100:W100&lt;&gt;""),M100:W100)-K101))),0)</f>
        <v>0</v>
      </c>
      <c r="J100" s="113">
        <v>1</v>
      </c>
      <c r="K100" s="114" t="s">
        <v>22</v>
      </c>
      <c r="L100" s="102" t="s">
        <v>18</v>
      </c>
      <c r="M100" s="448"/>
      <c r="N100" s="448"/>
      <c r="O100" s="448"/>
      <c r="P100" s="448">
        <v>1</v>
      </c>
      <c r="Q100" s="448"/>
      <c r="R100" s="448"/>
      <c r="S100" s="448"/>
      <c r="T100" s="448"/>
      <c r="U100" s="448"/>
      <c r="V100" s="448"/>
      <c r="W100" s="448"/>
      <c r="X100" s="160">
        <f>+IF(H100="l",IF(COUNTA(M99:W99)=AK101+0.25,AA99-K99*AK101,AA99-(K99*COUNTA(M99:W99))),IF(H100="s",0,IF(COUNTA(M99:W99)=AK101+0.25,SUMIF($C:$C,B99,$AA:$AA)-K99*AK101,SUMIF($C:$C,B99,$AA:$AA)-K99*COUNTA(M99:W99))))</f>
        <v>0</v>
      </c>
      <c r="Y100" s="466"/>
      <c r="Z100" s="534"/>
      <c r="AA100" s="462">
        <f t="shared" ref="AA100:AA101" si="103">+SUM(M100:W100)-U100*0.25</f>
        <v>1</v>
      </c>
      <c r="AB100" s="360"/>
      <c r="AC100" s="360"/>
      <c r="AD100" s="362"/>
      <c r="AE100" s="363"/>
      <c r="AF100" s="346"/>
      <c r="AG100" s="347">
        <f t="shared" si="1"/>
        <v>0</v>
      </c>
      <c r="AH100" s="341">
        <f t="shared" si="2"/>
        <v>0</v>
      </c>
      <c r="AI100" s="341"/>
      <c r="AJ100" s="341"/>
      <c r="AK100" s="348"/>
      <c r="AL100" s="349">
        <f>+IF(AK101=7.75,SUM(M100:S100)+T100*0.75,IF(AK101=8,SUM(M100:T100),IF(AK101=7.25,SUM(M100:S100)+T100*0.25,IF(AK101=8.25,SUM(M100:T100)+U100*0.25,IF(AK101=8.75,SUM(M100:T100)+U100*0.75,0)))))</f>
        <v>1</v>
      </c>
      <c r="AM100" s="341">
        <f>+AL100-AA100</f>
        <v>0</v>
      </c>
      <c r="AN100" s="341"/>
      <c r="AO100" s="341"/>
      <c r="AP100" s="341"/>
      <c r="AQ100" s="438"/>
      <c r="AR100" s="434"/>
      <c r="AT100" s="390"/>
      <c r="AV100" s="390"/>
    </row>
    <row r="101" spans="2:48" s="98" customFormat="1" ht="62.25" customHeight="1" thickBot="1" x14ac:dyDescent="0.95">
      <c r="B101" s="364">
        <f>+B99</f>
        <v>17</v>
      </c>
      <c r="C101" s="410"/>
      <c r="D101" s="174" t="s">
        <v>379</v>
      </c>
      <c r="E101" s="175">
        <f>+E100+100</f>
        <v>117</v>
      </c>
      <c r="F101" s="175"/>
      <c r="G101" s="542" t="str">
        <f t="shared" si="101"/>
        <v>2215-518-800</v>
      </c>
      <c r="H101" s="117"/>
      <c r="I101" s="442"/>
      <c r="J101" s="165">
        <f>+IF(K101="","",IF(K99=0,"",(K99*J99)/(K101*60)))</f>
        <v>0.8794736842105263</v>
      </c>
      <c r="K101" s="118">
        <v>38</v>
      </c>
      <c r="L101" s="104" t="s">
        <v>19</v>
      </c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173"/>
      <c r="Y101" s="467">
        <v>15.5</v>
      </c>
      <c r="Z101" s="365">
        <v>15.5</v>
      </c>
      <c r="AA101" s="465">
        <f t="shared" si="103"/>
        <v>0</v>
      </c>
      <c r="AB101" s="367"/>
      <c r="AC101" s="367"/>
      <c r="AD101" s="368">
        <f>+IFERROR(AD99/(K99*$AQ$3),"")</f>
        <v>5.7142857142857143E-3</v>
      </c>
      <c r="AE101" s="369"/>
      <c r="AF101" s="347"/>
      <c r="AG101" s="347">
        <f t="shared" si="1"/>
        <v>0</v>
      </c>
      <c r="AH101" s="341">
        <f t="shared" si="2"/>
        <v>0</v>
      </c>
      <c r="AI101" s="341"/>
      <c r="AJ101" s="356"/>
      <c r="AK101" s="370">
        <f>+$AJ$4</f>
        <v>8.75</v>
      </c>
      <c r="AL101" s="349">
        <f>+IF(AK101=7.75,SUM(M101:S101)+T101*0.75,IF(AK101=8,SUM(M101:T101),IF(AK101=7.25,SUM(M101:S101)+T101*0.25,IF(AK101=8.25,SUM(M101:T101)+U101*0.25,IF(AK101=8.75,SUM(M101:T101)+U101*0.75,0)))))</f>
        <v>0</v>
      </c>
      <c r="AM101" s="341">
        <f>+AL101-AA101</f>
        <v>0</v>
      </c>
      <c r="AN101" s="341"/>
      <c r="AO101" s="341"/>
      <c r="AP101" s="341"/>
      <c r="AQ101" s="369"/>
      <c r="AR101" s="434"/>
      <c r="AT101" s="390">
        <v>6.2857142857142861E-2</v>
      </c>
      <c r="AV101" s="390"/>
    </row>
    <row r="102" spans="2:48" s="98" customFormat="1" ht="62.25" customHeight="1" thickTop="1" x14ac:dyDescent="0.9">
      <c r="B102" s="342">
        <f>+B103</f>
        <v>17</v>
      </c>
      <c r="C102" s="405"/>
      <c r="D102" s="106"/>
      <c r="E102" s="106"/>
      <c r="F102" s="106"/>
      <c r="G102" s="539" t="s">
        <v>442</v>
      </c>
      <c r="H102" s="106"/>
      <c r="I102" s="111"/>
      <c r="J102" s="107" t="s">
        <v>20</v>
      </c>
      <c r="K102" s="108" t="s">
        <v>23</v>
      </c>
      <c r="L102" s="100" t="s">
        <v>21</v>
      </c>
      <c r="M102" s="448">
        <v>60</v>
      </c>
      <c r="N102" s="448">
        <v>120</v>
      </c>
      <c r="O102" s="448"/>
      <c r="P102" s="448"/>
      <c r="Q102" s="448">
        <v>60</v>
      </c>
      <c r="R102" s="448">
        <v>60</v>
      </c>
      <c r="S102" s="448">
        <v>60</v>
      </c>
      <c r="T102" s="448"/>
      <c r="U102" s="448"/>
      <c r="V102" s="448"/>
      <c r="W102" s="448"/>
      <c r="X102" s="447">
        <f t="shared" ref="X102" si="104">IF(AQ103="","",SUM(M102:W102)-(-(AQ103-SUM(M102:W102))/$AQ$3)*SUM($M$2:$W$2))</f>
        <v>360</v>
      </c>
      <c r="Y102" s="466"/>
      <c r="Z102" s="533">
        <f>+X104</f>
        <v>-523.75</v>
      </c>
      <c r="AA102" s="447">
        <f t="shared" si="87"/>
        <v>360</v>
      </c>
      <c r="AB102" s="343">
        <f>+AC102+AA102</f>
        <v>1140</v>
      </c>
      <c r="AC102" s="343">
        <v>780</v>
      </c>
      <c r="AD102" s="344"/>
      <c r="AE102" s="345"/>
      <c r="AF102" s="346"/>
      <c r="AG102" s="347">
        <f t="shared" ref="AG102:AG109" si="105">TRUNC(AF102)+(AF102-TRUNC(AF102))*60/100</f>
        <v>0</v>
      </c>
      <c r="AH102" s="341">
        <f t="shared" ref="AH102:AH109" si="106">+AF102*60</f>
        <v>0</v>
      </c>
      <c r="AI102" s="341"/>
      <c r="AJ102" s="341"/>
      <c r="AK102" s="348"/>
      <c r="AL102" s="349"/>
      <c r="AM102" s="341"/>
      <c r="AN102" s="341"/>
      <c r="AO102" s="341"/>
      <c r="AP102" s="341"/>
      <c r="AQ102" s="350"/>
      <c r="AR102" s="434"/>
      <c r="AT102" s="390"/>
      <c r="AV102" s="390"/>
    </row>
    <row r="103" spans="2:48" s="98" customFormat="1" ht="62.25" customHeight="1" x14ac:dyDescent="0.9">
      <c r="B103" s="351">
        <v>17</v>
      </c>
      <c r="C103" s="406">
        <f>+B103</f>
        <v>17</v>
      </c>
      <c r="D103" s="407" t="s">
        <v>441</v>
      </c>
      <c r="E103" s="111"/>
      <c r="F103" s="111" t="s">
        <v>35</v>
      </c>
      <c r="G103" s="539" t="str">
        <f t="shared" ref="G103:G105" si="107">+G102</f>
        <v>2259-600-730</v>
      </c>
      <c r="H103" s="111"/>
      <c r="I103" s="111" t="s">
        <v>33</v>
      </c>
      <c r="J103" s="113">
        <v>35.68</v>
      </c>
      <c r="K103" s="130">
        <v>65</v>
      </c>
      <c r="L103" s="101" t="s">
        <v>17</v>
      </c>
      <c r="M103" s="214">
        <v>0</v>
      </c>
      <c r="N103" s="214">
        <v>0</v>
      </c>
      <c r="O103" s="214">
        <v>0</v>
      </c>
      <c r="P103" s="214">
        <v>0</v>
      </c>
      <c r="Q103" s="214">
        <v>0</v>
      </c>
      <c r="R103" s="214">
        <v>0</v>
      </c>
      <c r="S103" s="214">
        <v>15</v>
      </c>
      <c r="T103" s="214">
        <v>15</v>
      </c>
      <c r="U103" s="214">
        <v>15</v>
      </c>
      <c r="V103" s="214"/>
      <c r="W103" s="214"/>
      <c r="X103" s="123">
        <f>+IF(H104="s",0,IF(AA103=0,0,IF(COUNTA(M103:W103)=AK105+0.25,SUMIF($C:$C,B103,$AA:$AA)/AK105,SUMIF($C:$C,B103,$AA:$AA)/(COUNTA(M103:W103)))))</f>
        <v>8.5714285714285712</v>
      </c>
      <c r="Y103" s="466"/>
      <c r="Z103" s="534"/>
      <c r="AA103" s="134">
        <f t="shared" si="87"/>
        <v>45</v>
      </c>
      <c r="AB103" s="354">
        <f>+AA103+AC103</f>
        <v>45</v>
      </c>
      <c r="AC103" s="354">
        <v>0</v>
      </c>
      <c r="AD103" s="355">
        <f>+AB102-AB103</f>
        <v>1095</v>
      </c>
      <c r="AE103" s="131">
        <f>+IF(((AA104+(AA105/2))*60)=0,"",(J103*AA103)/((AA104+(AA105/2))*60))</f>
        <v>7.3015006821282397E-2</v>
      </c>
      <c r="AF103" s="347">
        <f>+AA104+AA105/2</f>
        <v>366.5</v>
      </c>
      <c r="AG103" s="347">
        <f t="shared" si="105"/>
        <v>366.3</v>
      </c>
      <c r="AH103" s="341">
        <f t="shared" si="106"/>
        <v>21990</v>
      </c>
      <c r="AI103" s="341">
        <f>+AA103*J103</f>
        <v>1605.6</v>
      </c>
      <c r="AJ103" s="356">
        <f>+AA103-(AF103*K103/K105)</f>
        <v>-496.4204545454545</v>
      </c>
      <c r="AK103" s="348"/>
      <c r="AL103" s="349"/>
      <c r="AM103" s="341"/>
      <c r="AN103" s="341"/>
      <c r="AO103" s="341"/>
      <c r="AP103" s="341"/>
      <c r="AQ103" s="339">
        <f>-360+AA102</f>
        <v>0</v>
      </c>
      <c r="AR103" s="434">
        <v>1.5</v>
      </c>
      <c r="AT103" s="390">
        <v>780</v>
      </c>
      <c r="AV103" s="390">
        <f t="shared" ref="AV103" si="108">+AT103-AD103</f>
        <v>-315</v>
      </c>
    </row>
    <row r="104" spans="2:48" s="98" customFormat="1" ht="62.25" customHeight="1" x14ac:dyDescent="0.9">
      <c r="B104" s="357">
        <f>+B103</f>
        <v>17</v>
      </c>
      <c r="C104" s="408"/>
      <c r="D104" s="184"/>
      <c r="E104" s="111">
        <f>+B103</f>
        <v>17</v>
      </c>
      <c r="F104" s="409"/>
      <c r="G104" s="539" t="str">
        <f t="shared" si="107"/>
        <v>2259-600-730</v>
      </c>
      <c r="H104" s="411" t="s">
        <v>413</v>
      </c>
      <c r="I104" s="113">
        <f>+IFERROR(IF(K105=0,0,IF((LOOKUP(2,1/(M104:W104&lt;&gt;""),M104:W104)-K105)&lt;0,0,IF(K105=0,"",LOOKUP(2,1/(M104:W104&lt;&gt;""),M104:W104)-K105))),0)</f>
        <v>0</v>
      </c>
      <c r="J104" s="113"/>
      <c r="K104" s="114" t="s">
        <v>22</v>
      </c>
      <c r="L104" s="102" t="s">
        <v>18</v>
      </c>
      <c r="M104" s="448">
        <v>42</v>
      </c>
      <c r="N104" s="448">
        <v>42</v>
      </c>
      <c r="O104" s="448">
        <v>42</v>
      </c>
      <c r="P104" s="448">
        <v>41</v>
      </c>
      <c r="Q104" s="448">
        <v>42</v>
      </c>
      <c r="R104" s="448">
        <v>42</v>
      </c>
      <c r="S104" s="448">
        <v>42</v>
      </c>
      <c r="T104" s="448">
        <v>42</v>
      </c>
      <c r="U104" s="448">
        <v>42</v>
      </c>
      <c r="V104" s="448"/>
      <c r="W104" s="448"/>
      <c r="X104" s="160">
        <f>+IF(H104="l",IF(COUNTA(M103:W103)=AK105+0.25,AA103-K103*AK105,AA103-(K103*COUNTA(M103:W103))),IF(H104="s",0,IF(COUNTA(M103:W103)=AK105+0.25,SUMIF($C:$C,B103,$AA:$AA)-K103*AK105,SUMIF($C:$C,B103,$AA:$AA)-K103*COUNTA(M103:W103))))</f>
        <v>-523.75</v>
      </c>
      <c r="Y104" s="466"/>
      <c r="Z104" s="534"/>
      <c r="AA104" s="462">
        <f t="shared" ref="AA104:AA105" si="109">+SUM(M104:W104)-U104*0.25</f>
        <v>366.5</v>
      </c>
      <c r="AB104" s="360"/>
      <c r="AC104" s="360"/>
      <c r="AD104" s="362"/>
      <c r="AE104" s="363"/>
      <c r="AF104" s="346"/>
      <c r="AG104" s="347">
        <f t="shared" si="105"/>
        <v>0</v>
      </c>
      <c r="AH104" s="341">
        <f t="shared" si="106"/>
        <v>0</v>
      </c>
      <c r="AI104" s="341"/>
      <c r="AJ104" s="341"/>
      <c r="AK104" s="348"/>
      <c r="AL104" s="349">
        <f>+IF(AK105=7.75,SUM(M104:S104)+T104*0.75,IF(AK105=8,SUM(M104:T104),IF(AK105=7.25,SUM(M104:S104)+T104*0.25,IF(AK105=8.25,SUM(M104:T104)+U104*0.25,IF(AK105=8.75,SUM(M104:T104)+U104*0.75,0)))))</f>
        <v>366.5</v>
      </c>
      <c r="AM104" s="341">
        <f>+AL104-AA104</f>
        <v>0</v>
      </c>
      <c r="AN104" s="341"/>
      <c r="AO104" s="341"/>
      <c r="AP104" s="341"/>
      <c r="AQ104" s="438"/>
      <c r="AR104" s="434"/>
      <c r="AT104" s="390"/>
      <c r="AV104" s="390"/>
    </row>
    <row r="105" spans="2:48" s="98" customFormat="1" ht="62.25" customHeight="1" thickBot="1" x14ac:dyDescent="0.95">
      <c r="B105" s="364">
        <f>+B103</f>
        <v>17</v>
      </c>
      <c r="C105" s="410"/>
      <c r="D105" s="174" t="s">
        <v>379</v>
      </c>
      <c r="E105" s="175">
        <f>+E104+100</f>
        <v>117</v>
      </c>
      <c r="F105" s="175"/>
      <c r="G105" s="539" t="str">
        <f t="shared" si="107"/>
        <v>2259-600-730</v>
      </c>
      <c r="H105" s="117"/>
      <c r="I105" s="442"/>
      <c r="J105" s="165">
        <f>+IF(K105="","",IF(K103=0,"",(K103*J103)/(K105*60)))</f>
        <v>0.87848484848484842</v>
      </c>
      <c r="K105" s="118">
        <v>44</v>
      </c>
      <c r="L105" s="104" t="s">
        <v>19</v>
      </c>
      <c r="M105" s="216"/>
      <c r="N105" s="216"/>
      <c r="O105" s="216"/>
      <c r="P105" s="216"/>
      <c r="Q105" s="216"/>
      <c r="R105" s="216"/>
      <c r="S105" s="216"/>
      <c r="T105" s="216"/>
      <c r="U105" s="216"/>
      <c r="V105" s="216"/>
      <c r="W105" s="216"/>
      <c r="X105" s="173"/>
      <c r="Y105" s="467">
        <v>5</v>
      </c>
      <c r="Z105" s="371">
        <f>6.1167+IF(COUNTA(M103:W103)=$AJ$4+0.25,$AJ$4-(AA103/K103),COUNTA(M103:W103)-(AA103/K103))+Y105</f>
        <v>19.174392307692308</v>
      </c>
      <c r="AA105" s="465">
        <f t="shared" si="109"/>
        <v>0</v>
      </c>
      <c r="AB105" s="367"/>
      <c r="AC105" s="367"/>
      <c r="AD105" s="368">
        <f>+IFERROR(AD103/(K103*$AQ$3),"")</f>
        <v>1.9252747252747253</v>
      </c>
      <c r="AE105" s="369"/>
      <c r="AF105" s="347"/>
      <c r="AG105" s="347">
        <f t="shared" si="105"/>
        <v>0</v>
      </c>
      <c r="AH105" s="341">
        <f t="shared" si="106"/>
        <v>0</v>
      </c>
      <c r="AI105" s="341"/>
      <c r="AJ105" s="356"/>
      <c r="AK105" s="370">
        <f>+$AJ$4</f>
        <v>8.75</v>
      </c>
      <c r="AL105" s="349">
        <f>+IF(AK105=7.75,SUM(M105:S105)+T105*0.75,IF(AK105=8,SUM(M105:T105),IF(AK105=7.25,SUM(M105:S105)+T105*0.25,IF(AK105=8.25,SUM(M105:T105)+U105*0.25,IF(AK105=8.75,SUM(M105:T105)+U105*0.75,0)))))</f>
        <v>0</v>
      </c>
      <c r="AM105" s="341">
        <f>+AL105-AA105</f>
        <v>0</v>
      </c>
      <c r="AN105" s="341"/>
      <c r="AO105" s="341"/>
      <c r="AP105" s="341"/>
      <c r="AQ105" s="369"/>
      <c r="AR105" s="434"/>
      <c r="AT105" s="390">
        <v>1.3714285714285714</v>
      </c>
      <c r="AV105" s="390"/>
    </row>
    <row r="106" spans="2:48" s="98" customFormat="1" ht="62.25" customHeight="1" thickTop="1" x14ac:dyDescent="0.9">
      <c r="B106" s="373">
        <f>+B107</f>
        <v>18</v>
      </c>
      <c r="C106" s="405"/>
      <c r="D106" s="106"/>
      <c r="E106" s="106"/>
      <c r="F106" s="106"/>
      <c r="G106" s="540" t="s">
        <v>432</v>
      </c>
      <c r="H106" s="106"/>
      <c r="I106" s="106"/>
      <c r="J106" s="107" t="s">
        <v>20</v>
      </c>
      <c r="K106" s="108" t="s">
        <v>23</v>
      </c>
      <c r="L106" s="100" t="s">
        <v>21</v>
      </c>
      <c r="M106" s="448">
        <v>60</v>
      </c>
      <c r="N106" s="448">
        <v>120</v>
      </c>
      <c r="O106" s="448"/>
      <c r="P106" s="448"/>
      <c r="Q106" s="448"/>
      <c r="R106" s="448"/>
      <c r="S106" s="448"/>
      <c r="T106" s="448"/>
      <c r="U106" s="448"/>
      <c r="V106" s="448"/>
      <c r="W106" s="448"/>
      <c r="X106" s="447">
        <f t="shared" ref="X106" si="110">IF(AQ107="","",SUM(M106:W106)-(-(AQ107-SUM(M106:W106))/$AQ$3)*SUM($M$2:$W$2))</f>
        <v>180</v>
      </c>
      <c r="Y106" s="466"/>
      <c r="Z106" s="533">
        <f>+X108</f>
        <v>-66</v>
      </c>
      <c r="AA106" s="447">
        <f t="shared" si="87"/>
        <v>180</v>
      </c>
      <c r="AB106" s="343">
        <f>+AC106+AA106</f>
        <v>5533</v>
      </c>
      <c r="AC106" s="343">
        <v>5353</v>
      </c>
      <c r="AD106" s="344"/>
      <c r="AE106" s="345"/>
      <c r="AF106" s="346"/>
      <c r="AG106" s="347">
        <f t="shared" si="105"/>
        <v>0</v>
      </c>
      <c r="AH106" s="341">
        <f t="shared" si="106"/>
        <v>0</v>
      </c>
      <c r="AI106" s="341"/>
      <c r="AJ106" s="341"/>
      <c r="AK106" s="348"/>
      <c r="AL106" s="349"/>
      <c r="AM106" s="341"/>
      <c r="AN106" s="341"/>
      <c r="AO106" s="341"/>
      <c r="AP106" s="341"/>
      <c r="AQ106" s="350"/>
      <c r="AR106" s="434"/>
      <c r="AT106" s="390"/>
      <c r="AV106" s="390"/>
    </row>
    <row r="107" spans="2:48" s="98" customFormat="1" ht="62.25" customHeight="1" x14ac:dyDescent="0.9">
      <c r="B107" s="374">
        <v>18</v>
      </c>
      <c r="C107" s="406">
        <f>+B107</f>
        <v>18</v>
      </c>
      <c r="D107" s="407" t="s">
        <v>431</v>
      </c>
      <c r="E107" s="111"/>
      <c r="F107" s="111" t="s">
        <v>35</v>
      </c>
      <c r="G107" s="541" t="str">
        <f t="shared" ref="G107:G109" si="111">+G106</f>
        <v>2158-755-712</v>
      </c>
      <c r="H107" s="111"/>
      <c r="I107" s="111" t="s">
        <v>33</v>
      </c>
      <c r="J107" s="113">
        <v>51.42</v>
      </c>
      <c r="K107" s="130">
        <v>52</v>
      </c>
      <c r="L107" s="101" t="s">
        <v>17</v>
      </c>
      <c r="M107" s="214">
        <v>16</v>
      </c>
      <c r="N107" s="214">
        <v>52</v>
      </c>
      <c r="O107" s="214">
        <v>52</v>
      </c>
      <c r="P107" s="214">
        <v>52</v>
      </c>
      <c r="Q107" s="214">
        <v>52</v>
      </c>
      <c r="R107" s="214">
        <v>52</v>
      </c>
      <c r="S107" s="214">
        <v>52</v>
      </c>
      <c r="T107" s="214">
        <v>41</v>
      </c>
      <c r="U107" s="214">
        <v>20</v>
      </c>
      <c r="V107" s="214"/>
      <c r="W107" s="214"/>
      <c r="X107" s="123">
        <f>+IF(H108="s",0,IF(AA107=0,0,IF(COUNTA(M107:W107)=AK109+0.25,SUMIF($C:$C,B107,$AA:$AA)/AK109,SUMIF($C:$C,B107,$AA:$AA)/(COUNTA(M107:W107)))))</f>
        <v>44.457142857142856</v>
      </c>
      <c r="Y107" s="466"/>
      <c r="Z107" s="534"/>
      <c r="AA107" s="134">
        <f t="shared" si="87"/>
        <v>389</v>
      </c>
      <c r="AB107" s="354">
        <f>+AA107+AC107</f>
        <v>4992</v>
      </c>
      <c r="AC107" s="354">
        <v>4603</v>
      </c>
      <c r="AD107" s="355">
        <f>+AB106-AB107</f>
        <v>541</v>
      </c>
      <c r="AE107" s="131">
        <f>+IF(((AA108+(AA109/2))*60)=0,"",(J107*AA107)/((AA108+(AA109/2))*60))</f>
        <v>0.74873217293655259</v>
      </c>
      <c r="AF107" s="347">
        <f>+AA108+AA109/2</f>
        <v>445.25</v>
      </c>
      <c r="AG107" s="347">
        <f t="shared" si="105"/>
        <v>445.15</v>
      </c>
      <c r="AH107" s="341">
        <f t="shared" si="106"/>
        <v>26715</v>
      </c>
      <c r="AI107" s="341">
        <f>+AA107*J107</f>
        <v>20002.38</v>
      </c>
      <c r="AJ107" s="356">
        <f>+AA107-(AF107*K107/K109)</f>
        <v>-64.980392156862763</v>
      </c>
      <c r="AK107" s="348"/>
      <c r="AL107" s="349"/>
      <c r="AM107" s="341"/>
      <c r="AN107" s="341"/>
      <c r="AO107" s="341"/>
      <c r="AP107" s="341"/>
      <c r="AQ107" s="339">
        <f>-180+AA106</f>
        <v>0</v>
      </c>
      <c r="AR107" s="434"/>
      <c r="AT107" s="390">
        <v>750</v>
      </c>
      <c r="AV107" s="390">
        <f t="shared" ref="AV107" si="112">+AT107-AD107</f>
        <v>209</v>
      </c>
    </row>
    <row r="108" spans="2:48" s="98" customFormat="1" ht="62.25" customHeight="1" x14ac:dyDescent="0.9">
      <c r="B108" s="357">
        <f>+B107</f>
        <v>18</v>
      </c>
      <c r="C108" s="408"/>
      <c r="D108" s="184"/>
      <c r="E108" s="111">
        <f>+B107</f>
        <v>18</v>
      </c>
      <c r="F108" s="409"/>
      <c r="G108" s="541" t="str">
        <f t="shared" si="111"/>
        <v>2158-755-712</v>
      </c>
      <c r="H108" s="411"/>
      <c r="I108" s="113">
        <f>+IFERROR(IF(K109=0,0,IF((LOOKUP(2,1/(M108:W108&lt;&gt;""),M108:W108)-K109)&lt;0,0,IF(K109=0,"",LOOKUP(2,1/(M108:W108&lt;&gt;""),M108:W108)-K109))),0)</f>
        <v>0</v>
      </c>
      <c r="J108" s="113"/>
      <c r="K108" s="114" t="s">
        <v>22</v>
      </c>
      <c r="L108" s="102" t="s">
        <v>18</v>
      </c>
      <c r="M108" s="448">
        <v>49</v>
      </c>
      <c r="N108" s="448">
        <v>50</v>
      </c>
      <c r="O108" s="448">
        <v>50</v>
      </c>
      <c r="P108" s="448">
        <v>50</v>
      </c>
      <c r="Q108" s="448">
        <v>50</v>
      </c>
      <c r="R108" s="448">
        <v>50</v>
      </c>
      <c r="S108" s="448">
        <v>50</v>
      </c>
      <c r="T108" s="448">
        <v>50</v>
      </c>
      <c r="U108" s="448">
        <v>50</v>
      </c>
      <c r="V108" s="448"/>
      <c r="W108" s="448"/>
      <c r="X108" s="160">
        <f>+IF(H108="l",IF(COUNTA(M107:W107)=AK109+0.25,AA107-K107*AK109,AA107-(K107*COUNTA(M107:W107))),IF(H108="s",0,IF(COUNTA(M107:W107)=AK109+0.25,SUMIF($C:$C,B107,$AA:$AA)-K107*AK109,SUMIF($C:$C,B107,$AA:$AA)-K107*COUNTA(M107:W107))))</f>
        <v>-66</v>
      </c>
      <c r="Y108" s="466"/>
      <c r="Z108" s="534"/>
      <c r="AA108" s="462">
        <f t="shared" ref="AA108:AA109" si="113">+SUM(M108:W108)-U108*0.25</f>
        <v>436.5</v>
      </c>
      <c r="AB108" s="361"/>
      <c r="AC108" s="361"/>
      <c r="AD108" s="362"/>
      <c r="AE108" s="363"/>
      <c r="AF108" s="346"/>
      <c r="AG108" s="347">
        <f t="shared" si="105"/>
        <v>0</v>
      </c>
      <c r="AH108" s="341">
        <f t="shared" si="106"/>
        <v>0</v>
      </c>
      <c r="AI108" s="341"/>
      <c r="AJ108" s="341"/>
      <c r="AK108" s="348"/>
      <c r="AL108" s="349">
        <f>+IF(AK109=7.75,SUM(M108:S108)+T108*0.75,IF(AK109=8,SUM(M108:T108),IF(AK109=7.25,SUM(M108:S108)+T108*0.25,IF(AK109=8.25,SUM(M108:T108)+U108*0.25,IF(AK109=8.75,SUM(M108:T108)+U108*0.75,0)))))</f>
        <v>436.5</v>
      </c>
      <c r="AM108" s="341">
        <f>+AL108-AA108</f>
        <v>0</v>
      </c>
      <c r="AN108" s="341"/>
      <c r="AO108" s="341"/>
      <c r="AP108" s="341"/>
      <c r="AQ108" s="438"/>
      <c r="AR108" s="434"/>
      <c r="AT108" s="390"/>
      <c r="AV108" s="390"/>
    </row>
    <row r="109" spans="2:48" s="98" customFormat="1" ht="62.25" customHeight="1" thickBot="1" x14ac:dyDescent="0.95">
      <c r="B109" s="375">
        <f>+B107</f>
        <v>18</v>
      </c>
      <c r="C109" s="410"/>
      <c r="D109" s="413" t="s">
        <v>308</v>
      </c>
      <c r="E109" s="175">
        <f>+E108+100</f>
        <v>118</v>
      </c>
      <c r="F109" s="175"/>
      <c r="G109" s="542" t="str">
        <f t="shared" si="111"/>
        <v>2158-755-712</v>
      </c>
      <c r="H109" s="117"/>
      <c r="I109" s="442"/>
      <c r="J109" s="165">
        <f>+IF(K109="","",IF(K107=0,"",(K107*J107)/(K109*60)))</f>
        <v>0.87380392156862752</v>
      </c>
      <c r="K109" s="118">
        <v>51</v>
      </c>
      <c r="L109" s="104" t="s">
        <v>19</v>
      </c>
      <c r="M109" s="216">
        <v>2</v>
      </c>
      <c r="N109" s="216">
        <v>2</v>
      </c>
      <c r="O109" s="216">
        <v>2</v>
      </c>
      <c r="P109" s="216">
        <v>2</v>
      </c>
      <c r="Q109" s="216">
        <v>2</v>
      </c>
      <c r="R109" s="216">
        <v>2</v>
      </c>
      <c r="S109" s="216">
        <v>2</v>
      </c>
      <c r="T109" s="216">
        <v>2</v>
      </c>
      <c r="U109" s="216">
        <v>2</v>
      </c>
      <c r="V109" s="216"/>
      <c r="W109" s="216"/>
      <c r="X109" s="173"/>
      <c r="Y109" s="467">
        <v>28.44</v>
      </c>
      <c r="Z109" s="365">
        <v>28.44</v>
      </c>
      <c r="AA109" s="465">
        <f t="shared" si="113"/>
        <v>17.5</v>
      </c>
      <c r="AB109" s="367"/>
      <c r="AC109" s="367"/>
      <c r="AD109" s="368">
        <f>+IFERROR(AD107/(K107*$AQ$3),"")</f>
        <v>1.189010989010989</v>
      </c>
      <c r="AE109" s="369"/>
      <c r="AF109" s="347"/>
      <c r="AG109" s="347">
        <f t="shared" si="105"/>
        <v>0</v>
      </c>
      <c r="AH109" s="341">
        <f t="shared" si="106"/>
        <v>0</v>
      </c>
      <c r="AI109" s="341"/>
      <c r="AJ109" s="356"/>
      <c r="AK109" s="370">
        <f>+$AJ$4</f>
        <v>8.75</v>
      </c>
      <c r="AL109" s="349">
        <f>+IF(AK109=7.75,SUM(M109:S109)+T109*0.75,IF(AK109=8,SUM(M109:T109),IF(AK109=7.25,SUM(M109:S109)+T109*0.25,IF(AK109=8.25,SUM(M109:T109)+U109*0.25,IF(AK109=8.75,SUM(M109:T109)+U109*0.75,0)))))</f>
        <v>17.5</v>
      </c>
      <c r="AM109" s="341">
        <f>+AL109-AA109</f>
        <v>0</v>
      </c>
      <c r="AN109" s="341"/>
      <c r="AO109" s="341"/>
      <c r="AP109" s="341"/>
      <c r="AQ109" s="369"/>
      <c r="AR109" s="434"/>
      <c r="AT109" s="390">
        <v>1.6483516483516483</v>
      </c>
      <c r="AV109" s="390"/>
    </row>
    <row r="110" spans="2:48" s="98" customFormat="1" ht="62.25" customHeight="1" thickTop="1" x14ac:dyDescent="0.9">
      <c r="B110" s="373">
        <f>+B111</f>
        <v>18</v>
      </c>
      <c r="C110" s="405"/>
      <c r="D110" s="106"/>
      <c r="E110" s="106"/>
      <c r="F110" s="106"/>
      <c r="G110" s="540" t="s">
        <v>481</v>
      </c>
      <c r="H110" s="106"/>
      <c r="I110" s="106"/>
      <c r="J110" s="107" t="s">
        <v>20</v>
      </c>
      <c r="K110" s="108" t="s">
        <v>23</v>
      </c>
      <c r="L110" s="100" t="s">
        <v>21</v>
      </c>
      <c r="M110" s="448"/>
      <c r="N110" s="448"/>
      <c r="O110" s="448"/>
      <c r="P110" s="448"/>
      <c r="Q110" s="448"/>
      <c r="R110" s="448"/>
      <c r="S110" s="448">
        <v>180</v>
      </c>
      <c r="T110" s="448"/>
      <c r="U110" s="448"/>
      <c r="V110" s="448"/>
      <c r="W110" s="448"/>
      <c r="X110" s="447">
        <f t="shared" ref="X110" si="114">IF(AQ111="","",SUM(M110:W110)-(-(AQ111-SUM(M110:W110))/$AQ$3)*SUM($M$2:$W$2))</f>
        <v>180</v>
      </c>
      <c r="Y110" s="466"/>
      <c r="Z110" s="533">
        <f>+X112</f>
        <v>0</v>
      </c>
      <c r="AA110" s="447">
        <f t="shared" ref="AA110:AA111" si="115">+SUM(L110:W110)</f>
        <v>180</v>
      </c>
      <c r="AB110" s="343">
        <f>+AC110+AA110</f>
        <v>180</v>
      </c>
      <c r="AC110" s="343"/>
      <c r="AD110" s="344"/>
      <c r="AE110" s="345"/>
      <c r="AF110" s="346"/>
      <c r="AG110" s="347">
        <f t="shared" ref="AG110:AG113" si="116">TRUNC(AF110)+(AF110-TRUNC(AF110))*60/100</f>
        <v>0</v>
      </c>
      <c r="AH110" s="341">
        <f t="shared" ref="AH110:AH113" si="117">+AF110*60</f>
        <v>0</v>
      </c>
      <c r="AI110" s="341"/>
      <c r="AJ110" s="341"/>
      <c r="AK110" s="348"/>
      <c r="AL110" s="349"/>
      <c r="AM110" s="341"/>
      <c r="AN110" s="341"/>
      <c r="AO110" s="341"/>
      <c r="AP110" s="341"/>
      <c r="AQ110" s="350"/>
      <c r="AR110" s="434"/>
      <c r="AT110" s="390"/>
      <c r="AV110" s="390"/>
    </row>
    <row r="111" spans="2:48" s="98" customFormat="1" ht="62.25" customHeight="1" x14ac:dyDescent="0.9">
      <c r="B111" s="374">
        <v>18</v>
      </c>
      <c r="C111" s="406">
        <f>+B111</f>
        <v>18</v>
      </c>
      <c r="D111" s="407" t="s">
        <v>480</v>
      </c>
      <c r="E111" s="111"/>
      <c r="F111" s="111" t="s">
        <v>35</v>
      </c>
      <c r="G111" s="541" t="str">
        <f t="shared" ref="G111:G113" si="118">+G110</f>
        <v>2396-593-600</v>
      </c>
      <c r="H111" s="111"/>
      <c r="I111" s="111" t="s">
        <v>33</v>
      </c>
      <c r="J111" s="113">
        <v>40.03</v>
      </c>
      <c r="K111" s="130">
        <v>61</v>
      </c>
      <c r="L111" s="101" t="s">
        <v>17</v>
      </c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123">
        <f>+IF(H112="s",0,IF(AA111=0,0,IF(COUNTA(M111:W111)=AK113+0.25,SUMIF($C:$C,B111,$AA:$AA)/AK113,SUMIF($C:$C,B111,$AA:$AA)/(COUNTA(M111:W111)))))</f>
        <v>0</v>
      </c>
      <c r="Y111" s="466"/>
      <c r="Z111" s="534"/>
      <c r="AA111" s="134">
        <f t="shared" si="115"/>
        <v>0</v>
      </c>
      <c r="AB111" s="354">
        <f>+AA111+AC111</f>
        <v>0</v>
      </c>
      <c r="AC111" s="354"/>
      <c r="AD111" s="355">
        <f>+AB110-AB111</f>
        <v>180</v>
      </c>
      <c r="AE111" s="131" t="str">
        <f>+IF(((AA112+(AA113/2))*60)=0,"",(J111*AA111)/((AA112+(AA113/2))*60))</f>
        <v/>
      </c>
      <c r="AF111" s="347">
        <f>+AA112+AA113/2</f>
        <v>0</v>
      </c>
      <c r="AG111" s="347">
        <f t="shared" si="116"/>
        <v>0</v>
      </c>
      <c r="AH111" s="341">
        <f t="shared" si="117"/>
        <v>0</v>
      </c>
      <c r="AI111" s="341">
        <f>+AA111*J111</f>
        <v>0</v>
      </c>
      <c r="AJ111" s="356">
        <f>+AA111-(AF111*K111/K113)</f>
        <v>0</v>
      </c>
      <c r="AK111" s="348"/>
      <c r="AL111" s="349"/>
      <c r="AM111" s="341"/>
      <c r="AN111" s="341"/>
      <c r="AO111" s="341"/>
      <c r="AP111" s="341"/>
      <c r="AQ111" s="339">
        <f>-180+AA110</f>
        <v>0</v>
      </c>
      <c r="AR111" s="434"/>
      <c r="AT111" s="390">
        <v>750</v>
      </c>
      <c r="AV111" s="390">
        <f t="shared" ref="AV111" si="119">+AT111-AD111</f>
        <v>570</v>
      </c>
    </row>
    <row r="112" spans="2:48" s="98" customFormat="1" ht="62.25" customHeight="1" x14ac:dyDescent="0.9">
      <c r="B112" s="357">
        <f>+B111</f>
        <v>18</v>
      </c>
      <c r="C112" s="408"/>
      <c r="D112" s="184"/>
      <c r="E112" s="111">
        <f>+B111</f>
        <v>18</v>
      </c>
      <c r="F112" s="409"/>
      <c r="G112" s="541" t="str">
        <f t="shared" si="118"/>
        <v>2396-593-600</v>
      </c>
      <c r="H112" s="411" t="s">
        <v>413</v>
      </c>
      <c r="I112" s="113">
        <f>+IFERROR(IF(K113=0,0,IF((LOOKUP(2,1/(M112:W112&lt;&gt;""),M112:W112)-K113)&lt;0,0,IF(K113=0,"",LOOKUP(2,1/(M112:W112&lt;&gt;""),M112:W112)-K113))),0)</f>
        <v>0</v>
      </c>
      <c r="J112" s="113"/>
      <c r="K112" s="114" t="s">
        <v>22</v>
      </c>
      <c r="L112" s="102" t="s">
        <v>18</v>
      </c>
      <c r="M112" s="448"/>
      <c r="N112" s="448"/>
      <c r="O112" s="448"/>
      <c r="P112" s="448"/>
      <c r="Q112" s="448"/>
      <c r="R112" s="448"/>
      <c r="S112" s="448"/>
      <c r="T112" s="448"/>
      <c r="U112" s="448"/>
      <c r="V112" s="448"/>
      <c r="W112" s="448"/>
      <c r="X112" s="160">
        <f>+IF(H112="l",IF(COUNTA(M111:W111)=AK113+0.25,AA111-K111*AK113,AA111-(K111*COUNTA(M111:W111))),IF(H112="s",0,IF(COUNTA(M111:W111)=AK113+0.25,SUMIF($C:$C,B111,$AA:$AA)-K111*AK113,SUMIF($C:$C,B111,$AA:$AA)-K111*COUNTA(M111:W111))))</f>
        <v>0</v>
      </c>
      <c r="Y112" s="466"/>
      <c r="Z112" s="534"/>
      <c r="AA112" s="462">
        <f t="shared" ref="AA112:AA113" si="120">+SUM(M112:W112)-U112*0.25</f>
        <v>0</v>
      </c>
      <c r="AB112" s="361"/>
      <c r="AC112" s="361"/>
      <c r="AD112" s="362"/>
      <c r="AE112" s="363"/>
      <c r="AF112" s="346"/>
      <c r="AG112" s="347">
        <f t="shared" si="116"/>
        <v>0</v>
      </c>
      <c r="AH112" s="341">
        <f t="shared" si="117"/>
        <v>0</v>
      </c>
      <c r="AI112" s="341"/>
      <c r="AJ112" s="341"/>
      <c r="AK112" s="348"/>
      <c r="AL112" s="349">
        <f>+IF(AK113=7.75,SUM(M112:S112)+T112*0.75,IF(AK113=8,SUM(M112:T112),IF(AK113=7.25,SUM(M112:S112)+T112*0.25,IF(AK113=8.25,SUM(M112:T112)+U112*0.25,IF(AK113=8.75,SUM(M112:T112)+U112*0.75,0)))))</f>
        <v>0</v>
      </c>
      <c r="AM112" s="341">
        <f>+AL112-AA112</f>
        <v>0</v>
      </c>
      <c r="AN112" s="341"/>
      <c r="AO112" s="341"/>
      <c r="AP112" s="341"/>
      <c r="AQ112" s="438"/>
      <c r="AR112" s="434"/>
      <c r="AT112" s="390"/>
      <c r="AV112" s="390"/>
    </row>
    <row r="113" spans="2:48" s="98" customFormat="1" ht="62.25" customHeight="1" thickBot="1" x14ac:dyDescent="0.95">
      <c r="B113" s="375">
        <f>+B111</f>
        <v>18</v>
      </c>
      <c r="C113" s="410"/>
      <c r="D113" s="413" t="s">
        <v>308</v>
      </c>
      <c r="E113" s="175">
        <f>+E112+100</f>
        <v>118</v>
      </c>
      <c r="F113" s="175"/>
      <c r="G113" s="542" t="str">
        <f t="shared" si="118"/>
        <v>2396-593-600</v>
      </c>
      <c r="H113" s="117"/>
      <c r="I113" s="442"/>
      <c r="J113" s="165">
        <f>+IF(K113="","",IF(K111=0,"",(K111*J111)/(K113*60)))</f>
        <v>0.79798366013071897</v>
      </c>
      <c r="K113" s="118">
        <v>51</v>
      </c>
      <c r="L113" s="104" t="s">
        <v>19</v>
      </c>
      <c r="M113" s="216"/>
      <c r="N113" s="216"/>
      <c r="O113" s="216"/>
      <c r="P113" s="216"/>
      <c r="Q113" s="216"/>
      <c r="R113" s="216"/>
      <c r="S113" s="216"/>
      <c r="T113" s="216"/>
      <c r="U113" s="216"/>
      <c r="V113" s="216"/>
      <c r="W113" s="216"/>
      <c r="X113" s="173"/>
      <c r="Y113" s="467"/>
      <c r="Z113" s="371">
        <f>+IF(COUNTA(M111:W111)=$AJ$4+0.25,$AJ$4-(AA111/K111),COUNTA(M111:W111)-(AA111/K111))+Y113</f>
        <v>0</v>
      </c>
      <c r="AA113" s="465">
        <f t="shared" si="120"/>
        <v>0</v>
      </c>
      <c r="AB113" s="367"/>
      <c r="AC113" s="367"/>
      <c r="AD113" s="368">
        <f>+IFERROR(AD111/(K111*$AQ$3),"")</f>
        <v>0.33723653395784542</v>
      </c>
      <c r="AE113" s="369"/>
      <c r="AF113" s="347"/>
      <c r="AG113" s="347">
        <f t="shared" si="116"/>
        <v>0</v>
      </c>
      <c r="AH113" s="341">
        <f t="shared" si="117"/>
        <v>0</v>
      </c>
      <c r="AI113" s="341"/>
      <c r="AJ113" s="356"/>
      <c r="AK113" s="370">
        <f>+$AJ$4</f>
        <v>8.75</v>
      </c>
      <c r="AL113" s="349">
        <f>+IF(AK113=7.75,SUM(M113:S113)+T113*0.75,IF(AK113=8,SUM(M113:T113),IF(AK113=7.25,SUM(M113:S113)+T113*0.25,IF(AK113=8.25,SUM(M113:T113)+U113*0.25,IF(AK113=8.75,SUM(M113:T113)+U113*0.75,0)))))</f>
        <v>0</v>
      </c>
      <c r="AM113" s="341">
        <f>+AL113-AA113</f>
        <v>0</v>
      </c>
      <c r="AN113" s="341"/>
      <c r="AO113" s="341"/>
      <c r="AP113" s="341"/>
      <c r="AQ113" s="369"/>
      <c r="AR113" s="434"/>
      <c r="AT113" s="390">
        <v>1.6483516483516483</v>
      </c>
      <c r="AV113" s="390"/>
    </row>
    <row r="114" spans="2:48" s="419" customFormat="1" ht="91.5" customHeight="1" thickTop="1" thickBot="1" x14ac:dyDescent="0.95">
      <c r="B114" s="414"/>
      <c r="C114" s="414"/>
      <c r="D114" s="415"/>
      <c r="E114" s="415"/>
      <c r="F114" s="415"/>
      <c r="G114" s="415"/>
      <c r="H114" s="415"/>
      <c r="I114" s="415"/>
      <c r="J114" s="415"/>
      <c r="K114" s="415"/>
      <c r="L114" s="416"/>
      <c r="M114" s="416"/>
      <c r="N114" s="416"/>
      <c r="O114" s="416"/>
      <c r="P114" s="416"/>
      <c r="Q114" s="416"/>
      <c r="R114" s="416"/>
      <c r="S114" s="416"/>
      <c r="T114" s="416"/>
      <c r="U114" s="416"/>
      <c r="V114" s="416"/>
      <c r="W114" s="416"/>
      <c r="X114" s="415"/>
      <c r="Y114" s="415"/>
      <c r="Z114" s="415"/>
      <c r="AA114" s="415"/>
      <c r="AB114" s="415"/>
      <c r="AC114" s="415"/>
      <c r="AD114" s="415"/>
      <c r="AE114" s="417"/>
      <c r="AF114" s="418"/>
      <c r="AG114" s="418"/>
      <c r="AK114" s="420"/>
      <c r="AL114" s="421"/>
      <c r="AR114" s="435"/>
    </row>
    <row r="115" spans="2:48" s="419" customFormat="1" ht="91.5" customHeight="1" thickTop="1" thickBot="1" x14ac:dyDescent="0.95">
      <c r="B115" s="414"/>
      <c r="C115" s="414"/>
      <c r="D115" s="415"/>
      <c r="E115" s="415"/>
      <c r="F115" s="415"/>
      <c r="G115" s="415"/>
      <c r="H115" s="415"/>
      <c r="I115" s="415"/>
      <c r="J115" s="415"/>
      <c r="K115" s="415"/>
      <c r="L115" s="378" t="s">
        <v>21</v>
      </c>
      <c r="M115" s="379">
        <f t="shared" ref="M115:W115" si="121">+SUMIF($L$6:$L$114,$L$115,M6:M114)</f>
        <v>1015</v>
      </c>
      <c r="N115" s="379">
        <f t="shared" si="121"/>
        <v>990</v>
      </c>
      <c r="O115" s="379">
        <f t="shared" si="121"/>
        <v>350</v>
      </c>
      <c r="P115" s="379">
        <f t="shared" si="121"/>
        <v>695</v>
      </c>
      <c r="Q115" s="379">
        <f t="shared" si="121"/>
        <v>930</v>
      </c>
      <c r="R115" s="379">
        <f t="shared" si="121"/>
        <v>350</v>
      </c>
      <c r="S115" s="379">
        <f t="shared" si="121"/>
        <v>760</v>
      </c>
      <c r="T115" s="379">
        <f t="shared" si="121"/>
        <v>120</v>
      </c>
      <c r="U115" s="379">
        <f t="shared" si="121"/>
        <v>240</v>
      </c>
      <c r="V115" s="379">
        <f t="shared" si="121"/>
        <v>0</v>
      </c>
      <c r="W115" s="379">
        <f t="shared" si="121"/>
        <v>0</v>
      </c>
      <c r="X115" s="332"/>
      <c r="Y115" s="332"/>
      <c r="Z115" s="537">
        <f>+SUM(M115:W115)</f>
        <v>5450</v>
      </c>
      <c r="AA115" s="538"/>
      <c r="AB115" s="415"/>
      <c r="AC115" s="415"/>
      <c r="AD115" s="415"/>
      <c r="AE115" s="417"/>
      <c r="AF115" s="418"/>
      <c r="AG115" s="418"/>
      <c r="AK115" s="420"/>
      <c r="AR115" s="435"/>
    </row>
    <row r="116" spans="2:48" s="419" customFormat="1" ht="91.5" customHeight="1" thickTop="1" thickBot="1" x14ac:dyDescent="0.95">
      <c r="B116" s="414"/>
      <c r="C116" s="414"/>
      <c r="D116" s="415"/>
      <c r="E116" s="415"/>
      <c r="F116" s="415"/>
      <c r="G116" s="415"/>
      <c r="H116" s="415"/>
      <c r="I116" s="415"/>
      <c r="J116" s="415"/>
      <c r="K116" s="415"/>
      <c r="L116" s="380"/>
      <c r="M116" s="376"/>
      <c r="N116" s="376"/>
      <c r="O116" s="376"/>
      <c r="P116" s="376"/>
      <c r="Q116" s="376"/>
      <c r="R116" s="376"/>
      <c r="S116" s="376"/>
      <c r="T116" s="376"/>
      <c r="U116" s="376"/>
      <c r="V116" s="376"/>
      <c r="W116" s="376"/>
      <c r="X116" s="332"/>
      <c r="Y116" s="332"/>
      <c r="Z116" s="332"/>
      <c r="AA116" s="332"/>
      <c r="AB116" s="415"/>
      <c r="AC116" s="415"/>
      <c r="AD116" s="415"/>
      <c r="AE116" s="417"/>
      <c r="AF116" s="418"/>
      <c r="AG116" s="418"/>
      <c r="AK116" s="420"/>
      <c r="AR116" s="435"/>
    </row>
    <row r="117" spans="2:48" s="419" customFormat="1" ht="91.5" customHeight="1" thickTop="1" thickBot="1" x14ac:dyDescent="0.95">
      <c r="B117" s="414"/>
      <c r="C117" s="414"/>
      <c r="D117" s="415"/>
      <c r="E117" s="415"/>
      <c r="F117" s="415"/>
      <c r="G117" s="415"/>
      <c r="H117" s="415"/>
      <c r="I117" s="415"/>
      <c r="J117" s="415"/>
      <c r="K117" s="415"/>
      <c r="L117" s="378" t="s">
        <v>17</v>
      </c>
      <c r="M117" s="379">
        <f t="shared" ref="M117:W117" si="122">+SUMIF($L$6:$L$114,$L$117,M6:M114)</f>
        <v>426</v>
      </c>
      <c r="N117" s="379">
        <f t="shared" si="122"/>
        <v>479</v>
      </c>
      <c r="O117" s="379">
        <f t="shared" si="122"/>
        <v>492</v>
      </c>
      <c r="P117" s="379">
        <f t="shared" si="122"/>
        <v>528</v>
      </c>
      <c r="Q117" s="379">
        <f t="shared" si="122"/>
        <v>445</v>
      </c>
      <c r="R117" s="379">
        <f t="shared" si="122"/>
        <v>567</v>
      </c>
      <c r="S117" s="379">
        <f t="shared" si="122"/>
        <v>534</v>
      </c>
      <c r="T117" s="379">
        <f t="shared" si="122"/>
        <v>556</v>
      </c>
      <c r="U117" s="379">
        <f t="shared" si="122"/>
        <v>370</v>
      </c>
      <c r="V117" s="379">
        <f t="shared" si="122"/>
        <v>0</v>
      </c>
      <c r="W117" s="379">
        <f t="shared" si="122"/>
        <v>0</v>
      </c>
      <c r="X117" s="332"/>
      <c r="Y117" s="332"/>
      <c r="Z117" s="537">
        <f>+SUM(M117:W117)</f>
        <v>4397</v>
      </c>
      <c r="AA117" s="538"/>
      <c r="AB117" s="415"/>
      <c r="AC117" s="415"/>
      <c r="AD117" s="415"/>
      <c r="AE117" s="417"/>
      <c r="AF117" s="418"/>
      <c r="AG117" s="418"/>
      <c r="AK117" s="420"/>
      <c r="AR117" s="435"/>
    </row>
    <row r="118" spans="2:48" s="419" customFormat="1" ht="91.5" customHeight="1" thickTop="1" thickBot="1" x14ac:dyDescent="0.95">
      <c r="B118" s="414"/>
      <c r="C118" s="414"/>
      <c r="D118" s="415"/>
      <c r="E118" s="415"/>
      <c r="F118" s="415"/>
      <c r="G118" s="415"/>
      <c r="H118" s="415"/>
      <c r="I118" s="415"/>
      <c r="J118" s="415"/>
      <c r="K118" s="415"/>
      <c r="L118" s="380"/>
      <c r="M118" s="376"/>
      <c r="N118" s="376"/>
      <c r="O118" s="376"/>
      <c r="P118" s="376"/>
      <c r="Q118" s="376"/>
      <c r="R118" s="376"/>
      <c r="S118" s="376"/>
      <c r="T118" s="376"/>
      <c r="U118" s="376"/>
      <c r="V118" s="376"/>
      <c r="W118" s="376"/>
      <c r="X118" s="332"/>
      <c r="Y118" s="332"/>
      <c r="Z118" s="332"/>
      <c r="AA118" s="332"/>
      <c r="AB118" s="415"/>
      <c r="AC118" s="415"/>
      <c r="AD118" s="415"/>
      <c r="AE118" s="417"/>
      <c r="AF118" s="418"/>
      <c r="AG118" s="418"/>
      <c r="AK118" s="420"/>
      <c r="AR118" s="435"/>
    </row>
    <row r="119" spans="2:48" s="419" customFormat="1" ht="91.5" customHeight="1" thickTop="1" thickBot="1" x14ac:dyDescent="0.95">
      <c r="B119" s="414"/>
      <c r="C119" s="414"/>
      <c r="D119" s="422"/>
      <c r="E119" s="422"/>
      <c r="F119" s="422"/>
      <c r="G119" s="422"/>
      <c r="H119" s="422"/>
      <c r="I119" s="422"/>
      <c r="J119" s="423"/>
      <c r="K119" s="422"/>
      <c r="L119" s="378" t="s">
        <v>19</v>
      </c>
      <c r="M119" s="379">
        <f t="shared" ref="M119:W119" si="123">+SUMIF($L$6:$L$114,$L$119,M6:M114)</f>
        <v>8</v>
      </c>
      <c r="N119" s="379">
        <f t="shared" si="123"/>
        <v>8</v>
      </c>
      <c r="O119" s="379">
        <f t="shared" si="123"/>
        <v>7</v>
      </c>
      <c r="P119" s="379">
        <f t="shared" si="123"/>
        <v>7</v>
      </c>
      <c r="Q119" s="379">
        <f t="shared" si="123"/>
        <v>7</v>
      </c>
      <c r="R119" s="379">
        <f t="shared" si="123"/>
        <v>8</v>
      </c>
      <c r="S119" s="379">
        <f t="shared" si="123"/>
        <v>8</v>
      </c>
      <c r="T119" s="379">
        <f t="shared" si="123"/>
        <v>8</v>
      </c>
      <c r="U119" s="379">
        <f t="shared" si="123"/>
        <v>8</v>
      </c>
      <c r="V119" s="379">
        <f t="shared" si="123"/>
        <v>0</v>
      </c>
      <c r="W119" s="379">
        <f t="shared" si="123"/>
        <v>0</v>
      </c>
      <c r="X119" s="381"/>
      <c r="Y119" s="381"/>
      <c r="Z119" s="332"/>
      <c r="AA119" s="332"/>
      <c r="AB119" s="415"/>
      <c r="AC119" s="415"/>
      <c r="AD119" s="415"/>
      <c r="AE119" s="417"/>
      <c r="AF119" s="418"/>
      <c r="AG119" s="418"/>
      <c r="AK119" s="420"/>
      <c r="AR119" s="435"/>
    </row>
    <row r="120" spans="2:48" s="419" customFormat="1" ht="62.25" customHeight="1" thickTop="1" x14ac:dyDescent="0.9">
      <c r="B120" s="414"/>
      <c r="C120" s="414"/>
      <c r="D120" s="422"/>
      <c r="E120" s="422"/>
      <c r="F120" s="422"/>
      <c r="G120" s="422"/>
      <c r="H120" s="422"/>
      <c r="I120" s="424"/>
      <c r="J120" s="423"/>
      <c r="K120" s="422"/>
      <c r="L120" s="380"/>
      <c r="M120" s="382"/>
      <c r="N120" s="377"/>
      <c r="O120" s="377"/>
      <c r="P120" s="377"/>
      <c r="Q120" s="377"/>
      <c r="R120" s="377"/>
      <c r="S120" s="377"/>
      <c r="T120" s="377"/>
      <c r="U120" s="377"/>
      <c r="V120" s="377"/>
      <c r="W120" s="377"/>
      <c r="X120" s="332"/>
      <c r="Y120" s="332"/>
      <c r="Z120" s="332"/>
      <c r="AA120" s="332"/>
      <c r="AB120" s="415"/>
      <c r="AC120" s="415"/>
      <c r="AD120" s="425"/>
      <c r="AE120" s="417"/>
      <c r="AF120" s="418"/>
      <c r="AG120" s="418"/>
      <c r="AK120" s="420"/>
      <c r="AR120" s="435"/>
    </row>
    <row r="121" spans="2:48" s="98" customFormat="1" ht="62.25" customHeight="1" thickBot="1" x14ac:dyDescent="0.95">
      <c r="B121" s="94"/>
      <c r="C121" s="94"/>
      <c r="D121" s="92"/>
      <c r="E121" s="92"/>
      <c r="F121" s="92"/>
      <c r="G121" s="92"/>
      <c r="H121" s="92"/>
      <c r="I121" s="91"/>
      <c r="J121" s="93"/>
      <c r="K121" s="92"/>
      <c r="L121" s="384"/>
      <c r="M121" s="340"/>
      <c r="N121" s="340"/>
      <c r="O121" s="340"/>
      <c r="P121" s="340"/>
      <c r="Q121" s="340"/>
      <c r="R121" s="340"/>
      <c r="S121" s="340"/>
      <c r="T121" s="340"/>
      <c r="U121" s="340"/>
      <c r="V121" s="340"/>
      <c r="W121" s="340"/>
      <c r="X121" s="340"/>
      <c r="Y121" s="340"/>
      <c r="Z121" s="340"/>
      <c r="AA121" s="340"/>
      <c r="AB121" s="91"/>
      <c r="AC121" s="91"/>
      <c r="AD121" s="91"/>
      <c r="AE121" s="95"/>
      <c r="AF121" s="158"/>
      <c r="AG121" s="158"/>
      <c r="AK121" s="183"/>
      <c r="AR121" s="434"/>
    </row>
    <row r="122" spans="2:48" s="98" customFormat="1" ht="88.5" customHeight="1" thickTop="1" thickBot="1" x14ac:dyDescent="0.95">
      <c r="B122" s="94"/>
      <c r="C122" s="94"/>
      <c r="D122" s="92"/>
      <c r="E122" s="92"/>
      <c r="F122" s="92"/>
      <c r="G122" s="92"/>
      <c r="H122" s="92"/>
      <c r="I122" s="91"/>
      <c r="J122" s="93"/>
      <c r="K122" s="212" t="s">
        <v>18</v>
      </c>
      <c r="L122" s="385" t="s">
        <v>180</v>
      </c>
      <c r="M122" s="379">
        <f t="shared" ref="M122:W122" si="124">+IF(M125=0,0,SUMIFS($J$6:$J$114,$L$6:$L$114,$K$122))</f>
        <v>11</v>
      </c>
      <c r="N122" s="379">
        <f t="shared" si="124"/>
        <v>11</v>
      </c>
      <c r="O122" s="379">
        <f t="shared" si="124"/>
        <v>11</v>
      </c>
      <c r="P122" s="379">
        <f t="shared" si="124"/>
        <v>11</v>
      </c>
      <c r="Q122" s="379">
        <f t="shared" si="124"/>
        <v>11</v>
      </c>
      <c r="R122" s="379">
        <f t="shared" si="124"/>
        <v>11</v>
      </c>
      <c r="S122" s="379">
        <f t="shared" si="124"/>
        <v>11</v>
      </c>
      <c r="T122" s="379">
        <f t="shared" si="124"/>
        <v>11</v>
      </c>
      <c r="U122" s="379">
        <f t="shared" si="124"/>
        <v>11</v>
      </c>
      <c r="V122" s="379">
        <f t="shared" si="124"/>
        <v>0</v>
      </c>
      <c r="W122" s="379">
        <f t="shared" si="124"/>
        <v>0</v>
      </c>
      <c r="X122" s="383"/>
      <c r="Y122" s="383"/>
      <c r="Z122" s="340"/>
      <c r="AA122" s="340"/>
      <c r="AB122" s="91"/>
      <c r="AC122" s="91"/>
      <c r="AD122" s="91"/>
      <c r="AE122" s="95"/>
      <c r="AF122" s="158"/>
      <c r="AG122" s="158"/>
      <c r="AK122" s="183"/>
      <c r="AR122" s="434"/>
    </row>
    <row r="123" spans="2:48" s="98" customFormat="1" ht="62.25" customHeight="1" thickTop="1" x14ac:dyDescent="0.9">
      <c r="B123" s="94"/>
      <c r="C123" s="94"/>
      <c r="D123" s="92"/>
      <c r="E123" s="92"/>
      <c r="F123" s="92"/>
      <c r="G123" s="92"/>
      <c r="H123" s="92"/>
      <c r="I123" s="92"/>
      <c r="J123" s="93"/>
      <c r="K123" s="212"/>
      <c r="L123" s="384"/>
      <c r="M123" s="386"/>
      <c r="N123" s="386"/>
      <c r="O123" s="386"/>
      <c r="P123" s="386"/>
      <c r="Q123" s="386"/>
      <c r="R123" s="386"/>
      <c r="S123" s="386"/>
      <c r="T123" s="386"/>
      <c r="U123" s="386"/>
      <c r="V123" s="386"/>
      <c r="W123" s="386"/>
      <c r="X123" s="340"/>
      <c r="Y123" s="340"/>
      <c r="Z123" s="340"/>
      <c r="AA123" s="340"/>
      <c r="AB123" s="91"/>
      <c r="AC123" s="91"/>
      <c r="AD123" s="91"/>
      <c r="AE123" s="95"/>
      <c r="AF123" s="158"/>
      <c r="AG123" s="158"/>
      <c r="AK123" s="183"/>
      <c r="AR123" s="434"/>
    </row>
    <row r="124" spans="2:48" s="98" customFormat="1" ht="62.25" customHeight="1" thickBot="1" x14ac:dyDescent="0.95">
      <c r="B124" s="94"/>
      <c r="C124" s="94"/>
      <c r="D124" s="92"/>
      <c r="E124" s="92"/>
      <c r="F124" s="92"/>
      <c r="G124" s="92"/>
      <c r="H124" s="92"/>
      <c r="I124" s="92"/>
      <c r="J124" s="93"/>
      <c r="K124" s="212"/>
      <c r="L124" s="384"/>
      <c r="M124" s="340"/>
      <c r="N124" s="340"/>
      <c r="O124" s="340"/>
      <c r="P124" s="340"/>
      <c r="Q124" s="387"/>
      <c r="R124" s="387"/>
      <c r="S124" s="387"/>
      <c r="T124" s="387"/>
      <c r="U124" s="387"/>
      <c r="V124" s="387"/>
      <c r="W124" s="387"/>
      <c r="X124" s="340"/>
      <c r="Y124" s="340"/>
      <c r="Z124" s="340"/>
      <c r="AA124" s="340"/>
      <c r="AB124" s="91"/>
      <c r="AC124" s="91"/>
      <c r="AD124" s="91"/>
      <c r="AE124" s="95"/>
      <c r="AF124" s="158"/>
      <c r="AG124" s="158"/>
      <c r="AK124" s="183"/>
      <c r="AR124" s="434"/>
    </row>
    <row r="125" spans="2:48" s="98" customFormat="1" ht="98.25" customHeight="1" thickTop="1" thickBot="1" x14ac:dyDescent="0.95">
      <c r="B125" s="94"/>
      <c r="C125" s="94"/>
      <c r="D125" s="92"/>
      <c r="E125" s="92"/>
      <c r="F125" s="92"/>
      <c r="G125" s="92"/>
      <c r="H125" s="92"/>
      <c r="I125" s="92"/>
      <c r="J125" s="93"/>
      <c r="K125" s="212"/>
      <c r="L125" s="385" t="s">
        <v>18</v>
      </c>
      <c r="M125" s="379">
        <f t="shared" ref="M125:W125" si="125">+SUMIF($L$6:$L$114,$L$125,M6:M114)</f>
        <v>633</v>
      </c>
      <c r="N125" s="379">
        <f t="shared" si="125"/>
        <v>641</v>
      </c>
      <c r="O125" s="379">
        <f t="shared" si="125"/>
        <v>641</v>
      </c>
      <c r="P125" s="379">
        <f t="shared" si="125"/>
        <v>642</v>
      </c>
      <c r="Q125" s="379">
        <f t="shared" si="125"/>
        <v>641</v>
      </c>
      <c r="R125" s="379">
        <f t="shared" si="125"/>
        <v>637</v>
      </c>
      <c r="S125" s="379">
        <f t="shared" si="125"/>
        <v>637</v>
      </c>
      <c r="T125" s="379">
        <f t="shared" si="125"/>
        <v>637</v>
      </c>
      <c r="U125" s="379">
        <f t="shared" si="125"/>
        <v>637</v>
      </c>
      <c r="V125" s="379">
        <f t="shared" si="125"/>
        <v>0</v>
      </c>
      <c r="W125" s="379">
        <f t="shared" si="125"/>
        <v>0</v>
      </c>
      <c r="X125" s="340"/>
      <c r="Y125" s="340"/>
      <c r="Z125" s="340"/>
      <c r="AA125" s="340"/>
      <c r="AB125" s="91"/>
      <c r="AC125" s="91"/>
      <c r="AD125" s="91"/>
      <c r="AE125" s="95"/>
      <c r="AF125" s="158"/>
      <c r="AG125" s="158"/>
      <c r="AK125" s="183"/>
      <c r="AR125" s="434"/>
    </row>
    <row r="126" spans="2:48" s="98" customFormat="1" ht="62.25" customHeight="1" thickTop="1" x14ac:dyDescent="0.9">
      <c r="B126" s="94"/>
      <c r="C126" s="94"/>
      <c r="D126" s="92"/>
      <c r="E126" s="92"/>
      <c r="F126" s="92"/>
      <c r="G126" s="92"/>
      <c r="H126" s="92"/>
      <c r="I126" s="92"/>
      <c r="J126" s="93"/>
      <c r="K126" s="212"/>
      <c r="L126" s="384"/>
      <c r="M126" s="388"/>
      <c r="N126" s="388"/>
      <c r="O126" s="388"/>
      <c r="P126" s="388"/>
      <c r="Q126" s="388"/>
      <c r="R126" s="388"/>
      <c r="S126" s="388"/>
      <c r="T126" s="388"/>
      <c r="U126" s="388"/>
      <c r="V126" s="388"/>
      <c r="W126" s="388"/>
      <c r="X126" s="340"/>
      <c r="Y126" s="340"/>
      <c r="Z126" s="340"/>
      <c r="AA126" s="340"/>
      <c r="AB126" s="91"/>
      <c r="AC126" s="91"/>
      <c r="AD126" s="91"/>
      <c r="AE126" s="95"/>
      <c r="AF126" s="158"/>
      <c r="AG126" s="158"/>
      <c r="AK126" s="183"/>
      <c r="AR126" s="434"/>
    </row>
    <row r="127" spans="2:48" s="98" customFormat="1" ht="62.25" customHeight="1" thickBot="1" x14ac:dyDescent="0.95">
      <c r="B127" s="94"/>
      <c r="C127" s="94"/>
      <c r="D127" s="92"/>
      <c r="E127" s="92"/>
      <c r="F127" s="92"/>
      <c r="G127" s="92"/>
      <c r="H127" s="92"/>
      <c r="I127" s="92"/>
      <c r="J127" s="93"/>
      <c r="K127" s="212"/>
      <c r="L127" s="384"/>
      <c r="M127" s="340"/>
      <c r="N127" s="340"/>
      <c r="O127" s="340"/>
      <c r="P127" s="340"/>
      <c r="Q127" s="387"/>
      <c r="R127" s="387"/>
      <c r="S127" s="387"/>
      <c r="T127" s="387"/>
      <c r="U127" s="387"/>
      <c r="V127" s="387"/>
      <c r="W127" s="387"/>
      <c r="X127" s="340"/>
      <c r="Y127" s="340"/>
      <c r="Z127" s="340"/>
      <c r="AA127" s="340"/>
      <c r="AB127" s="91"/>
      <c r="AC127" s="91"/>
      <c r="AD127" s="91"/>
      <c r="AE127" s="95"/>
      <c r="AF127" s="158"/>
      <c r="AG127" s="158"/>
      <c r="AK127" s="183"/>
      <c r="AR127" s="434"/>
    </row>
    <row r="128" spans="2:48" s="98" customFormat="1" ht="94.5" customHeight="1" thickTop="1" thickBot="1" x14ac:dyDescent="0.95">
      <c r="B128" s="94"/>
      <c r="C128" s="94"/>
      <c r="D128" s="92"/>
      <c r="E128" s="92"/>
      <c r="F128" s="92"/>
      <c r="G128" s="92"/>
      <c r="H128" s="92"/>
      <c r="I128" s="92"/>
      <c r="J128" s="93"/>
      <c r="K128" s="92"/>
      <c r="L128" s="385" t="s">
        <v>13</v>
      </c>
      <c r="M128" s="379">
        <f>+M125+M122+M119</f>
        <v>652</v>
      </c>
      <c r="N128" s="379">
        <f t="shared" ref="N128:W128" si="126">+N125+N122+N119</f>
        <v>660</v>
      </c>
      <c r="O128" s="379">
        <f t="shared" si="126"/>
        <v>659</v>
      </c>
      <c r="P128" s="379">
        <f t="shared" si="126"/>
        <v>660</v>
      </c>
      <c r="Q128" s="379">
        <f t="shared" si="126"/>
        <v>659</v>
      </c>
      <c r="R128" s="379">
        <f t="shared" si="126"/>
        <v>656</v>
      </c>
      <c r="S128" s="379">
        <f t="shared" si="126"/>
        <v>656</v>
      </c>
      <c r="T128" s="379">
        <f t="shared" si="126"/>
        <v>656</v>
      </c>
      <c r="U128" s="379">
        <f t="shared" si="126"/>
        <v>656</v>
      </c>
      <c r="V128" s="379">
        <f t="shared" si="126"/>
        <v>0</v>
      </c>
      <c r="W128" s="379">
        <f t="shared" si="126"/>
        <v>0</v>
      </c>
      <c r="X128" s="340"/>
      <c r="Y128" s="340"/>
      <c r="Z128" s="340"/>
      <c r="AA128" s="340"/>
      <c r="AB128" s="91"/>
      <c r="AC128" s="91"/>
      <c r="AD128" s="91"/>
      <c r="AE128" s="95"/>
      <c r="AF128" s="155"/>
      <c r="AG128" s="155"/>
      <c r="AK128" s="183"/>
      <c r="AR128" s="434"/>
    </row>
    <row r="129" spans="2:44" s="98" customFormat="1" ht="62.25" thickTop="1" x14ac:dyDescent="0.9">
      <c r="B129" s="94"/>
      <c r="C129" s="94"/>
      <c r="D129" s="92"/>
      <c r="E129" s="92"/>
      <c r="F129" s="92"/>
      <c r="G129" s="92"/>
      <c r="H129" s="92"/>
      <c r="I129" s="92"/>
      <c r="J129" s="93"/>
      <c r="K129" s="92"/>
      <c r="L129" s="389"/>
      <c r="M129" s="340"/>
      <c r="N129" s="340"/>
      <c r="O129" s="340"/>
      <c r="P129" s="340"/>
      <c r="Q129" s="340"/>
      <c r="R129" s="340"/>
      <c r="S129" s="340"/>
      <c r="T129" s="340"/>
      <c r="U129" s="340"/>
      <c r="V129" s="340"/>
      <c r="W129" s="340"/>
      <c r="X129" s="340"/>
      <c r="Y129" s="340"/>
      <c r="Z129" s="340"/>
      <c r="AA129" s="340"/>
      <c r="AB129" s="91"/>
      <c r="AC129" s="91"/>
      <c r="AD129" s="91"/>
      <c r="AE129" s="95"/>
      <c r="AF129" s="158"/>
      <c r="AG129" s="158"/>
      <c r="AK129" s="183"/>
      <c r="AR129" s="434"/>
    </row>
    <row r="130" spans="2:44" x14ac:dyDescent="0.9">
      <c r="J130" s="91"/>
      <c r="K130" s="91"/>
      <c r="T130" s="515"/>
      <c r="U130" s="515"/>
      <c r="V130" s="515"/>
      <c r="AF130" s="158"/>
      <c r="AG130" s="158"/>
    </row>
    <row r="131" spans="2:44" ht="105" customHeight="1" x14ac:dyDescent="0.9">
      <c r="B131" s="426"/>
      <c r="AF131" s="158"/>
      <c r="AG131" s="158"/>
    </row>
    <row r="132" spans="2:44" s="98" customFormat="1" x14ac:dyDescent="0.9">
      <c r="B132" s="94"/>
      <c r="C132" s="94"/>
      <c r="D132" s="92"/>
      <c r="E132" s="92"/>
      <c r="F132" s="92"/>
      <c r="G132" s="92"/>
      <c r="H132" s="92"/>
      <c r="I132" s="92"/>
      <c r="J132" s="93"/>
      <c r="K132" s="92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5"/>
      <c r="AF132" s="158"/>
      <c r="AG132" s="158"/>
      <c r="AK132" s="183"/>
      <c r="AR132" s="434"/>
    </row>
    <row r="133" spans="2:44" s="98" customFormat="1" x14ac:dyDescent="0.9">
      <c r="B133" s="94"/>
      <c r="C133" s="94"/>
      <c r="D133" s="92"/>
      <c r="E133" s="92"/>
      <c r="F133" s="92"/>
      <c r="G133" s="92"/>
      <c r="H133" s="92"/>
      <c r="I133" s="91"/>
      <c r="J133" s="93"/>
      <c r="K133" s="92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8"/>
      <c r="AG133" s="158"/>
      <c r="AK133" s="183"/>
      <c r="AR133" s="434"/>
    </row>
    <row r="134" spans="2:44" s="98" customFormat="1" x14ac:dyDescent="0.9">
      <c r="B134" s="94"/>
      <c r="C134" s="94"/>
      <c r="D134" s="92"/>
      <c r="E134" s="92"/>
      <c r="F134" s="92"/>
      <c r="G134" s="92"/>
      <c r="H134" s="92"/>
      <c r="I134" s="92"/>
      <c r="J134" s="93"/>
      <c r="K134" s="92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5"/>
      <c r="AF134" s="158"/>
      <c r="AG134" s="158"/>
      <c r="AK134" s="183"/>
      <c r="AR134" s="434"/>
    </row>
    <row r="135" spans="2:44" s="98" customFormat="1" ht="66" customHeight="1" x14ac:dyDescent="0.9">
      <c r="B135" s="94"/>
      <c r="C135" s="94"/>
      <c r="D135" s="92"/>
      <c r="E135" s="92"/>
      <c r="F135" s="92"/>
      <c r="G135" s="92"/>
      <c r="H135" s="92"/>
      <c r="I135" s="92"/>
      <c r="J135" s="93"/>
      <c r="K135" s="92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5"/>
      <c r="AF135" s="158"/>
      <c r="AG135" s="158"/>
      <c r="AK135" s="183"/>
      <c r="AR135" s="434"/>
    </row>
    <row r="137" spans="2:44" s="92" customFormat="1" x14ac:dyDescent="0.7">
      <c r="B137" s="94"/>
      <c r="C137" s="94"/>
      <c r="D137" s="92">
        <v>2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5"/>
      <c r="AF137" s="155"/>
      <c r="AG137" s="155"/>
      <c r="AH137" s="98"/>
      <c r="AI137" s="98"/>
      <c r="AJ137" s="98"/>
      <c r="AK137" s="183"/>
      <c r="AL137" s="91"/>
      <c r="AM137" s="91"/>
      <c r="AR137" s="243"/>
    </row>
    <row r="138" spans="2:44" s="92" customFormat="1" x14ac:dyDescent="0.7">
      <c r="B138" s="94"/>
      <c r="C138" s="94"/>
      <c r="H138" s="92">
        <v>1</v>
      </c>
      <c r="J138" s="93"/>
      <c r="L138" s="99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5"/>
      <c r="AF138" s="155"/>
      <c r="AG138" s="155"/>
      <c r="AH138" s="98"/>
      <c r="AI138" s="98"/>
      <c r="AJ138" s="98"/>
      <c r="AK138" s="183"/>
      <c r="AL138" s="91"/>
      <c r="AM138" s="91"/>
      <c r="AR138" s="243"/>
    </row>
    <row r="139" spans="2:44" s="92" customFormat="1" x14ac:dyDescent="0.7">
      <c r="B139" s="94"/>
      <c r="C139" s="94"/>
      <c r="H139" s="92">
        <v>2</v>
      </c>
      <c r="J139" s="93"/>
      <c r="L139" s="99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5"/>
      <c r="AF139" s="155"/>
      <c r="AG139" s="155"/>
      <c r="AH139" s="98"/>
      <c r="AI139" s="98"/>
      <c r="AJ139" s="98"/>
      <c r="AK139" s="183"/>
      <c r="AL139" s="91"/>
      <c r="AM139" s="91"/>
      <c r="AR139" s="243"/>
    </row>
    <row r="140" spans="2:44" s="92" customFormat="1" x14ac:dyDescent="0.7">
      <c r="B140" s="94"/>
      <c r="C140" s="94"/>
      <c r="H140" s="92">
        <v>3</v>
      </c>
      <c r="J140" s="93"/>
      <c r="L140" s="99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5"/>
      <c r="AF140" s="155"/>
      <c r="AG140" s="155"/>
      <c r="AH140" s="98"/>
      <c r="AI140" s="98"/>
      <c r="AJ140" s="98"/>
      <c r="AK140" s="183"/>
      <c r="AL140" s="91"/>
      <c r="AM140" s="91"/>
      <c r="AR140" s="243"/>
    </row>
    <row r="141" spans="2:44" s="92" customFormat="1" x14ac:dyDescent="0.7">
      <c r="B141" s="94"/>
      <c r="C141" s="94"/>
      <c r="H141" s="92">
        <v>4</v>
      </c>
      <c r="J141" s="93"/>
      <c r="L141" s="99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5"/>
      <c r="AF141" s="155"/>
      <c r="AG141" s="155"/>
      <c r="AH141" s="98"/>
      <c r="AI141" s="98"/>
      <c r="AJ141" s="98"/>
      <c r="AK141" s="183"/>
      <c r="AL141" s="91"/>
      <c r="AM141" s="91"/>
      <c r="AR141" s="243"/>
    </row>
    <row r="142" spans="2:44" s="92" customFormat="1" x14ac:dyDescent="0.7">
      <c r="B142" s="94"/>
      <c r="C142" s="94"/>
      <c r="H142" s="92">
        <v>5</v>
      </c>
      <c r="J142" s="93"/>
      <c r="L142" s="99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5"/>
      <c r="AF142" s="155"/>
      <c r="AG142" s="155"/>
      <c r="AH142" s="98"/>
      <c r="AI142" s="98"/>
      <c r="AJ142" s="98"/>
      <c r="AK142" s="183"/>
      <c r="AL142" s="91"/>
      <c r="AM142" s="91"/>
      <c r="AR142" s="243"/>
    </row>
    <row r="143" spans="2:44" s="92" customFormat="1" x14ac:dyDescent="0.7">
      <c r="B143" s="94"/>
      <c r="C143" s="94"/>
      <c r="H143" s="92">
        <v>6</v>
      </c>
      <c r="J143" s="93"/>
      <c r="L143" s="99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5"/>
      <c r="AF143" s="155"/>
      <c r="AG143" s="155"/>
      <c r="AH143" s="98"/>
      <c r="AI143" s="98"/>
      <c r="AJ143" s="98"/>
      <c r="AK143" s="183"/>
      <c r="AL143" s="91"/>
      <c r="AM143" s="91"/>
      <c r="AR143" s="243"/>
    </row>
    <row r="144" spans="2:44" s="92" customFormat="1" x14ac:dyDescent="0.7">
      <c r="B144" s="94"/>
      <c r="C144" s="94"/>
      <c r="H144" s="92">
        <v>7</v>
      </c>
      <c r="J144" s="93"/>
      <c r="L144" s="99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5"/>
      <c r="AF144" s="155"/>
      <c r="AG144" s="155"/>
      <c r="AH144" s="98"/>
      <c r="AI144" s="98"/>
      <c r="AJ144" s="98"/>
      <c r="AK144" s="183"/>
      <c r="AL144" s="91"/>
      <c r="AM144" s="91"/>
      <c r="AR144" s="243"/>
    </row>
    <row r="145" spans="2:44" s="92" customFormat="1" x14ac:dyDescent="0.7">
      <c r="B145" s="94"/>
      <c r="C145" s="94"/>
      <c r="H145" s="92">
        <v>8</v>
      </c>
      <c r="J145" s="93"/>
      <c r="L145" s="99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5"/>
      <c r="AF145" s="155"/>
      <c r="AG145" s="155"/>
      <c r="AH145" s="98"/>
      <c r="AI145" s="98"/>
      <c r="AJ145" s="98"/>
      <c r="AK145" s="183"/>
      <c r="AL145" s="91"/>
      <c r="AM145" s="91"/>
      <c r="AR145" s="243"/>
    </row>
    <row r="146" spans="2:44" s="92" customFormat="1" x14ac:dyDescent="0.7">
      <c r="B146" s="94"/>
      <c r="C146" s="94"/>
      <c r="H146" s="92">
        <v>11</v>
      </c>
      <c r="J146" s="93"/>
      <c r="L146" s="99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5"/>
      <c r="AF146" s="155"/>
      <c r="AG146" s="155"/>
      <c r="AH146" s="98"/>
      <c r="AI146" s="98"/>
      <c r="AJ146" s="98"/>
      <c r="AK146" s="183"/>
      <c r="AL146" s="91"/>
      <c r="AM146" s="91"/>
      <c r="AR146" s="243"/>
    </row>
    <row r="147" spans="2:44" s="92" customFormat="1" x14ac:dyDescent="0.7">
      <c r="B147" s="94"/>
      <c r="C147" s="94"/>
      <c r="H147" s="92">
        <v>12</v>
      </c>
      <c r="J147" s="93"/>
      <c r="L147" s="99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5"/>
      <c r="AF147" s="155"/>
      <c r="AG147" s="155"/>
      <c r="AH147" s="98"/>
      <c r="AI147" s="98"/>
      <c r="AJ147" s="98"/>
      <c r="AK147" s="183"/>
      <c r="AL147" s="91"/>
      <c r="AM147" s="91"/>
      <c r="AR147" s="243"/>
    </row>
    <row r="148" spans="2:44" s="92" customFormat="1" x14ac:dyDescent="0.7">
      <c r="B148" s="94"/>
      <c r="C148" s="94"/>
      <c r="H148" s="92">
        <v>13</v>
      </c>
      <c r="J148" s="93"/>
      <c r="L148" s="99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5"/>
      <c r="AF148" s="155"/>
      <c r="AG148" s="155"/>
      <c r="AH148" s="98"/>
      <c r="AI148" s="98"/>
      <c r="AJ148" s="98"/>
      <c r="AK148" s="183"/>
      <c r="AL148" s="91"/>
      <c r="AM148" s="91"/>
      <c r="AR148" s="243"/>
    </row>
    <row r="149" spans="2:44" s="92" customFormat="1" x14ac:dyDescent="0.7">
      <c r="B149" s="94"/>
      <c r="C149" s="94"/>
      <c r="H149" s="92">
        <v>14</v>
      </c>
      <c r="J149" s="93"/>
      <c r="L149" s="99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5"/>
      <c r="AF149" s="155"/>
      <c r="AG149" s="155"/>
      <c r="AH149" s="98"/>
      <c r="AI149" s="98"/>
      <c r="AJ149" s="98"/>
      <c r="AK149" s="183"/>
      <c r="AL149" s="91"/>
      <c r="AM149" s="91"/>
      <c r="AR149" s="243"/>
    </row>
    <row r="150" spans="2:44" s="92" customFormat="1" x14ac:dyDescent="0.7">
      <c r="B150" s="94"/>
      <c r="C150" s="94"/>
      <c r="H150" s="92">
        <v>15</v>
      </c>
      <c r="J150" s="93"/>
      <c r="L150" s="99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  <c r="AC150" s="91"/>
      <c r="AD150" s="91"/>
      <c r="AE150" s="95"/>
      <c r="AF150" s="155"/>
      <c r="AG150" s="155"/>
      <c r="AH150" s="98"/>
      <c r="AI150" s="98"/>
      <c r="AJ150" s="98"/>
      <c r="AK150" s="183"/>
      <c r="AL150" s="91"/>
      <c r="AM150" s="91"/>
      <c r="AR150" s="243"/>
    </row>
    <row r="151" spans="2:44" s="92" customFormat="1" x14ac:dyDescent="0.7">
      <c r="B151" s="94"/>
      <c r="C151" s="94"/>
      <c r="H151" s="92">
        <v>17</v>
      </c>
      <c r="J151" s="93"/>
      <c r="L151" s="99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  <c r="AC151" s="91"/>
      <c r="AD151" s="91"/>
      <c r="AE151" s="95"/>
      <c r="AF151" s="155"/>
      <c r="AG151" s="155"/>
      <c r="AH151" s="98"/>
      <c r="AI151" s="98"/>
      <c r="AJ151" s="98"/>
      <c r="AK151" s="183"/>
      <c r="AL151" s="91"/>
      <c r="AM151" s="91"/>
      <c r="AR151" s="243"/>
    </row>
    <row r="152" spans="2:44" s="92" customFormat="1" x14ac:dyDescent="0.7">
      <c r="B152" s="94"/>
      <c r="C152" s="94"/>
      <c r="H152" s="92">
        <v>18</v>
      </c>
      <c r="J152" s="93"/>
      <c r="L152" s="99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  <c r="AC152" s="91"/>
      <c r="AD152" s="91"/>
      <c r="AE152" s="95"/>
      <c r="AF152" s="155"/>
      <c r="AG152" s="155"/>
      <c r="AH152" s="98"/>
      <c r="AI152" s="98"/>
      <c r="AJ152" s="98"/>
      <c r="AK152" s="183"/>
      <c r="AL152" s="91"/>
      <c r="AM152" s="91"/>
      <c r="AR152" s="243"/>
    </row>
    <row r="153" spans="2:44" s="92" customFormat="1" x14ac:dyDescent="0.7">
      <c r="B153" s="94"/>
      <c r="C153" s="94"/>
      <c r="H153" s="92">
        <v>19</v>
      </c>
      <c r="J153" s="93"/>
      <c r="L153" s="99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  <c r="AC153" s="91"/>
      <c r="AD153" s="91"/>
      <c r="AE153" s="95"/>
      <c r="AF153" s="155"/>
      <c r="AG153" s="155"/>
      <c r="AH153" s="98"/>
      <c r="AI153" s="98"/>
      <c r="AJ153" s="98"/>
      <c r="AK153" s="183"/>
      <c r="AL153" s="91"/>
      <c r="AM153" s="91"/>
      <c r="AR153" s="243"/>
    </row>
    <row r="209" spans="2:44" s="92" customFormat="1" x14ac:dyDescent="0.7">
      <c r="B209" s="94"/>
      <c r="C209" s="94"/>
      <c r="G209" s="92">
        <v>1</v>
      </c>
      <c r="J209" s="93"/>
      <c r="L209" s="99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  <c r="AC209" s="91"/>
      <c r="AD209" s="91"/>
      <c r="AE209" s="95"/>
      <c r="AF209" s="155"/>
      <c r="AG209" s="155"/>
      <c r="AH209" s="98"/>
      <c r="AI209" s="98"/>
      <c r="AJ209" s="98"/>
      <c r="AK209" s="183"/>
      <c r="AL209" s="91"/>
      <c r="AM209" s="91"/>
      <c r="AR209" s="243"/>
    </row>
  </sheetData>
  <sheetProtection algorithmName="SHA-512" hashValue="M0nu7pin3YV2W0blWV6CH8sJyxpGPcxl6wpFk0zNEYB6MMUvCqzODqx3XVJEsSlxqhZ2tX8cHoStQ/wclPn5aw==" saltValue="Mka2Eeap6g/YS/W3acc4nA==" spinCount="100000" sheet="1" autoFilter="0"/>
  <autoFilter ref="A5:CR113">
    <filterColumn colId="9" showButton="0"/>
  </autoFilter>
  <mergeCells count="79">
    <mergeCell ref="AW63:BF63"/>
    <mergeCell ref="AW75:BF75"/>
    <mergeCell ref="AD1:AE1"/>
    <mergeCell ref="AD2:AE3"/>
    <mergeCell ref="H3:I3"/>
    <mergeCell ref="K3:L3"/>
    <mergeCell ref="AW7:BF7"/>
    <mergeCell ref="B4:G4"/>
    <mergeCell ref="K4:L4"/>
    <mergeCell ref="AD4:AE4"/>
    <mergeCell ref="J5:K5"/>
    <mergeCell ref="G6:G9"/>
    <mergeCell ref="Z6:Z8"/>
    <mergeCell ref="G10:G13"/>
    <mergeCell ref="Z10:Z12"/>
    <mergeCell ref="AW11:BF11"/>
    <mergeCell ref="G14:G17"/>
    <mergeCell ref="Z14:Z16"/>
    <mergeCell ref="AW15:BF15"/>
    <mergeCell ref="G22:G25"/>
    <mergeCell ref="Z22:Z24"/>
    <mergeCell ref="AW23:BF23"/>
    <mergeCell ref="AW19:BF19"/>
    <mergeCell ref="G18:G21"/>
    <mergeCell ref="Z18:Z20"/>
    <mergeCell ref="G26:G29"/>
    <mergeCell ref="Z26:Z28"/>
    <mergeCell ref="G30:G33"/>
    <mergeCell ref="Z30:Z32"/>
    <mergeCell ref="G34:G37"/>
    <mergeCell ref="Z34:Z36"/>
    <mergeCell ref="G38:G41"/>
    <mergeCell ref="Z38:Z40"/>
    <mergeCell ref="G42:G45"/>
    <mergeCell ref="Z42:Z44"/>
    <mergeCell ref="G46:G49"/>
    <mergeCell ref="Z46:Z48"/>
    <mergeCell ref="G70:G73"/>
    <mergeCell ref="Z70:Z72"/>
    <mergeCell ref="AW47:BF47"/>
    <mergeCell ref="G50:G53"/>
    <mergeCell ref="Z50:Z52"/>
    <mergeCell ref="AW51:BF51"/>
    <mergeCell ref="G54:G57"/>
    <mergeCell ref="Z54:Z56"/>
    <mergeCell ref="AW55:BF55"/>
    <mergeCell ref="G58:G61"/>
    <mergeCell ref="Z58:Z60"/>
    <mergeCell ref="G62:G65"/>
    <mergeCell ref="G66:G69"/>
    <mergeCell ref="Z66:Z68"/>
    <mergeCell ref="AW67:BF67"/>
    <mergeCell ref="Z62:Z64"/>
    <mergeCell ref="G98:G101"/>
    <mergeCell ref="Z98:Z100"/>
    <mergeCell ref="G102:G105"/>
    <mergeCell ref="Z102:Z104"/>
    <mergeCell ref="G86:G89"/>
    <mergeCell ref="Z86:Z88"/>
    <mergeCell ref="G90:G93"/>
    <mergeCell ref="Z90:Z92"/>
    <mergeCell ref="G94:G97"/>
    <mergeCell ref="Z94:Z96"/>
    <mergeCell ref="AW95:BG95"/>
    <mergeCell ref="AW87:BF87"/>
    <mergeCell ref="AW91:BG91"/>
    <mergeCell ref="G74:G77"/>
    <mergeCell ref="Z74:Z76"/>
    <mergeCell ref="G78:G81"/>
    <mergeCell ref="Z78:Z80"/>
    <mergeCell ref="G82:G85"/>
    <mergeCell ref="Z82:Z84"/>
    <mergeCell ref="G106:G109"/>
    <mergeCell ref="Z106:Z108"/>
    <mergeCell ref="Z115:AA115"/>
    <mergeCell ref="Z117:AA117"/>
    <mergeCell ref="T130:V130"/>
    <mergeCell ref="G110:G113"/>
    <mergeCell ref="Z110:Z112"/>
  </mergeCells>
  <conditionalFormatting sqref="AD2:AE3">
    <cfRule type="cellIs" dxfId="12112" priority="698" operator="lessThan">
      <formula>0.85</formula>
    </cfRule>
  </conditionalFormatting>
  <conditionalFormatting sqref="AM1:AM5 AM114:AM1048576">
    <cfRule type="cellIs" dxfId="12111" priority="697" operator="notEqual">
      <formula>0</formula>
    </cfRule>
  </conditionalFormatting>
  <conditionalFormatting sqref="AQ114:AQ116 AQ6 AQ62">
    <cfRule type="cellIs" dxfId="12110" priority="696" operator="lessThan">
      <formula>0</formula>
    </cfRule>
  </conditionalFormatting>
  <conditionalFormatting sqref="X114:Y114 X58:X65 X86:X109 X70:X81">
    <cfRule type="cellIs" dxfId="12109" priority="695" operator="lessThan">
      <formula>0</formula>
    </cfRule>
  </conditionalFormatting>
  <conditionalFormatting sqref="AM26:AM29">
    <cfRule type="cellIs" dxfId="12108" priority="693" operator="notEqual">
      <formula>0</formula>
    </cfRule>
  </conditionalFormatting>
  <conditionalFormatting sqref="I28">
    <cfRule type="cellIs" dxfId="12107" priority="692" operator="greaterThan">
      <formula>0</formula>
    </cfRule>
  </conditionalFormatting>
  <conditionalFormatting sqref="AQ6 AQ8:AQ9">
    <cfRule type="cellIs" dxfId="12106" priority="691" operator="lessThan">
      <formula>0</formula>
    </cfRule>
  </conditionalFormatting>
  <conditionalFormatting sqref="J28">
    <cfRule type="cellIs" dxfId="12105" priority="690" operator="greaterThan">
      <formula>0</formula>
    </cfRule>
  </conditionalFormatting>
  <conditionalFormatting sqref="AM78:AM81">
    <cfRule type="cellIs" dxfId="12104" priority="688" operator="notEqual">
      <formula>0</formula>
    </cfRule>
  </conditionalFormatting>
  <conditionalFormatting sqref="I80">
    <cfRule type="cellIs" dxfId="12103" priority="687" operator="greaterThan">
      <formula>0</formula>
    </cfRule>
  </conditionalFormatting>
  <conditionalFormatting sqref="AM22:AM25">
    <cfRule type="cellIs" dxfId="12102" priority="685" operator="notEqual">
      <formula>0</formula>
    </cfRule>
  </conditionalFormatting>
  <conditionalFormatting sqref="I24">
    <cfRule type="cellIs" dxfId="12101" priority="684" operator="greaterThan">
      <formula>0</formula>
    </cfRule>
  </conditionalFormatting>
  <conditionalFormatting sqref="J24">
    <cfRule type="cellIs" dxfId="12100" priority="683" operator="greaterThan">
      <formula>0</formula>
    </cfRule>
  </conditionalFormatting>
  <conditionalFormatting sqref="AM6:AM9">
    <cfRule type="cellIs" dxfId="12099" priority="682" operator="notEqual">
      <formula>0</formula>
    </cfRule>
  </conditionalFormatting>
  <conditionalFormatting sqref="I8">
    <cfRule type="cellIs" dxfId="12098" priority="681" operator="greaterThan">
      <formula>0</formula>
    </cfRule>
  </conditionalFormatting>
  <conditionalFormatting sqref="AQ6 AQ8:AQ9">
    <cfRule type="cellIs" dxfId="12097" priority="680" operator="lessThan">
      <formula>0</formula>
    </cfRule>
  </conditionalFormatting>
  <conditionalFormatting sqref="AM14:AM17">
    <cfRule type="cellIs" dxfId="12096" priority="678" operator="notEqual">
      <formula>0</formula>
    </cfRule>
  </conditionalFormatting>
  <conditionalFormatting sqref="I16">
    <cfRule type="cellIs" dxfId="12095" priority="677" operator="greaterThan">
      <formula>0</formula>
    </cfRule>
  </conditionalFormatting>
  <conditionalFormatting sqref="AM46:AM49">
    <cfRule type="cellIs" dxfId="12094" priority="675" operator="notEqual">
      <formula>0</formula>
    </cfRule>
  </conditionalFormatting>
  <conditionalFormatting sqref="I48">
    <cfRule type="cellIs" dxfId="12093" priority="674" operator="greaterThan">
      <formula>0</formula>
    </cfRule>
  </conditionalFormatting>
  <conditionalFormatting sqref="AM98:AM101">
    <cfRule type="cellIs" dxfId="12092" priority="672" operator="notEqual">
      <formula>0</formula>
    </cfRule>
  </conditionalFormatting>
  <conditionalFormatting sqref="I100">
    <cfRule type="cellIs" dxfId="12091" priority="671" operator="greaterThan">
      <formula>0</formula>
    </cfRule>
  </conditionalFormatting>
  <conditionalFormatting sqref="AM70:AM73">
    <cfRule type="cellIs" dxfId="12090" priority="669" operator="notEqual">
      <formula>0</formula>
    </cfRule>
  </conditionalFormatting>
  <conditionalFormatting sqref="I72">
    <cfRule type="cellIs" dxfId="12089" priority="668" operator="greaterThan">
      <formula>0</formula>
    </cfRule>
  </conditionalFormatting>
  <conditionalFormatting sqref="J72">
    <cfRule type="cellIs" dxfId="12088" priority="667" operator="greaterThan">
      <formula>0</formula>
    </cfRule>
  </conditionalFormatting>
  <conditionalFormatting sqref="AQ6 AQ8:AQ9">
    <cfRule type="cellIs" dxfId="12087" priority="666" operator="lessThan">
      <formula>0</formula>
    </cfRule>
  </conditionalFormatting>
  <conditionalFormatting sqref="AQ6 AQ8:AQ9">
    <cfRule type="cellIs" dxfId="12086" priority="665" operator="lessThan">
      <formula>0</formula>
    </cfRule>
  </conditionalFormatting>
  <conditionalFormatting sqref="J100">
    <cfRule type="cellIs" dxfId="12085" priority="664" operator="greaterThan">
      <formula>0</formula>
    </cfRule>
  </conditionalFormatting>
  <conditionalFormatting sqref="J48">
    <cfRule type="cellIs" dxfId="12084" priority="663" operator="greaterThan">
      <formula>0</formula>
    </cfRule>
  </conditionalFormatting>
  <conditionalFormatting sqref="AM74:AM77">
    <cfRule type="cellIs" dxfId="12083" priority="661" operator="notEqual">
      <formula>0</formula>
    </cfRule>
  </conditionalFormatting>
  <conditionalFormatting sqref="I76">
    <cfRule type="cellIs" dxfId="12082" priority="660" operator="greaterThan">
      <formula>0</formula>
    </cfRule>
  </conditionalFormatting>
  <conditionalFormatting sqref="J76">
    <cfRule type="cellIs" dxfId="12081" priority="659" operator="greaterThan">
      <formula>0</formula>
    </cfRule>
  </conditionalFormatting>
  <conditionalFormatting sqref="AM86:AM89">
    <cfRule type="cellIs" dxfId="12080" priority="657" operator="notEqual">
      <formula>0</formula>
    </cfRule>
  </conditionalFormatting>
  <conditionalFormatting sqref="I88">
    <cfRule type="cellIs" dxfId="12079" priority="656" operator="greaterThan">
      <formula>0</formula>
    </cfRule>
  </conditionalFormatting>
  <conditionalFormatting sqref="AM90:AM93">
    <cfRule type="cellIs" dxfId="12078" priority="654" operator="notEqual">
      <formula>0</formula>
    </cfRule>
  </conditionalFormatting>
  <conditionalFormatting sqref="I92">
    <cfRule type="cellIs" dxfId="12077" priority="653" operator="greaterThan">
      <formula>0</formula>
    </cfRule>
  </conditionalFormatting>
  <conditionalFormatting sqref="AM106:AM109">
    <cfRule type="cellIs" dxfId="12076" priority="651" operator="notEqual">
      <formula>0</formula>
    </cfRule>
  </conditionalFormatting>
  <conditionalFormatting sqref="I108">
    <cfRule type="cellIs" dxfId="12075" priority="650" operator="greaterThan">
      <formula>0</formula>
    </cfRule>
  </conditionalFormatting>
  <conditionalFormatting sqref="J88">
    <cfRule type="cellIs" dxfId="12074" priority="649" operator="greaterThan">
      <formula>0</formula>
    </cfRule>
  </conditionalFormatting>
  <conditionalFormatting sqref="J92">
    <cfRule type="cellIs" dxfId="12073" priority="648" operator="greaterThan">
      <formula>0</formula>
    </cfRule>
  </conditionalFormatting>
  <conditionalFormatting sqref="J108">
    <cfRule type="cellIs" dxfId="12072" priority="647" operator="greaterThan">
      <formula>0</formula>
    </cfRule>
  </conditionalFormatting>
  <conditionalFormatting sqref="AM34:AM37">
    <cfRule type="cellIs" dxfId="12071" priority="645" operator="notEqual">
      <formula>0</formula>
    </cfRule>
  </conditionalFormatting>
  <conditionalFormatting sqref="I36">
    <cfRule type="cellIs" dxfId="12070" priority="644" operator="greaterThan">
      <formula>0</formula>
    </cfRule>
  </conditionalFormatting>
  <conditionalFormatting sqref="J36">
    <cfRule type="cellIs" dxfId="12069" priority="643" operator="greaterThan">
      <formula>0</formula>
    </cfRule>
  </conditionalFormatting>
  <conditionalFormatting sqref="J16">
    <cfRule type="cellIs" dxfId="12068" priority="642" operator="greaterThan">
      <formula>0</formula>
    </cfRule>
  </conditionalFormatting>
  <conditionalFormatting sqref="AM62:AM65">
    <cfRule type="cellIs" dxfId="12067" priority="640" operator="notEqual">
      <formula>0</formula>
    </cfRule>
  </conditionalFormatting>
  <conditionalFormatting sqref="I64">
    <cfRule type="cellIs" dxfId="12066" priority="639" operator="greaterThan">
      <formula>0</formula>
    </cfRule>
  </conditionalFormatting>
  <conditionalFormatting sqref="J64">
    <cfRule type="cellIs" dxfId="12065" priority="638" operator="greaterThan">
      <formula>0</formula>
    </cfRule>
  </conditionalFormatting>
  <conditionalFormatting sqref="AM50:AM53">
    <cfRule type="cellIs" dxfId="12064" priority="636" operator="notEqual">
      <formula>0</formula>
    </cfRule>
  </conditionalFormatting>
  <conditionalFormatting sqref="I52">
    <cfRule type="cellIs" dxfId="12063" priority="635" operator="greaterThan">
      <formula>0</formula>
    </cfRule>
  </conditionalFormatting>
  <conditionalFormatting sqref="AM38:AM41">
    <cfRule type="cellIs" dxfId="12062" priority="633" operator="notEqual">
      <formula>0</formula>
    </cfRule>
  </conditionalFormatting>
  <conditionalFormatting sqref="I40">
    <cfRule type="cellIs" dxfId="12061" priority="632" operator="greaterThan">
      <formula>0</formula>
    </cfRule>
  </conditionalFormatting>
  <conditionalFormatting sqref="J40">
    <cfRule type="cellIs" dxfId="12060" priority="631" operator="greaterThan">
      <formula>0</formula>
    </cfRule>
  </conditionalFormatting>
  <conditionalFormatting sqref="J8">
    <cfRule type="cellIs" dxfId="12059" priority="630" operator="greaterThan">
      <formula>0</formula>
    </cfRule>
  </conditionalFormatting>
  <conditionalFormatting sqref="J80">
    <cfRule type="cellIs" dxfId="12058" priority="629" operator="greaterThan">
      <formula>0</formula>
    </cfRule>
  </conditionalFormatting>
  <conditionalFormatting sqref="AQ8:AQ9">
    <cfRule type="cellIs" dxfId="12057" priority="628" operator="lessThan">
      <formula>0</formula>
    </cfRule>
  </conditionalFormatting>
  <conditionalFormatting sqref="AQ8:AQ9">
    <cfRule type="cellIs" dxfId="12056" priority="627" operator="lessThan">
      <formula>0</formula>
    </cfRule>
  </conditionalFormatting>
  <conditionalFormatting sqref="AQ8:AQ9">
    <cfRule type="cellIs" dxfId="12055" priority="626" operator="lessThan">
      <formula>0</formula>
    </cfRule>
  </conditionalFormatting>
  <conditionalFormatting sqref="AQ8:AQ9">
    <cfRule type="cellIs" dxfId="12054" priority="625" operator="lessThan">
      <formula>0</formula>
    </cfRule>
  </conditionalFormatting>
  <conditionalFormatting sqref="AQ7">
    <cfRule type="cellIs" dxfId="12053" priority="624" operator="lessThan">
      <formula>0</formula>
    </cfRule>
  </conditionalFormatting>
  <conditionalFormatting sqref="AQ7">
    <cfRule type="cellIs" dxfId="12052" priority="623" operator="lessThan">
      <formula>0</formula>
    </cfRule>
  </conditionalFormatting>
  <conditionalFormatting sqref="AQ7">
    <cfRule type="cellIs" dxfId="12051" priority="622" operator="lessThan">
      <formula>0</formula>
    </cfRule>
  </conditionalFormatting>
  <conditionalFormatting sqref="AQ7">
    <cfRule type="cellIs" dxfId="12050" priority="621" operator="lessThan">
      <formula>0</formula>
    </cfRule>
  </conditionalFormatting>
  <conditionalFormatting sqref="AQ7">
    <cfRule type="cellIs" dxfId="12049" priority="620" operator="lessThan">
      <formula>0</formula>
    </cfRule>
  </conditionalFormatting>
  <conditionalFormatting sqref="AQ7">
    <cfRule type="cellIs" dxfId="12048" priority="619" operator="lessThan">
      <formula>0</formula>
    </cfRule>
  </conditionalFormatting>
  <conditionalFormatting sqref="AQ7">
    <cfRule type="cellIs" dxfId="12047" priority="618" operator="lessThan">
      <formula>0</formula>
    </cfRule>
  </conditionalFormatting>
  <conditionalFormatting sqref="AQ7">
    <cfRule type="cellIs" dxfId="12046" priority="617" operator="lessThan">
      <formula>0</formula>
    </cfRule>
  </conditionalFormatting>
  <conditionalFormatting sqref="AQ7">
    <cfRule type="cellIs" dxfId="12045" priority="616" operator="lessThan">
      <formula>0</formula>
    </cfRule>
  </conditionalFormatting>
  <conditionalFormatting sqref="AQ7">
    <cfRule type="cellIs" dxfId="12044" priority="615" operator="lessThan">
      <formula>0</formula>
    </cfRule>
  </conditionalFormatting>
  <conditionalFormatting sqref="AQ7">
    <cfRule type="cellIs" dxfId="12043" priority="614" operator="lessThan">
      <formula>0</formula>
    </cfRule>
  </conditionalFormatting>
  <conditionalFormatting sqref="AQ7">
    <cfRule type="cellIs" dxfId="12042" priority="613" operator="lessThan">
      <formula>0</formula>
    </cfRule>
  </conditionalFormatting>
  <conditionalFormatting sqref="AQ7">
    <cfRule type="cellIs" dxfId="12041" priority="612" operator="lessThan">
      <formula>0</formula>
    </cfRule>
  </conditionalFormatting>
  <conditionalFormatting sqref="AQ7">
    <cfRule type="cellIs" dxfId="12040" priority="611" operator="lessThan">
      <formula>0</formula>
    </cfRule>
  </conditionalFormatting>
  <conditionalFormatting sqref="AQ7">
    <cfRule type="cellIs" dxfId="12039" priority="610" operator="lessThan">
      <formula>0</formula>
    </cfRule>
  </conditionalFormatting>
  <conditionalFormatting sqref="AQ7">
    <cfRule type="cellIs" dxfId="12038" priority="609" operator="lessThan">
      <formula>0</formula>
    </cfRule>
  </conditionalFormatting>
  <conditionalFormatting sqref="AM58:AM61">
    <cfRule type="cellIs" dxfId="12037" priority="607" operator="notEqual">
      <formula>0</formula>
    </cfRule>
  </conditionalFormatting>
  <conditionalFormatting sqref="I60">
    <cfRule type="cellIs" dxfId="12036" priority="606" operator="greaterThan">
      <formula>0</formula>
    </cfRule>
  </conditionalFormatting>
  <conditionalFormatting sqref="J60">
    <cfRule type="cellIs" dxfId="12035" priority="605" operator="greaterThan">
      <formula>0</formula>
    </cfRule>
  </conditionalFormatting>
  <conditionalFormatting sqref="AQ7">
    <cfRule type="cellIs" dxfId="12034" priority="589" operator="lessThan">
      <formula>0</formula>
    </cfRule>
  </conditionalFormatting>
  <conditionalFormatting sqref="AQ6 AQ10 AQ14 AQ22 AQ26 AQ30 AQ34 AQ38 AQ42 AQ46 AQ50 AQ54 AQ58 AQ62 AQ70 AQ74 AQ78 AQ82 AQ86 AQ90 AQ94 AQ98 AQ102 AQ106">
    <cfRule type="cellIs" dxfId="12033" priority="588" operator="lessThan">
      <formula>0</formula>
    </cfRule>
  </conditionalFormatting>
  <conditionalFormatting sqref="AQ6 AQ8:AQ10 AQ12:AQ14 AQ16:AQ17 AQ24:AQ26 AQ28:AQ30 AQ32:AQ34 AQ36:AQ38 AQ40:AQ42 AQ44:AQ46 AQ48:AQ50 AQ52:AQ54 AQ56:AQ58 AQ60:AQ62 AQ64:AQ65 AQ72:AQ74 AQ76:AQ78 AQ80:AQ82 AQ84:AQ86 AQ88:AQ90 AQ92:AQ94 AQ96:AQ98 AQ100:AQ102 AQ104:AQ106 AQ108:AQ109 AQ22 AQ70">
    <cfRule type="cellIs" dxfId="12032" priority="587" operator="lessThan">
      <formula>0</formula>
    </cfRule>
  </conditionalFormatting>
  <conditionalFormatting sqref="AQ6 AQ8:AQ10 AQ12:AQ14 AQ16:AQ17 AQ24:AQ26 AQ28:AQ30 AQ32:AQ34 AQ36:AQ38 AQ40:AQ42 AQ44:AQ46 AQ48:AQ50 AQ52:AQ54 AQ56:AQ58 AQ60:AQ62 AQ64:AQ65 AQ72:AQ74 AQ76:AQ78 AQ80:AQ82 AQ84:AQ86 AQ88:AQ90 AQ92:AQ94 AQ96:AQ98 AQ100:AQ102 AQ104:AQ106 AQ108:AQ109 AQ22 AQ70">
    <cfRule type="cellIs" dxfId="12031" priority="586" operator="lessThan">
      <formula>0</formula>
    </cfRule>
  </conditionalFormatting>
  <conditionalFormatting sqref="AQ6 AQ8:AQ10 AQ12:AQ14 AQ16:AQ17 AQ24:AQ26 AQ28:AQ30 AQ32:AQ34 AQ36:AQ38 AQ40:AQ42 AQ44:AQ46 AQ48:AQ50 AQ52:AQ54 AQ56:AQ58 AQ60:AQ62 AQ64:AQ65 AQ72:AQ74 AQ76:AQ78 AQ80:AQ82 AQ84:AQ86 AQ88:AQ90 AQ92:AQ94 AQ96:AQ98 AQ100:AQ102 AQ104:AQ106 AQ108:AQ109 AQ22 AQ70">
    <cfRule type="cellIs" dxfId="12030" priority="585" operator="lessThan">
      <formula>0</formula>
    </cfRule>
  </conditionalFormatting>
  <conditionalFormatting sqref="AQ6 AQ8:AQ10 AQ12:AQ14 AQ16:AQ17 AQ24:AQ26 AQ28:AQ30 AQ32:AQ34 AQ36:AQ38 AQ40:AQ42 AQ44:AQ46 AQ48:AQ50 AQ52:AQ54 AQ56:AQ58 AQ60:AQ62 AQ64:AQ65 AQ72:AQ74 AQ76:AQ78 AQ80:AQ82 AQ84:AQ86 AQ88:AQ90 AQ92:AQ94 AQ96:AQ98 AQ100:AQ102 AQ104:AQ106 AQ108:AQ109 AQ22 AQ70">
    <cfRule type="cellIs" dxfId="12029" priority="584" operator="lessThan">
      <formula>0</formula>
    </cfRule>
  </conditionalFormatting>
  <conditionalFormatting sqref="AQ8:AQ9 AQ12:AQ13 AQ16:AQ17 AQ24:AQ25 AQ28:AQ29 AQ32:AQ33 AQ36:AQ37 AQ40:AQ41 AQ44:AQ45 AQ48:AQ49 AQ52:AQ53 AQ56:AQ57 AQ60:AQ61 AQ64:AQ65 AQ72:AQ73 AQ76:AQ77 AQ80:AQ81 AQ84:AQ85 AQ88:AQ89 AQ92:AQ93 AQ96:AQ97 AQ100:AQ101 AQ104:AQ105 AQ108:AQ109">
    <cfRule type="cellIs" dxfId="12028" priority="583" operator="lessThan">
      <formula>0</formula>
    </cfRule>
  </conditionalFormatting>
  <conditionalFormatting sqref="AQ8:AQ9 AQ12:AQ13 AQ16:AQ17 AQ24:AQ25 AQ28:AQ29 AQ32:AQ33 AQ36:AQ37 AQ40:AQ41 AQ44:AQ45 AQ48:AQ49 AQ52:AQ53 AQ56:AQ57 AQ60:AQ61 AQ64:AQ65 AQ72:AQ73 AQ76:AQ77 AQ80:AQ81 AQ84:AQ85 AQ88:AQ89 AQ92:AQ93 AQ96:AQ97 AQ100:AQ101 AQ104:AQ105 AQ108:AQ109">
    <cfRule type="cellIs" dxfId="12027" priority="582" operator="lessThan">
      <formula>0</formula>
    </cfRule>
  </conditionalFormatting>
  <conditionalFormatting sqref="AQ8:AQ9 AQ12:AQ13 AQ16:AQ17 AQ24:AQ25 AQ28:AQ29 AQ32:AQ33 AQ36:AQ37 AQ40:AQ41 AQ44:AQ45 AQ48:AQ49 AQ52:AQ53 AQ56:AQ57 AQ60:AQ61 AQ64:AQ65 AQ72:AQ73 AQ76:AQ77 AQ80:AQ81 AQ84:AQ85 AQ88:AQ89 AQ92:AQ93 AQ96:AQ97 AQ100:AQ101 AQ104:AQ105 AQ108:AQ109">
    <cfRule type="cellIs" dxfId="12026" priority="581" operator="lessThan">
      <formula>0</formula>
    </cfRule>
  </conditionalFormatting>
  <conditionalFormatting sqref="AQ8:AQ9 AQ12:AQ13 AQ16:AQ17 AQ24:AQ25 AQ28:AQ29 AQ32:AQ33 AQ36:AQ37 AQ40:AQ41 AQ44:AQ45 AQ48:AQ49 AQ52:AQ53 AQ56:AQ57 AQ60:AQ61 AQ64:AQ65 AQ72:AQ73 AQ76:AQ77 AQ80:AQ81 AQ84:AQ85 AQ88:AQ89 AQ92:AQ93 AQ96:AQ97 AQ100:AQ101 AQ104:AQ105 AQ108:AQ109">
    <cfRule type="cellIs" dxfId="12025" priority="580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24" priority="579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23" priority="578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22" priority="577" operator="lessThan">
      <formula>0</formula>
    </cfRule>
  </conditionalFormatting>
  <conditionalFormatting sqref="AQ7">
    <cfRule type="cellIs" dxfId="12021" priority="604" operator="lessThan">
      <formula>0</formula>
    </cfRule>
  </conditionalFormatting>
  <conditionalFormatting sqref="AQ7">
    <cfRule type="cellIs" dxfId="12020" priority="603" operator="lessThan">
      <formula>0</formula>
    </cfRule>
  </conditionalFormatting>
  <conditionalFormatting sqref="AQ7">
    <cfRule type="cellIs" dxfId="12019" priority="602" operator="lessThan">
      <formula>0</formula>
    </cfRule>
  </conditionalFormatting>
  <conditionalFormatting sqref="AQ7">
    <cfRule type="cellIs" dxfId="12018" priority="601" operator="lessThan">
      <formula>0</formula>
    </cfRule>
  </conditionalFormatting>
  <conditionalFormatting sqref="AQ7">
    <cfRule type="cellIs" dxfId="12017" priority="600" operator="lessThan">
      <formula>0</formula>
    </cfRule>
  </conditionalFormatting>
  <conditionalFormatting sqref="AQ7">
    <cfRule type="cellIs" dxfId="12016" priority="599" operator="lessThan">
      <formula>0</formula>
    </cfRule>
  </conditionalFormatting>
  <conditionalFormatting sqref="AQ7">
    <cfRule type="cellIs" dxfId="12015" priority="598" operator="lessThan">
      <formula>0</formula>
    </cfRule>
  </conditionalFormatting>
  <conditionalFormatting sqref="AQ7">
    <cfRule type="cellIs" dxfId="12014" priority="597" operator="lessThan">
      <formula>0</formula>
    </cfRule>
  </conditionalFormatting>
  <conditionalFormatting sqref="AQ7">
    <cfRule type="cellIs" dxfId="12013" priority="596" operator="lessThan">
      <formula>0</formula>
    </cfRule>
  </conditionalFormatting>
  <conditionalFormatting sqref="AQ7">
    <cfRule type="cellIs" dxfId="12012" priority="595" operator="lessThan">
      <formula>0</formula>
    </cfRule>
  </conditionalFormatting>
  <conditionalFormatting sqref="AQ7">
    <cfRule type="cellIs" dxfId="12011" priority="594" operator="lessThan">
      <formula>0</formula>
    </cfRule>
  </conditionalFormatting>
  <conditionalFormatting sqref="AQ7">
    <cfRule type="cellIs" dxfId="12010" priority="593" operator="lessThan">
      <formula>0</formula>
    </cfRule>
  </conditionalFormatting>
  <conditionalFormatting sqref="AQ7">
    <cfRule type="cellIs" dxfId="12009" priority="592" operator="lessThan">
      <formula>0</formula>
    </cfRule>
  </conditionalFormatting>
  <conditionalFormatting sqref="AQ7">
    <cfRule type="cellIs" dxfId="12008" priority="591" operator="lessThan">
      <formula>0</formula>
    </cfRule>
  </conditionalFormatting>
  <conditionalFormatting sqref="AQ7">
    <cfRule type="cellIs" dxfId="12007" priority="590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06" priority="576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05" priority="575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04" priority="574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03" priority="573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02" priority="572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01" priority="571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2000" priority="570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9" priority="569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8" priority="568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7" priority="567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6" priority="566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5" priority="565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4" priority="564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3" priority="563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2" priority="562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1" priority="561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90" priority="560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9" priority="559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8" priority="558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7" priority="557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6" priority="556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5" priority="555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4" priority="554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3" priority="553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2" priority="552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1" priority="551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80" priority="550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79" priority="549" operator="lessThan">
      <formula>0</formula>
    </cfRule>
  </conditionalFormatting>
  <conditionalFormatting sqref="AQ7 AQ15 AQ23 AQ27 AQ35 AQ39 AQ43 AQ47 AQ51 AQ55 AQ59 AQ63 AQ71 AQ75 AQ79 AQ83 AQ87 AQ91 AQ95 AQ99 AQ103 AQ107 AQ11 AQ31">
    <cfRule type="cellIs" dxfId="11978" priority="548" operator="lessThan">
      <formula>0</formula>
    </cfRule>
  </conditionalFormatting>
  <conditionalFormatting sqref="AQ10">
    <cfRule type="cellIs" dxfId="11977" priority="547" operator="lessThan">
      <formula>0</formula>
    </cfRule>
  </conditionalFormatting>
  <conditionalFormatting sqref="AQ10 AQ12:AQ13">
    <cfRule type="cellIs" dxfId="11976" priority="546" operator="lessThan">
      <formula>0</formula>
    </cfRule>
  </conditionalFormatting>
  <conditionalFormatting sqref="AM10:AM13">
    <cfRule type="cellIs" dxfId="11975" priority="545" operator="notEqual">
      <formula>0</formula>
    </cfRule>
  </conditionalFormatting>
  <conditionalFormatting sqref="I12">
    <cfRule type="cellIs" dxfId="11974" priority="544" operator="greaterThan">
      <formula>0</formula>
    </cfRule>
  </conditionalFormatting>
  <conditionalFormatting sqref="AQ10 AQ12:AQ13">
    <cfRule type="cellIs" dxfId="11973" priority="543" operator="lessThan">
      <formula>0</formula>
    </cfRule>
  </conditionalFormatting>
  <conditionalFormatting sqref="AQ10 AQ12:AQ13">
    <cfRule type="cellIs" dxfId="11972" priority="542" operator="lessThan">
      <formula>0</formula>
    </cfRule>
  </conditionalFormatting>
  <conditionalFormatting sqref="AQ10 AQ12:AQ13">
    <cfRule type="cellIs" dxfId="11971" priority="541" operator="lessThan">
      <formula>0</formula>
    </cfRule>
  </conditionalFormatting>
  <conditionalFormatting sqref="J12">
    <cfRule type="cellIs" dxfId="11970" priority="540" operator="greaterThan">
      <formula>0</formula>
    </cfRule>
  </conditionalFormatting>
  <conditionalFormatting sqref="AQ12:AQ13">
    <cfRule type="cellIs" dxfId="11969" priority="539" operator="lessThan">
      <formula>0</formula>
    </cfRule>
  </conditionalFormatting>
  <conditionalFormatting sqref="AQ12:AQ13">
    <cfRule type="cellIs" dxfId="11968" priority="538" operator="lessThan">
      <formula>0</formula>
    </cfRule>
  </conditionalFormatting>
  <conditionalFormatting sqref="AQ12:AQ13">
    <cfRule type="cellIs" dxfId="11967" priority="537" operator="lessThan">
      <formula>0</formula>
    </cfRule>
  </conditionalFormatting>
  <conditionalFormatting sqref="AQ12:AQ13">
    <cfRule type="cellIs" dxfId="11966" priority="536" operator="lessThan">
      <formula>0</formula>
    </cfRule>
  </conditionalFormatting>
  <conditionalFormatting sqref="AQ11">
    <cfRule type="cellIs" dxfId="11965" priority="535" operator="lessThan">
      <formula>0</formula>
    </cfRule>
  </conditionalFormatting>
  <conditionalFormatting sqref="AQ11">
    <cfRule type="cellIs" dxfId="11964" priority="534" operator="lessThan">
      <formula>0</formula>
    </cfRule>
  </conditionalFormatting>
  <conditionalFormatting sqref="AQ11">
    <cfRule type="cellIs" dxfId="11963" priority="533" operator="lessThan">
      <formula>0</formula>
    </cfRule>
  </conditionalFormatting>
  <conditionalFormatting sqref="AQ11">
    <cfRule type="cellIs" dxfId="11962" priority="532" operator="lessThan">
      <formula>0</formula>
    </cfRule>
  </conditionalFormatting>
  <conditionalFormatting sqref="AQ11">
    <cfRule type="cellIs" dxfId="11961" priority="531" operator="lessThan">
      <formula>0</formula>
    </cfRule>
  </conditionalFormatting>
  <conditionalFormatting sqref="AQ11">
    <cfRule type="cellIs" dxfId="11960" priority="530" operator="lessThan">
      <formula>0</formula>
    </cfRule>
  </conditionalFormatting>
  <conditionalFormatting sqref="AQ11">
    <cfRule type="cellIs" dxfId="11959" priority="529" operator="lessThan">
      <formula>0</formula>
    </cfRule>
  </conditionalFormatting>
  <conditionalFormatting sqref="AQ11">
    <cfRule type="cellIs" dxfId="11958" priority="528" operator="lessThan">
      <formula>0</formula>
    </cfRule>
  </conditionalFormatting>
  <conditionalFormatting sqref="AQ11">
    <cfRule type="cellIs" dxfId="11957" priority="527" operator="lessThan">
      <formula>0</formula>
    </cfRule>
  </conditionalFormatting>
  <conditionalFormatting sqref="AQ11">
    <cfRule type="cellIs" dxfId="11956" priority="526" operator="lessThan">
      <formula>0</formula>
    </cfRule>
  </conditionalFormatting>
  <conditionalFormatting sqref="AQ11">
    <cfRule type="cellIs" dxfId="11955" priority="525" operator="lessThan">
      <formula>0</formula>
    </cfRule>
  </conditionalFormatting>
  <conditionalFormatting sqref="AQ11">
    <cfRule type="cellIs" dxfId="11954" priority="524" operator="lessThan">
      <formula>0</formula>
    </cfRule>
  </conditionalFormatting>
  <conditionalFormatting sqref="AQ11">
    <cfRule type="cellIs" dxfId="11953" priority="523" operator="lessThan">
      <formula>0</formula>
    </cfRule>
  </conditionalFormatting>
  <conditionalFormatting sqref="AQ11">
    <cfRule type="cellIs" dxfId="11952" priority="522" operator="lessThan">
      <formula>0</formula>
    </cfRule>
  </conditionalFormatting>
  <conditionalFormatting sqref="AQ11">
    <cfRule type="cellIs" dxfId="11951" priority="521" operator="lessThan">
      <formula>0</formula>
    </cfRule>
  </conditionalFormatting>
  <conditionalFormatting sqref="AQ11">
    <cfRule type="cellIs" dxfId="11950" priority="520" operator="lessThan">
      <formula>0</formula>
    </cfRule>
  </conditionalFormatting>
  <conditionalFormatting sqref="AQ11">
    <cfRule type="cellIs" dxfId="11949" priority="504" operator="lessThan">
      <formula>0</formula>
    </cfRule>
  </conditionalFormatting>
  <conditionalFormatting sqref="AQ11">
    <cfRule type="cellIs" dxfId="11948" priority="519" operator="lessThan">
      <formula>0</formula>
    </cfRule>
  </conditionalFormatting>
  <conditionalFormatting sqref="AQ11">
    <cfRule type="cellIs" dxfId="11947" priority="518" operator="lessThan">
      <formula>0</formula>
    </cfRule>
  </conditionalFormatting>
  <conditionalFormatting sqref="AQ11">
    <cfRule type="cellIs" dxfId="11946" priority="517" operator="lessThan">
      <formula>0</formula>
    </cfRule>
  </conditionalFormatting>
  <conditionalFormatting sqref="AQ11">
    <cfRule type="cellIs" dxfId="11945" priority="516" operator="lessThan">
      <formula>0</formula>
    </cfRule>
  </conditionalFormatting>
  <conditionalFormatting sqref="AQ11">
    <cfRule type="cellIs" dxfId="11944" priority="515" operator="lessThan">
      <formula>0</formula>
    </cfRule>
  </conditionalFormatting>
  <conditionalFormatting sqref="AQ11">
    <cfRule type="cellIs" dxfId="11943" priority="514" operator="lessThan">
      <formula>0</formula>
    </cfRule>
  </conditionalFormatting>
  <conditionalFormatting sqref="AQ11">
    <cfRule type="cellIs" dxfId="11942" priority="513" operator="lessThan">
      <formula>0</formula>
    </cfRule>
  </conditionalFormatting>
  <conditionalFormatting sqref="AQ11">
    <cfRule type="cellIs" dxfId="11941" priority="512" operator="lessThan">
      <formula>0</formula>
    </cfRule>
  </conditionalFormatting>
  <conditionalFormatting sqref="AQ11">
    <cfRule type="cellIs" dxfId="11940" priority="511" operator="lessThan">
      <formula>0</formula>
    </cfRule>
  </conditionalFormatting>
  <conditionalFormatting sqref="AQ11">
    <cfRule type="cellIs" dxfId="11939" priority="510" operator="lessThan">
      <formula>0</formula>
    </cfRule>
  </conditionalFormatting>
  <conditionalFormatting sqref="AQ11">
    <cfRule type="cellIs" dxfId="11938" priority="509" operator="lessThan">
      <formula>0</formula>
    </cfRule>
  </conditionalFormatting>
  <conditionalFormatting sqref="AQ11">
    <cfRule type="cellIs" dxfId="11937" priority="508" operator="lessThan">
      <formula>0</formula>
    </cfRule>
  </conditionalFormatting>
  <conditionalFormatting sqref="AQ11">
    <cfRule type="cellIs" dxfId="11936" priority="507" operator="lessThan">
      <formula>0</formula>
    </cfRule>
  </conditionalFormatting>
  <conditionalFormatting sqref="AQ11">
    <cfRule type="cellIs" dxfId="11935" priority="506" operator="lessThan">
      <formula>0</formula>
    </cfRule>
  </conditionalFormatting>
  <conditionalFormatting sqref="AQ11">
    <cfRule type="cellIs" dxfId="11934" priority="505" operator="lessThan">
      <formula>0</formula>
    </cfRule>
  </conditionalFormatting>
  <conditionalFormatting sqref="AM30:AM33">
    <cfRule type="cellIs" dxfId="11933" priority="501" operator="notEqual">
      <formula>0</formula>
    </cfRule>
  </conditionalFormatting>
  <conditionalFormatting sqref="I32">
    <cfRule type="cellIs" dxfId="11932" priority="500" operator="greaterThan">
      <formula>0</formula>
    </cfRule>
  </conditionalFormatting>
  <conditionalFormatting sqref="J32">
    <cfRule type="cellIs" dxfId="11931" priority="499" operator="greaterThan">
      <formula>0</formula>
    </cfRule>
  </conditionalFormatting>
  <conditionalFormatting sqref="AQ30">
    <cfRule type="cellIs" dxfId="11930" priority="498" operator="lessThan">
      <formula>0</formula>
    </cfRule>
  </conditionalFormatting>
  <conditionalFormatting sqref="AQ30 AQ32:AQ33">
    <cfRule type="cellIs" dxfId="11929" priority="497" operator="lessThan">
      <formula>0</formula>
    </cfRule>
  </conditionalFormatting>
  <conditionalFormatting sqref="AQ30 AQ32:AQ33">
    <cfRule type="cellIs" dxfId="11928" priority="496" operator="lessThan">
      <formula>0</formula>
    </cfRule>
  </conditionalFormatting>
  <conditionalFormatting sqref="AQ30 AQ32:AQ33">
    <cfRule type="cellIs" dxfId="11927" priority="495" operator="lessThan">
      <formula>0</formula>
    </cfRule>
  </conditionalFormatting>
  <conditionalFormatting sqref="AQ30 AQ32:AQ33">
    <cfRule type="cellIs" dxfId="11926" priority="494" operator="lessThan">
      <formula>0</formula>
    </cfRule>
  </conditionalFormatting>
  <conditionalFormatting sqref="AQ32:AQ33">
    <cfRule type="cellIs" dxfId="11925" priority="493" operator="lessThan">
      <formula>0</formula>
    </cfRule>
  </conditionalFormatting>
  <conditionalFormatting sqref="AQ32:AQ33">
    <cfRule type="cellIs" dxfId="11924" priority="492" operator="lessThan">
      <formula>0</formula>
    </cfRule>
  </conditionalFormatting>
  <conditionalFormatting sqref="AQ32:AQ33">
    <cfRule type="cellIs" dxfId="11923" priority="491" operator="lessThan">
      <formula>0</formula>
    </cfRule>
  </conditionalFormatting>
  <conditionalFormatting sqref="AQ32:AQ33">
    <cfRule type="cellIs" dxfId="11922" priority="490" operator="lessThan">
      <formula>0</formula>
    </cfRule>
  </conditionalFormatting>
  <conditionalFormatting sqref="AQ31">
    <cfRule type="cellIs" dxfId="11921" priority="489" operator="lessThan">
      <formula>0</formula>
    </cfRule>
  </conditionalFormatting>
  <conditionalFormatting sqref="AQ31">
    <cfRule type="cellIs" dxfId="11920" priority="488" operator="lessThan">
      <formula>0</formula>
    </cfRule>
  </conditionalFormatting>
  <conditionalFormatting sqref="AQ31">
    <cfRule type="cellIs" dxfId="11919" priority="487" operator="lessThan">
      <formula>0</formula>
    </cfRule>
  </conditionalFormatting>
  <conditionalFormatting sqref="AQ31">
    <cfRule type="cellIs" dxfId="11918" priority="486" operator="lessThan">
      <formula>0</formula>
    </cfRule>
  </conditionalFormatting>
  <conditionalFormatting sqref="AQ31">
    <cfRule type="cellIs" dxfId="11917" priority="485" operator="lessThan">
      <formula>0</formula>
    </cfRule>
  </conditionalFormatting>
  <conditionalFormatting sqref="AQ31">
    <cfRule type="cellIs" dxfId="11916" priority="484" operator="lessThan">
      <formula>0</formula>
    </cfRule>
  </conditionalFormatting>
  <conditionalFormatting sqref="AQ31">
    <cfRule type="cellIs" dxfId="11915" priority="483" operator="lessThan">
      <formula>0</formula>
    </cfRule>
  </conditionalFormatting>
  <conditionalFormatting sqref="AQ31">
    <cfRule type="cellIs" dxfId="11914" priority="482" operator="lessThan">
      <formula>0</formula>
    </cfRule>
  </conditionalFormatting>
  <conditionalFormatting sqref="AQ31">
    <cfRule type="cellIs" dxfId="11913" priority="481" operator="lessThan">
      <formula>0</formula>
    </cfRule>
  </conditionalFormatting>
  <conditionalFormatting sqref="AQ31">
    <cfRule type="cellIs" dxfId="11912" priority="480" operator="lessThan">
      <formula>0</formula>
    </cfRule>
  </conditionalFormatting>
  <conditionalFormatting sqref="AQ31">
    <cfRule type="cellIs" dxfId="11911" priority="479" operator="lessThan">
      <formula>0</formula>
    </cfRule>
  </conditionalFormatting>
  <conditionalFormatting sqref="AQ31">
    <cfRule type="cellIs" dxfId="11910" priority="478" operator="lessThan">
      <formula>0</formula>
    </cfRule>
  </conditionalFormatting>
  <conditionalFormatting sqref="AQ31">
    <cfRule type="cellIs" dxfId="11909" priority="477" operator="lessThan">
      <formula>0</formula>
    </cfRule>
  </conditionalFormatting>
  <conditionalFormatting sqref="AQ31">
    <cfRule type="cellIs" dxfId="11908" priority="476" operator="lessThan">
      <formula>0</formula>
    </cfRule>
  </conditionalFormatting>
  <conditionalFormatting sqref="AQ31">
    <cfRule type="cellIs" dxfId="11907" priority="475" operator="lessThan">
      <formula>0</formula>
    </cfRule>
  </conditionalFormatting>
  <conditionalFormatting sqref="AQ31">
    <cfRule type="cellIs" dxfId="11906" priority="474" operator="lessThan">
      <formula>0</formula>
    </cfRule>
  </conditionalFormatting>
  <conditionalFormatting sqref="AQ31">
    <cfRule type="cellIs" dxfId="11905" priority="473" operator="lessThan">
      <formula>0</formula>
    </cfRule>
  </conditionalFormatting>
  <conditionalFormatting sqref="AQ31">
    <cfRule type="cellIs" dxfId="11904" priority="472" operator="lessThan">
      <formula>0</formula>
    </cfRule>
  </conditionalFormatting>
  <conditionalFormatting sqref="AQ31">
    <cfRule type="cellIs" dxfId="11903" priority="471" operator="lessThan">
      <formula>0</formula>
    </cfRule>
  </conditionalFormatting>
  <conditionalFormatting sqref="AQ31">
    <cfRule type="cellIs" dxfId="11902" priority="470" operator="lessThan">
      <formula>0</formula>
    </cfRule>
  </conditionalFormatting>
  <conditionalFormatting sqref="AQ31">
    <cfRule type="cellIs" dxfId="11901" priority="469" operator="lessThan">
      <formula>0</formula>
    </cfRule>
  </conditionalFormatting>
  <conditionalFormatting sqref="AQ31">
    <cfRule type="cellIs" dxfId="11900" priority="468" operator="lessThan">
      <formula>0</formula>
    </cfRule>
  </conditionalFormatting>
  <conditionalFormatting sqref="AQ31">
    <cfRule type="cellIs" dxfId="11899" priority="467" operator="lessThan">
      <formula>0</formula>
    </cfRule>
  </conditionalFormatting>
  <conditionalFormatting sqref="AQ31">
    <cfRule type="cellIs" dxfId="11898" priority="466" operator="lessThan">
      <formula>0</formula>
    </cfRule>
  </conditionalFormatting>
  <conditionalFormatting sqref="AQ31">
    <cfRule type="cellIs" dxfId="11897" priority="465" operator="lessThan">
      <formula>0</formula>
    </cfRule>
  </conditionalFormatting>
  <conditionalFormatting sqref="AQ31">
    <cfRule type="cellIs" dxfId="11896" priority="464" operator="lessThan">
      <formula>0</formula>
    </cfRule>
  </conditionalFormatting>
  <conditionalFormatting sqref="AQ31">
    <cfRule type="cellIs" dxfId="11895" priority="463" operator="lessThan">
      <formula>0</formula>
    </cfRule>
  </conditionalFormatting>
  <conditionalFormatting sqref="AQ31">
    <cfRule type="cellIs" dxfId="11894" priority="462" operator="lessThan">
      <formula>0</formula>
    </cfRule>
  </conditionalFormatting>
  <conditionalFormatting sqref="AQ31">
    <cfRule type="cellIs" dxfId="11893" priority="461" operator="lessThan">
      <formula>0</formula>
    </cfRule>
  </conditionalFormatting>
  <conditionalFormatting sqref="AQ31">
    <cfRule type="cellIs" dxfId="11892" priority="460" operator="lessThan">
      <formula>0</formula>
    </cfRule>
  </conditionalFormatting>
  <conditionalFormatting sqref="AQ31">
    <cfRule type="cellIs" dxfId="11891" priority="459" operator="lessThan">
      <formula>0</formula>
    </cfRule>
  </conditionalFormatting>
  <conditionalFormatting sqref="AQ31">
    <cfRule type="cellIs" dxfId="11890" priority="458" operator="lessThan">
      <formula>0</formula>
    </cfRule>
  </conditionalFormatting>
  <conditionalFormatting sqref="AM102:AM105">
    <cfRule type="cellIs" dxfId="11889" priority="456" operator="notEqual">
      <formula>0</formula>
    </cfRule>
  </conditionalFormatting>
  <conditionalFormatting sqref="I104">
    <cfRule type="cellIs" dxfId="11888" priority="455" operator="greaterThan">
      <formula>0</formula>
    </cfRule>
  </conditionalFormatting>
  <conditionalFormatting sqref="J104">
    <cfRule type="cellIs" dxfId="11887" priority="454" operator="greaterThan">
      <formula>0</formula>
    </cfRule>
  </conditionalFormatting>
  <conditionalFormatting sqref="AQ102">
    <cfRule type="cellIs" dxfId="11886" priority="453" operator="lessThan">
      <formula>0</formula>
    </cfRule>
  </conditionalFormatting>
  <conditionalFormatting sqref="AQ102 AQ104:AQ105">
    <cfRule type="cellIs" dxfId="11885" priority="452" operator="lessThan">
      <formula>0</formula>
    </cfRule>
  </conditionalFormatting>
  <conditionalFormatting sqref="AQ102 AQ104:AQ105">
    <cfRule type="cellIs" dxfId="11884" priority="451" operator="lessThan">
      <formula>0</formula>
    </cfRule>
  </conditionalFormatting>
  <conditionalFormatting sqref="AQ102 AQ104:AQ105">
    <cfRule type="cellIs" dxfId="11883" priority="450" operator="lessThan">
      <formula>0</formula>
    </cfRule>
  </conditionalFormatting>
  <conditionalFormatting sqref="AQ102 AQ104:AQ105">
    <cfRule type="cellIs" dxfId="11882" priority="449" operator="lessThan">
      <formula>0</formula>
    </cfRule>
  </conditionalFormatting>
  <conditionalFormatting sqref="AQ104:AQ105">
    <cfRule type="cellIs" dxfId="11881" priority="448" operator="lessThan">
      <formula>0</formula>
    </cfRule>
  </conditionalFormatting>
  <conditionalFormatting sqref="AQ104:AQ105">
    <cfRule type="cellIs" dxfId="11880" priority="447" operator="lessThan">
      <formula>0</formula>
    </cfRule>
  </conditionalFormatting>
  <conditionalFormatting sqref="AQ104:AQ105">
    <cfRule type="cellIs" dxfId="11879" priority="446" operator="lessThan">
      <formula>0</formula>
    </cfRule>
  </conditionalFormatting>
  <conditionalFormatting sqref="AQ104:AQ105">
    <cfRule type="cellIs" dxfId="11878" priority="445" operator="lessThan">
      <formula>0</formula>
    </cfRule>
  </conditionalFormatting>
  <conditionalFormatting sqref="AQ103">
    <cfRule type="cellIs" dxfId="11877" priority="444" operator="lessThan">
      <formula>0</formula>
    </cfRule>
  </conditionalFormatting>
  <conditionalFormatting sqref="AQ103">
    <cfRule type="cellIs" dxfId="11876" priority="443" operator="lessThan">
      <formula>0</formula>
    </cfRule>
  </conditionalFormatting>
  <conditionalFormatting sqref="AQ103">
    <cfRule type="cellIs" dxfId="11875" priority="442" operator="lessThan">
      <formula>0</formula>
    </cfRule>
  </conditionalFormatting>
  <conditionalFormatting sqref="AQ103">
    <cfRule type="cellIs" dxfId="11874" priority="441" operator="lessThan">
      <formula>0</formula>
    </cfRule>
  </conditionalFormatting>
  <conditionalFormatting sqref="AQ103">
    <cfRule type="cellIs" dxfId="11873" priority="440" operator="lessThan">
      <formula>0</formula>
    </cfRule>
  </conditionalFormatting>
  <conditionalFormatting sqref="AQ103">
    <cfRule type="cellIs" dxfId="11872" priority="439" operator="lessThan">
      <formula>0</formula>
    </cfRule>
  </conditionalFormatting>
  <conditionalFormatting sqref="AQ103">
    <cfRule type="cellIs" dxfId="11871" priority="438" operator="lessThan">
      <formula>0</formula>
    </cfRule>
  </conditionalFormatting>
  <conditionalFormatting sqref="AQ103">
    <cfRule type="cellIs" dxfId="11870" priority="437" operator="lessThan">
      <formula>0</formula>
    </cfRule>
  </conditionalFormatting>
  <conditionalFormatting sqref="AQ103">
    <cfRule type="cellIs" dxfId="11869" priority="436" operator="lessThan">
      <formula>0</formula>
    </cfRule>
  </conditionalFormatting>
  <conditionalFormatting sqref="AQ103">
    <cfRule type="cellIs" dxfId="11868" priority="435" operator="lessThan">
      <formula>0</formula>
    </cfRule>
  </conditionalFormatting>
  <conditionalFormatting sqref="AQ103">
    <cfRule type="cellIs" dxfId="11867" priority="434" operator="lessThan">
      <formula>0</formula>
    </cfRule>
  </conditionalFormatting>
  <conditionalFormatting sqref="AQ103">
    <cfRule type="cellIs" dxfId="11866" priority="433" operator="lessThan">
      <formula>0</formula>
    </cfRule>
  </conditionalFormatting>
  <conditionalFormatting sqref="AQ103">
    <cfRule type="cellIs" dxfId="11865" priority="432" operator="lessThan">
      <formula>0</formula>
    </cfRule>
  </conditionalFormatting>
  <conditionalFormatting sqref="AQ103">
    <cfRule type="cellIs" dxfId="11864" priority="431" operator="lessThan">
      <formula>0</formula>
    </cfRule>
  </conditionalFormatting>
  <conditionalFormatting sqref="AQ103">
    <cfRule type="cellIs" dxfId="11863" priority="430" operator="lessThan">
      <formula>0</formula>
    </cfRule>
  </conditionalFormatting>
  <conditionalFormatting sqref="AQ103">
    <cfRule type="cellIs" dxfId="11862" priority="429" operator="lessThan">
      <formula>0</formula>
    </cfRule>
  </conditionalFormatting>
  <conditionalFormatting sqref="AQ103">
    <cfRule type="cellIs" dxfId="11861" priority="428" operator="lessThan">
      <formula>0</formula>
    </cfRule>
  </conditionalFormatting>
  <conditionalFormatting sqref="AQ103">
    <cfRule type="cellIs" dxfId="11860" priority="427" operator="lessThan">
      <formula>0</formula>
    </cfRule>
  </conditionalFormatting>
  <conditionalFormatting sqref="AQ103">
    <cfRule type="cellIs" dxfId="11859" priority="426" operator="lessThan">
      <formula>0</formula>
    </cfRule>
  </conditionalFormatting>
  <conditionalFormatting sqref="AQ103">
    <cfRule type="cellIs" dxfId="11858" priority="425" operator="lessThan">
      <formula>0</formula>
    </cfRule>
  </conditionalFormatting>
  <conditionalFormatting sqref="AQ103">
    <cfRule type="cellIs" dxfId="11857" priority="424" operator="lessThan">
      <formula>0</formula>
    </cfRule>
  </conditionalFormatting>
  <conditionalFormatting sqref="AQ103">
    <cfRule type="cellIs" dxfId="11856" priority="423" operator="lessThan">
      <formula>0</formula>
    </cfRule>
  </conditionalFormatting>
  <conditionalFormatting sqref="AQ103">
    <cfRule type="cellIs" dxfId="11855" priority="422" operator="lessThan">
      <formula>0</formula>
    </cfRule>
  </conditionalFormatting>
  <conditionalFormatting sqref="AQ103">
    <cfRule type="cellIs" dxfId="11854" priority="421" operator="lessThan">
      <formula>0</formula>
    </cfRule>
  </conditionalFormatting>
  <conditionalFormatting sqref="AQ103">
    <cfRule type="cellIs" dxfId="11853" priority="420" operator="lessThan">
      <formula>0</formula>
    </cfRule>
  </conditionalFormatting>
  <conditionalFormatting sqref="AQ103">
    <cfRule type="cellIs" dxfId="11852" priority="419" operator="lessThan">
      <formula>0</formula>
    </cfRule>
  </conditionalFormatting>
  <conditionalFormatting sqref="AQ103">
    <cfRule type="cellIs" dxfId="11851" priority="418" operator="lessThan">
      <formula>0</formula>
    </cfRule>
  </conditionalFormatting>
  <conditionalFormatting sqref="AQ103">
    <cfRule type="cellIs" dxfId="11850" priority="417" operator="lessThan">
      <formula>0</formula>
    </cfRule>
  </conditionalFormatting>
  <conditionalFormatting sqref="AQ103">
    <cfRule type="cellIs" dxfId="11849" priority="416" operator="lessThan">
      <formula>0</formula>
    </cfRule>
  </conditionalFormatting>
  <conditionalFormatting sqref="AQ103">
    <cfRule type="cellIs" dxfId="11848" priority="415" operator="lessThan">
      <formula>0</formula>
    </cfRule>
  </conditionalFormatting>
  <conditionalFormatting sqref="AQ103">
    <cfRule type="cellIs" dxfId="11847" priority="414" operator="lessThan">
      <formula>0</formula>
    </cfRule>
  </conditionalFormatting>
  <conditionalFormatting sqref="AQ103">
    <cfRule type="cellIs" dxfId="11846" priority="413" operator="lessThan">
      <formula>0</formula>
    </cfRule>
  </conditionalFormatting>
  <conditionalFormatting sqref="Y7">
    <cfRule type="iconSet" priority="411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11845" priority="410" operator="lessThan">
      <formula>0</formula>
    </cfRule>
  </conditionalFormatting>
  <conditionalFormatting sqref="Y6:Y8">
    <cfRule type="cellIs" dxfId="11844" priority="409" operator="lessThan">
      <formula>0</formula>
    </cfRule>
  </conditionalFormatting>
  <conditionalFormatting sqref="AM94:AM97">
    <cfRule type="cellIs" dxfId="11843" priority="407" operator="notEqual">
      <formula>0</formula>
    </cfRule>
  </conditionalFormatting>
  <conditionalFormatting sqref="I96">
    <cfRule type="cellIs" dxfId="11842" priority="406" operator="greaterThan">
      <formula>0</formula>
    </cfRule>
  </conditionalFormatting>
  <conditionalFormatting sqref="J96">
    <cfRule type="cellIs" dxfId="11841" priority="405" operator="greaterThan">
      <formula>0</formula>
    </cfRule>
  </conditionalFormatting>
  <conditionalFormatting sqref="AQ94">
    <cfRule type="cellIs" dxfId="11840" priority="404" operator="lessThan">
      <formula>0</formula>
    </cfRule>
  </conditionalFormatting>
  <conditionalFormatting sqref="AQ94 AQ96:AQ97">
    <cfRule type="cellIs" dxfId="11839" priority="403" operator="lessThan">
      <formula>0</formula>
    </cfRule>
  </conditionalFormatting>
  <conditionalFormatting sqref="AQ94 AQ96:AQ97">
    <cfRule type="cellIs" dxfId="11838" priority="402" operator="lessThan">
      <formula>0</formula>
    </cfRule>
  </conditionalFormatting>
  <conditionalFormatting sqref="AQ94 AQ96:AQ97">
    <cfRule type="cellIs" dxfId="11837" priority="401" operator="lessThan">
      <formula>0</formula>
    </cfRule>
  </conditionalFormatting>
  <conditionalFormatting sqref="AQ94 AQ96:AQ97">
    <cfRule type="cellIs" dxfId="11836" priority="400" operator="lessThan">
      <formula>0</formula>
    </cfRule>
  </conditionalFormatting>
  <conditionalFormatting sqref="AQ96:AQ97">
    <cfRule type="cellIs" dxfId="11835" priority="399" operator="lessThan">
      <formula>0</formula>
    </cfRule>
  </conditionalFormatting>
  <conditionalFormatting sqref="AQ96:AQ97">
    <cfRule type="cellIs" dxfId="11834" priority="398" operator="lessThan">
      <formula>0</formula>
    </cfRule>
  </conditionalFormatting>
  <conditionalFormatting sqref="AQ96:AQ97">
    <cfRule type="cellIs" dxfId="11833" priority="397" operator="lessThan">
      <formula>0</formula>
    </cfRule>
  </conditionalFormatting>
  <conditionalFormatting sqref="AQ96:AQ97">
    <cfRule type="cellIs" dxfId="11832" priority="396" operator="lessThan">
      <formula>0</formula>
    </cfRule>
  </conditionalFormatting>
  <conditionalFormatting sqref="AQ95">
    <cfRule type="cellIs" dxfId="11831" priority="395" operator="lessThan">
      <formula>0</formula>
    </cfRule>
  </conditionalFormatting>
  <conditionalFormatting sqref="AQ95">
    <cfRule type="cellIs" dxfId="11830" priority="394" operator="lessThan">
      <formula>0</formula>
    </cfRule>
  </conditionalFormatting>
  <conditionalFormatting sqref="AQ95">
    <cfRule type="cellIs" dxfId="11829" priority="393" operator="lessThan">
      <formula>0</formula>
    </cfRule>
  </conditionalFormatting>
  <conditionalFormatting sqref="AQ95">
    <cfRule type="cellIs" dxfId="11828" priority="392" operator="lessThan">
      <formula>0</formula>
    </cfRule>
  </conditionalFormatting>
  <conditionalFormatting sqref="AQ95">
    <cfRule type="cellIs" dxfId="11827" priority="391" operator="lessThan">
      <formula>0</formula>
    </cfRule>
  </conditionalFormatting>
  <conditionalFormatting sqref="AQ95">
    <cfRule type="cellIs" dxfId="11826" priority="390" operator="lessThan">
      <formula>0</formula>
    </cfRule>
  </conditionalFormatting>
  <conditionalFormatting sqref="AQ95">
    <cfRule type="cellIs" dxfId="11825" priority="389" operator="lessThan">
      <formula>0</formula>
    </cfRule>
  </conditionalFormatting>
  <conditionalFormatting sqref="AQ95">
    <cfRule type="cellIs" dxfId="11824" priority="388" operator="lessThan">
      <formula>0</formula>
    </cfRule>
  </conditionalFormatting>
  <conditionalFormatting sqref="AQ95">
    <cfRule type="cellIs" dxfId="11823" priority="387" operator="lessThan">
      <formula>0</formula>
    </cfRule>
  </conditionalFormatting>
  <conditionalFormatting sqref="AQ95">
    <cfRule type="cellIs" dxfId="11822" priority="386" operator="lessThan">
      <formula>0</formula>
    </cfRule>
  </conditionalFormatting>
  <conditionalFormatting sqref="AQ95">
    <cfRule type="cellIs" dxfId="11821" priority="385" operator="lessThan">
      <formula>0</formula>
    </cfRule>
  </conditionalFormatting>
  <conditionalFormatting sqref="AQ95">
    <cfRule type="cellIs" dxfId="11820" priority="384" operator="lessThan">
      <formula>0</formula>
    </cfRule>
  </conditionalFormatting>
  <conditionalFormatting sqref="AQ95">
    <cfRule type="cellIs" dxfId="11819" priority="383" operator="lessThan">
      <formula>0</formula>
    </cfRule>
  </conditionalFormatting>
  <conditionalFormatting sqref="AQ95">
    <cfRule type="cellIs" dxfId="11818" priority="382" operator="lessThan">
      <formula>0</formula>
    </cfRule>
  </conditionalFormatting>
  <conditionalFormatting sqref="AQ95">
    <cfRule type="cellIs" dxfId="11817" priority="381" operator="lessThan">
      <formula>0</formula>
    </cfRule>
  </conditionalFormatting>
  <conditionalFormatting sqref="AQ95">
    <cfRule type="cellIs" dxfId="11816" priority="380" operator="lessThan">
      <formula>0</formula>
    </cfRule>
  </conditionalFormatting>
  <conditionalFormatting sqref="AQ95">
    <cfRule type="cellIs" dxfId="11815" priority="379" operator="lessThan">
      <formula>0</formula>
    </cfRule>
  </conditionalFormatting>
  <conditionalFormatting sqref="AQ95">
    <cfRule type="cellIs" dxfId="11814" priority="378" operator="lessThan">
      <formula>0</formula>
    </cfRule>
  </conditionalFormatting>
  <conditionalFormatting sqref="AQ95">
    <cfRule type="cellIs" dxfId="11813" priority="377" operator="lessThan">
      <formula>0</formula>
    </cfRule>
  </conditionalFormatting>
  <conditionalFormatting sqref="AQ95">
    <cfRule type="cellIs" dxfId="11812" priority="376" operator="lessThan">
      <formula>0</formula>
    </cfRule>
  </conditionalFormatting>
  <conditionalFormatting sqref="AQ95">
    <cfRule type="cellIs" dxfId="11811" priority="375" operator="lessThan">
      <formula>0</formula>
    </cfRule>
  </conditionalFormatting>
  <conditionalFormatting sqref="AQ95">
    <cfRule type="cellIs" dxfId="11810" priority="374" operator="lessThan">
      <formula>0</formula>
    </cfRule>
  </conditionalFormatting>
  <conditionalFormatting sqref="AQ95">
    <cfRule type="cellIs" dxfId="11809" priority="373" operator="lessThan">
      <formula>0</formula>
    </cfRule>
  </conditionalFormatting>
  <conditionalFormatting sqref="AQ95">
    <cfRule type="cellIs" dxfId="11808" priority="372" operator="lessThan">
      <formula>0</formula>
    </cfRule>
  </conditionalFormatting>
  <conditionalFormatting sqref="AQ95">
    <cfRule type="cellIs" dxfId="11807" priority="371" operator="lessThan">
      <formula>0</formula>
    </cfRule>
  </conditionalFormatting>
  <conditionalFormatting sqref="AQ95">
    <cfRule type="cellIs" dxfId="11806" priority="370" operator="lessThan">
      <formula>0</formula>
    </cfRule>
  </conditionalFormatting>
  <conditionalFormatting sqref="AQ95">
    <cfRule type="cellIs" dxfId="11805" priority="369" operator="lessThan">
      <formula>0</formula>
    </cfRule>
  </conditionalFormatting>
  <conditionalFormatting sqref="AQ95">
    <cfRule type="cellIs" dxfId="11804" priority="368" operator="lessThan">
      <formula>0</formula>
    </cfRule>
  </conditionalFormatting>
  <conditionalFormatting sqref="AQ95">
    <cfRule type="cellIs" dxfId="11803" priority="367" operator="lessThan">
      <formula>0</formula>
    </cfRule>
  </conditionalFormatting>
  <conditionalFormatting sqref="AQ95">
    <cfRule type="cellIs" dxfId="11802" priority="366" operator="lessThan">
      <formula>0</formula>
    </cfRule>
  </conditionalFormatting>
  <conditionalFormatting sqref="AQ95">
    <cfRule type="cellIs" dxfId="11801" priority="365" operator="lessThan">
      <formula>0</formula>
    </cfRule>
  </conditionalFormatting>
  <conditionalFormatting sqref="AQ95">
    <cfRule type="cellIs" dxfId="11800" priority="364" operator="lessThan">
      <formula>0</formula>
    </cfRule>
  </conditionalFormatting>
  <conditionalFormatting sqref="Y9">
    <cfRule type="cellIs" dxfId="11799" priority="363" operator="lessThan">
      <formula>0</formula>
    </cfRule>
  </conditionalFormatting>
  <conditionalFormatting sqref="Y63 Y11 Y15 Y23 Y27 Y31 Y35 Y39 Y47 Y51 Y59 Y71 Y75 Y79 Y87 Y91 Y95 Y99 Y103 Y107">
    <cfRule type="iconSet" priority="362">
      <iconSet>
        <cfvo type="percent" val="0"/>
        <cfvo type="percent" val="&quot;$I$6&quot;"/>
        <cfvo type="percent" val="#REF!"/>
      </iconSet>
    </cfRule>
  </conditionalFormatting>
  <conditionalFormatting sqref="Y12 Y16 Y24 Y28 Y32 Y36 Y40 Y48 Y52 Y60 Y64 Y72 Y76 Y80 Y88 Y92 Y96 Y100 Y104 Y108">
    <cfRule type="cellIs" dxfId="11798" priority="361" operator="lessThan">
      <formula>0</formula>
    </cfRule>
  </conditionalFormatting>
  <conditionalFormatting sqref="Y10:Y12 Y14:Y16 Y22:Y24 Y26:Y28 Y30:Y32 Y34:Y36 Y38:Y40 Y46:Y48 Y50:Y52 Y58:Y60 Y62:Y64 Y70:Y72 Y74:Y76 Y78:Y80 Y86:Y88 Y90:Y92 Y94:Y96 Y98:Y100 Y102:Y104 Y106:Y108">
    <cfRule type="cellIs" dxfId="11797" priority="360" operator="lessThan">
      <formula>0</formula>
    </cfRule>
  </conditionalFormatting>
  <conditionalFormatting sqref="Y13 Y17 Y25 Y29 Y33 Y37 Y41 Y49 Y53 Y61 Y65 Y73 Y77 Y81 Y89 Y93 Y97 Y101 Y105 Y109">
    <cfRule type="cellIs" dxfId="11796" priority="359" operator="lessThan">
      <formula>0</formula>
    </cfRule>
  </conditionalFormatting>
  <conditionalFormatting sqref="X7">
    <cfRule type="iconSet" priority="358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1795" priority="357" operator="lessThan">
      <formula>0</formula>
    </cfRule>
  </conditionalFormatting>
  <conditionalFormatting sqref="X6:X9">
    <cfRule type="cellIs" dxfId="11794" priority="356" operator="lessThan">
      <formula>0</formula>
    </cfRule>
  </conditionalFormatting>
  <conditionalFormatting sqref="X63 X11 X15 X23 X27 X31 X35 X39 X47 X51 X59 X71 X75 X79 X87 X91 X95 X99 X103 X107">
    <cfRule type="iconSet" priority="355">
      <iconSet>
        <cfvo type="percent" val="0"/>
        <cfvo type="percent" val="&quot;$I$6&quot;"/>
        <cfvo type="percent" val="#REF!"/>
      </iconSet>
    </cfRule>
  </conditionalFormatting>
  <conditionalFormatting sqref="X12 X16 X24 X28 X32 X36 X40 X48 X52 X60 X64 X72 X76 X80 X88 X92 X96 X100 X104 X108">
    <cfRule type="cellIs" dxfId="11793" priority="354" operator="lessThan">
      <formula>0</formula>
    </cfRule>
  </conditionalFormatting>
  <conditionalFormatting sqref="X10:X17 X46:X53 X22:X41">
    <cfRule type="cellIs" dxfId="11792" priority="353" operator="lessThan">
      <formula>0</formula>
    </cfRule>
  </conditionalFormatting>
  <conditionalFormatting sqref="J52">
    <cfRule type="cellIs" dxfId="11791" priority="352" operator="greaterThan">
      <formula>0</formula>
    </cfRule>
  </conditionalFormatting>
  <conditionalFormatting sqref="AM42:AM45">
    <cfRule type="cellIs" dxfId="11790" priority="350" operator="notEqual">
      <formula>0</formula>
    </cfRule>
  </conditionalFormatting>
  <conditionalFormatting sqref="I44">
    <cfRule type="cellIs" dxfId="11789" priority="349" operator="greaterThan">
      <formula>0</formula>
    </cfRule>
  </conditionalFormatting>
  <conditionalFormatting sqref="AQ42">
    <cfRule type="cellIs" dxfId="11788" priority="347" operator="lessThan">
      <formula>0</formula>
    </cfRule>
  </conditionalFormatting>
  <conditionalFormatting sqref="AQ42 AQ44:AQ45">
    <cfRule type="cellIs" dxfId="11787" priority="346" operator="lessThan">
      <formula>0</formula>
    </cfRule>
  </conditionalFormatting>
  <conditionalFormatting sqref="AQ42 AQ44:AQ45">
    <cfRule type="cellIs" dxfId="11786" priority="345" operator="lessThan">
      <formula>0</formula>
    </cfRule>
  </conditionalFormatting>
  <conditionalFormatting sqref="AQ42 AQ44:AQ45">
    <cfRule type="cellIs" dxfId="11785" priority="344" operator="lessThan">
      <formula>0</formula>
    </cfRule>
  </conditionalFormatting>
  <conditionalFormatting sqref="AQ42 AQ44:AQ45">
    <cfRule type="cellIs" dxfId="11784" priority="343" operator="lessThan">
      <formula>0</formula>
    </cfRule>
  </conditionalFormatting>
  <conditionalFormatting sqref="AQ44:AQ45">
    <cfRule type="cellIs" dxfId="11783" priority="342" operator="lessThan">
      <formula>0</formula>
    </cfRule>
  </conditionalFormatting>
  <conditionalFormatting sqref="AQ44:AQ45">
    <cfRule type="cellIs" dxfId="11782" priority="341" operator="lessThan">
      <formula>0</formula>
    </cfRule>
  </conditionalFormatting>
  <conditionalFormatting sqref="AQ44:AQ45">
    <cfRule type="cellIs" dxfId="11781" priority="340" operator="lessThan">
      <formula>0</formula>
    </cfRule>
  </conditionalFormatting>
  <conditionalFormatting sqref="AQ44:AQ45">
    <cfRule type="cellIs" dxfId="11780" priority="339" operator="lessThan">
      <formula>0</formula>
    </cfRule>
  </conditionalFormatting>
  <conditionalFormatting sqref="AQ43">
    <cfRule type="cellIs" dxfId="11779" priority="338" operator="lessThan">
      <formula>0</formula>
    </cfRule>
  </conditionalFormatting>
  <conditionalFormatting sqref="AQ43">
    <cfRule type="cellIs" dxfId="11778" priority="337" operator="lessThan">
      <formula>0</formula>
    </cfRule>
  </conditionalFormatting>
  <conditionalFormatting sqref="AQ43">
    <cfRule type="cellIs" dxfId="11777" priority="336" operator="lessThan">
      <formula>0</formula>
    </cfRule>
  </conditionalFormatting>
  <conditionalFormatting sqref="AQ43">
    <cfRule type="cellIs" dxfId="11776" priority="335" operator="lessThan">
      <formula>0</formula>
    </cfRule>
  </conditionalFormatting>
  <conditionalFormatting sqref="AQ43">
    <cfRule type="cellIs" dxfId="11775" priority="334" operator="lessThan">
      <formula>0</formula>
    </cfRule>
  </conditionalFormatting>
  <conditionalFormatting sqref="AQ43">
    <cfRule type="cellIs" dxfId="11774" priority="333" operator="lessThan">
      <formula>0</formula>
    </cfRule>
  </conditionalFormatting>
  <conditionalFormatting sqref="AQ43">
    <cfRule type="cellIs" dxfId="11773" priority="332" operator="lessThan">
      <formula>0</formula>
    </cfRule>
  </conditionalFormatting>
  <conditionalFormatting sqref="AQ43">
    <cfRule type="cellIs" dxfId="11772" priority="331" operator="lessThan">
      <formula>0</formula>
    </cfRule>
  </conditionalFormatting>
  <conditionalFormatting sqref="AQ43">
    <cfRule type="cellIs" dxfId="11771" priority="330" operator="lessThan">
      <formula>0</formula>
    </cfRule>
  </conditionalFormatting>
  <conditionalFormatting sqref="AQ43">
    <cfRule type="cellIs" dxfId="11770" priority="329" operator="lessThan">
      <formula>0</formula>
    </cfRule>
  </conditionalFormatting>
  <conditionalFormatting sqref="AQ43">
    <cfRule type="cellIs" dxfId="11769" priority="328" operator="lessThan">
      <formula>0</formula>
    </cfRule>
  </conditionalFormatting>
  <conditionalFormatting sqref="AQ43">
    <cfRule type="cellIs" dxfId="11768" priority="327" operator="lessThan">
      <formula>0</formula>
    </cfRule>
  </conditionalFormatting>
  <conditionalFormatting sqref="AQ43">
    <cfRule type="cellIs" dxfId="11767" priority="326" operator="lessThan">
      <formula>0</formula>
    </cfRule>
  </conditionalFormatting>
  <conditionalFormatting sqref="AQ43">
    <cfRule type="cellIs" dxfId="11766" priority="325" operator="lessThan">
      <formula>0</formula>
    </cfRule>
  </conditionalFormatting>
  <conditionalFormatting sqref="AQ43">
    <cfRule type="cellIs" dxfId="11765" priority="324" operator="lessThan">
      <formula>0</formula>
    </cfRule>
  </conditionalFormatting>
  <conditionalFormatting sqref="AQ43">
    <cfRule type="cellIs" dxfId="11764" priority="323" operator="lessThan">
      <formula>0</formula>
    </cfRule>
  </conditionalFormatting>
  <conditionalFormatting sqref="AQ43">
    <cfRule type="cellIs" dxfId="11763" priority="322" operator="lessThan">
      <formula>0</formula>
    </cfRule>
  </conditionalFormatting>
  <conditionalFormatting sqref="AQ43">
    <cfRule type="cellIs" dxfId="11762" priority="321" operator="lessThan">
      <formula>0</formula>
    </cfRule>
  </conditionalFormatting>
  <conditionalFormatting sqref="AQ43">
    <cfRule type="cellIs" dxfId="11761" priority="320" operator="lessThan">
      <formula>0</formula>
    </cfRule>
  </conditionalFormatting>
  <conditionalFormatting sqref="AQ43">
    <cfRule type="cellIs" dxfId="11760" priority="319" operator="lessThan">
      <formula>0</formula>
    </cfRule>
  </conditionalFormatting>
  <conditionalFormatting sqref="AQ43">
    <cfRule type="cellIs" dxfId="11759" priority="318" operator="lessThan">
      <formula>0</formula>
    </cfRule>
  </conditionalFormatting>
  <conditionalFormatting sqref="AQ43">
    <cfRule type="cellIs" dxfId="11758" priority="317" operator="lessThan">
      <formula>0</formula>
    </cfRule>
  </conditionalFormatting>
  <conditionalFormatting sqref="AQ43">
    <cfRule type="cellIs" dxfId="11757" priority="316" operator="lessThan">
      <formula>0</formula>
    </cfRule>
  </conditionalFormatting>
  <conditionalFormatting sqref="AQ43">
    <cfRule type="cellIs" dxfId="11756" priority="315" operator="lessThan">
      <formula>0</formula>
    </cfRule>
  </conditionalFormatting>
  <conditionalFormatting sqref="AQ43">
    <cfRule type="cellIs" dxfId="11755" priority="314" operator="lessThan">
      <formula>0</formula>
    </cfRule>
  </conditionalFormatting>
  <conditionalFormatting sqref="AQ43">
    <cfRule type="cellIs" dxfId="11754" priority="313" operator="lessThan">
      <formula>0</formula>
    </cfRule>
  </conditionalFormatting>
  <conditionalFormatting sqref="AQ43">
    <cfRule type="cellIs" dxfId="11753" priority="312" operator="lessThan">
      <formula>0</formula>
    </cfRule>
  </conditionalFormatting>
  <conditionalFormatting sqref="AQ43">
    <cfRule type="cellIs" dxfId="11752" priority="311" operator="lessThan">
      <formula>0</formula>
    </cfRule>
  </conditionalFormatting>
  <conditionalFormatting sqref="AQ43">
    <cfRule type="cellIs" dxfId="11751" priority="310" operator="lessThan">
      <formula>0</formula>
    </cfRule>
  </conditionalFormatting>
  <conditionalFormatting sqref="AQ43">
    <cfRule type="cellIs" dxfId="11750" priority="309" operator="lessThan">
      <formula>0</formula>
    </cfRule>
  </conditionalFormatting>
  <conditionalFormatting sqref="AQ43">
    <cfRule type="cellIs" dxfId="11749" priority="308" operator="lessThan">
      <formula>0</formula>
    </cfRule>
  </conditionalFormatting>
  <conditionalFormatting sqref="AQ43">
    <cfRule type="cellIs" dxfId="11748" priority="307" operator="lessThan">
      <formula>0</formula>
    </cfRule>
  </conditionalFormatting>
  <conditionalFormatting sqref="Y43">
    <cfRule type="iconSet" priority="306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11747" priority="305" operator="lessThan">
      <formula>0</formula>
    </cfRule>
  </conditionalFormatting>
  <conditionalFormatting sqref="Y42:Y44">
    <cfRule type="cellIs" dxfId="11746" priority="304" operator="lessThan">
      <formula>0</formula>
    </cfRule>
  </conditionalFormatting>
  <conditionalFormatting sqref="Y45">
    <cfRule type="cellIs" dxfId="11745" priority="303" operator="lessThan">
      <formula>0</formula>
    </cfRule>
  </conditionalFormatting>
  <conditionalFormatting sqref="X43">
    <cfRule type="iconSet" priority="302">
      <iconSet>
        <cfvo type="percent" val="0"/>
        <cfvo type="percent" val="&quot;$I$6&quot;"/>
        <cfvo type="percent" val="#REF!"/>
      </iconSet>
    </cfRule>
  </conditionalFormatting>
  <conditionalFormatting sqref="X44">
    <cfRule type="cellIs" dxfId="11744" priority="301" operator="lessThan">
      <formula>0</formula>
    </cfRule>
  </conditionalFormatting>
  <conditionalFormatting sqref="X42:X45">
    <cfRule type="cellIs" dxfId="11743" priority="300" operator="lessThan">
      <formula>0</formula>
    </cfRule>
  </conditionalFormatting>
  <conditionalFormatting sqref="AM54:AM57">
    <cfRule type="cellIs" dxfId="11742" priority="298" operator="notEqual">
      <formula>0</formula>
    </cfRule>
  </conditionalFormatting>
  <conditionalFormatting sqref="I56">
    <cfRule type="cellIs" dxfId="11741" priority="297" operator="greaterThan">
      <formula>0</formula>
    </cfRule>
  </conditionalFormatting>
  <conditionalFormatting sqref="AQ54">
    <cfRule type="cellIs" dxfId="11740" priority="296" operator="lessThan">
      <formula>0</formula>
    </cfRule>
  </conditionalFormatting>
  <conditionalFormatting sqref="AQ54 AQ56:AQ57">
    <cfRule type="cellIs" dxfId="11739" priority="295" operator="lessThan">
      <formula>0</formula>
    </cfRule>
  </conditionalFormatting>
  <conditionalFormatting sqref="AQ54 AQ56:AQ57">
    <cfRule type="cellIs" dxfId="11738" priority="294" operator="lessThan">
      <formula>0</formula>
    </cfRule>
  </conditionalFormatting>
  <conditionalFormatting sqref="AQ54 AQ56:AQ57">
    <cfRule type="cellIs" dxfId="11737" priority="293" operator="lessThan">
      <formula>0</formula>
    </cfRule>
  </conditionalFormatting>
  <conditionalFormatting sqref="AQ54 AQ56:AQ57">
    <cfRule type="cellIs" dxfId="11736" priority="292" operator="lessThan">
      <formula>0</formula>
    </cfRule>
  </conditionalFormatting>
  <conditionalFormatting sqref="AQ56:AQ57">
    <cfRule type="cellIs" dxfId="11735" priority="291" operator="lessThan">
      <formula>0</formula>
    </cfRule>
  </conditionalFormatting>
  <conditionalFormatting sqref="AQ56:AQ57">
    <cfRule type="cellIs" dxfId="11734" priority="290" operator="lessThan">
      <formula>0</formula>
    </cfRule>
  </conditionalFormatting>
  <conditionalFormatting sqref="AQ56:AQ57">
    <cfRule type="cellIs" dxfId="11733" priority="289" operator="lessThan">
      <formula>0</formula>
    </cfRule>
  </conditionalFormatting>
  <conditionalFormatting sqref="AQ56:AQ57">
    <cfRule type="cellIs" dxfId="11732" priority="288" operator="lessThan">
      <formula>0</formula>
    </cfRule>
  </conditionalFormatting>
  <conditionalFormatting sqref="AQ55">
    <cfRule type="cellIs" dxfId="11731" priority="287" operator="lessThan">
      <formula>0</formula>
    </cfRule>
  </conditionalFormatting>
  <conditionalFormatting sqref="AQ55">
    <cfRule type="cellIs" dxfId="11730" priority="286" operator="lessThan">
      <formula>0</formula>
    </cfRule>
  </conditionalFormatting>
  <conditionalFormatting sqref="AQ55">
    <cfRule type="cellIs" dxfId="11729" priority="285" operator="lessThan">
      <formula>0</formula>
    </cfRule>
  </conditionalFormatting>
  <conditionalFormatting sqref="AQ55">
    <cfRule type="cellIs" dxfId="11728" priority="284" operator="lessThan">
      <formula>0</formula>
    </cfRule>
  </conditionalFormatting>
  <conditionalFormatting sqref="AQ55">
    <cfRule type="cellIs" dxfId="11727" priority="283" operator="lessThan">
      <formula>0</formula>
    </cfRule>
  </conditionalFormatting>
  <conditionalFormatting sqref="AQ55">
    <cfRule type="cellIs" dxfId="11726" priority="282" operator="lessThan">
      <formula>0</formula>
    </cfRule>
  </conditionalFormatting>
  <conditionalFormatting sqref="AQ55">
    <cfRule type="cellIs" dxfId="11725" priority="281" operator="lessThan">
      <formula>0</formula>
    </cfRule>
  </conditionalFormatting>
  <conditionalFormatting sqref="AQ55">
    <cfRule type="cellIs" dxfId="11724" priority="280" operator="lessThan">
      <formula>0</formula>
    </cfRule>
  </conditionalFormatting>
  <conditionalFormatting sqref="AQ55">
    <cfRule type="cellIs" dxfId="11723" priority="279" operator="lessThan">
      <formula>0</formula>
    </cfRule>
  </conditionalFormatting>
  <conditionalFormatting sqref="AQ55">
    <cfRule type="cellIs" dxfId="11722" priority="278" operator="lessThan">
      <formula>0</formula>
    </cfRule>
  </conditionalFormatting>
  <conditionalFormatting sqref="AQ55">
    <cfRule type="cellIs" dxfId="11721" priority="277" operator="lessThan">
      <formula>0</formula>
    </cfRule>
  </conditionalFormatting>
  <conditionalFormatting sqref="AQ55">
    <cfRule type="cellIs" dxfId="11720" priority="276" operator="lessThan">
      <formula>0</formula>
    </cfRule>
  </conditionalFormatting>
  <conditionalFormatting sqref="AQ55">
    <cfRule type="cellIs" dxfId="11719" priority="275" operator="lessThan">
      <formula>0</formula>
    </cfRule>
  </conditionalFormatting>
  <conditionalFormatting sqref="AQ55">
    <cfRule type="cellIs" dxfId="11718" priority="274" operator="lessThan">
      <formula>0</formula>
    </cfRule>
  </conditionalFormatting>
  <conditionalFormatting sqref="AQ55">
    <cfRule type="cellIs" dxfId="11717" priority="273" operator="lessThan">
      <formula>0</formula>
    </cfRule>
  </conditionalFormatting>
  <conditionalFormatting sqref="AQ55">
    <cfRule type="cellIs" dxfId="11716" priority="272" operator="lessThan">
      <formula>0</formula>
    </cfRule>
  </conditionalFormatting>
  <conditionalFormatting sqref="AQ55">
    <cfRule type="cellIs" dxfId="11715" priority="271" operator="lessThan">
      <formula>0</formula>
    </cfRule>
  </conditionalFormatting>
  <conditionalFormatting sqref="AQ55">
    <cfRule type="cellIs" dxfId="11714" priority="270" operator="lessThan">
      <formula>0</formula>
    </cfRule>
  </conditionalFormatting>
  <conditionalFormatting sqref="AQ55">
    <cfRule type="cellIs" dxfId="11713" priority="269" operator="lessThan">
      <formula>0</formula>
    </cfRule>
  </conditionalFormatting>
  <conditionalFormatting sqref="AQ55">
    <cfRule type="cellIs" dxfId="11712" priority="268" operator="lessThan">
      <formula>0</formula>
    </cfRule>
  </conditionalFormatting>
  <conditionalFormatting sqref="AQ55">
    <cfRule type="cellIs" dxfId="11711" priority="267" operator="lessThan">
      <formula>0</formula>
    </cfRule>
  </conditionalFormatting>
  <conditionalFormatting sqref="AQ55">
    <cfRule type="cellIs" dxfId="11710" priority="266" operator="lessThan">
      <formula>0</formula>
    </cfRule>
  </conditionalFormatting>
  <conditionalFormatting sqref="AQ55">
    <cfRule type="cellIs" dxfId="11709" priority="265" operator="lessThan">
      <formula>0</formula>
    </cfRule>
  </conditionalFormatting>
  <conditionalFormatting sqref="AQ55">
    <cfRule type="cellIs" dxfId="11708" priority="264" operator="lessThan">
      <formula>0</formula>
    </cfRule>
  </conditionalFormatting>
  <conditionalFormatting sqref="AQ55">
    <cfRule type="cellIs" dxfId="11707" priority="263" operator="lessThan">
      <formula>0</formula>
    </cfRule>
  </conditionalFormatting>
  <conditionalFormatting sqref="AQ55">
    <cfRule type="cellIs" dxfId="11706" priority="262" operator="lessThan">
      <formula>0</formula>
    </cfRule>
  </conditionalFormatting>
  <conditionalFormatting sqref="AQ55">
    <cfRule type="cellIs" dxfId="11705" priority="261" operator="lessThan">
      <formula>0</formula>
    </cfRule>
  </conditionalFormatting>
  <conditionalFormatting sqref="AQ55">
    <cfRule type="cellIs" dxfId="11704" priority="260" operator="lessThan">
      <formula>0</formula>
    </cfRule>
  </conditionalFormatting>
  <conditionalFormatting sqref="AQ55">
    <cfRule type="cellIs" dxfId="11703" priority="259" operator="lessThan">
      <formula>0</formula>
    </cfRule>
  </conditionalFormatting>
  <conditionalFormatting sqref="AQ55">
    <cfRule type="cellIs" dxfId="11702" priority="258" operator="lessThan">
      <formula>0</formula>
    </cfRule>
  </conditionalFormatting>
  <conditionalFormatting sqref="AQ55">
    <cfRule type="cellIs" dxfId="11701" priority="257" operator="lessThan">
      <formula>0</formula>
    </cfRule>
  </conditionalFormatting>
  <conditionalFormatting sqref="AQ55">
    <cfRule type="cellIs" dxfId="11700" priority="256" operator="lessThan">
      <formula>0</formula>
    </cfRule>
  </conditionalFormatting>
  <conditionalFormatting sqref="Y55">
    <cfRule type="iconSet" priority="255">
      <iconSet>
        <cfvo type="percent" val="0"/>
        <cfvo type="percent" val="&quot;$I$6&quot;"/>
        <cfvo type="percent" val="#REF!"/>
      </iconSet>
    </cfRule>
  </conditionalFormatting>
  <conditionalFormatting sqref="Y56">
    <cfRule type="cellIs" dxfId="11699" priority="254" operator="lessThan">
      <formula>0</formula>
    </cfRule>
  </conditionalFormatting>
  <conditionalFormatting sqref="Y54:Y56">
    <cfRule type="cellIs" dxfId="11698" priority="253" operator="lessThan">
      <formula>0</formula>
    </cfRule>
  </conditionalFormatting>
  <conditionalFormatting sqref="Y57">
    <cfRule type="cellIs" dxfId="11697" priority="252" operator="lessThan">
      <formula>0</formula>
    </cfRule>
  </conditionalFormatting>
  <conditionalFormatting sqref="X55">
    <cfRule type="iconSet" priority="251">
      <iconSet>
        <cfvo type="percent" val="0"/>
        <cfvo type="percent" val="&quot;$I$6&quot;"/>
        <cfvo type="percent" val="#REF!"/>
      </iconSet>
    </cfRule>
  </conditionalFormatting>
  <conditionalFormatting sqref="X56">
    <cfRule type="cellIs" dxfId="11696" priority="250" operator="lessThan">
      <formula>0</formula>
    </cfRule>
  </conditionalFormatting>
  <conditionalFormatting sqref="X54:X57">
    <cfRule type="cellIs" dxfId="11695" priority="249" operator="lessThan">
      <formula>0</formula>
    </cfRule>
  </conditionalFormatting>
  <conditionalFormatting sqref="X82:X85">
    <cfRule type="cellIs" dxfId="11694" priority="247" operator="lessThan">
      <formula>0</formula>
    </cfRule>
  </conditionalFormatting>
  <conditionalFormatting sqref="AM82:AM85">
    <cfRule type="cellIs" dxfId="11693" priority="245" operator="notEqual">
      <formula>0</formula>
    </cfRule>
  </conditionalFormatting>
  <conditionalFormatting sqref="I84">
    <cfRule type="cellIs" dxfId="11692" priority="244" operator="greaterThan">
      <formula>0</formula>
    </cfRule>
  </conditionalFormatting>
  <conditionalFormatting sqref="J84">
    <cfRule type="cellIs" dxfId="11691" priority="243" operator="greaterThan">
      <formula>0</formula>
    </cfRule>
  </conditionalFormatting>
  <conditionalFormatting sqref="AQ82">
    <cfRule type="cellIs" dxfId="11690" priority="242" operator="lessThan">
      <formula>0</formula>
    </cfRule>
  </conditionalFormatting>
  <conditionalFormatting sqref="AQ82 AQ84:AQ85">
    <cfRule type="cellIs" dxfId="11689" priority="241" operator="lessThan">
      <formula>0</formula>
    </cfRule>
  </conditionalFormatting>
  <conditionalFormatting sqref="AQ82 AQ84:AQ85">
    <cfRule type="cellIs" dxfId="11688" priority="240" operator="lessThan">
      <formula>0</formula>
    </cfRule>
  </conditionalFormatting>
  <conditionalFormatting sqref="AQ82 AQ84:AQ85">
    <cfRule type="cellIs" dxfId="11687" priority="239" operator="lessThan">
      <formula>0</formula>
    </cfRule>
  </conditionalFormatting>
  <conditionalFormatting sqref="AQ82 AQ84:AQ85">
    <cfRule type="cellIs" dxfId="11686" priority="238" operator="lessThan">
      <formula>0</formula>
    </cfRule>
  </conditionalFormatting>
  <conditionalFormatting sqref="AQ84:AQ85">
    <cfRule type="cellIs" dxfId="11685" priority="237" operator="lessThan">
      <formula>0</formula>
    </cfRule>
  </conditionalFormatting>
  <conditionalFormatting sqref="AQ84:AQ85">
    <cfRule type="cellIs" dxfId="11684" priority="236" operator="lessThan">
      <formula>0</formula>
    </cfRule>
  </conditionalFormatting>
  <conditionalFormatting sqref="AQ84:AQ85">
    <cfRule type="cellIs" dxfId="11683" priority="235" operator="lessThan">
      <formula>0</formula>
    </cfRule>
  </conditionalFormatting>
  <conditionalFormatting sqref="AQ84:AQ85">
    <cfRule type="cellIs" dxfId="11682" priority="234" operator="lessThan">
      <formula>0</formula>
    </cfRule>
  </conditionalFormatting>
  <conditionalFormatting sqref="AQ83">
    <cfRule type="cellIs" dxfId="11681" priority="233" operator="lessThan">
      <formula>0</formula>
    </cfRule>
  </conditionalFormatting>
  <conditionalFormatting sqref="AQ83">
    <cfRule type="cellIs" dxfId="11680" priority="232" operator="lessThan">
      <formula>0</formula>
    </cfRule>
  </conditionalFormatting>
  <conditionalFormatting sqref="AQ83">
    <cfRule type="cellIs" dxfId="11679" priority="231" operator="lessThan">
      <formula>0</formula>
    </cfRule>
  </conditionalFormatting>
  <conditionalFormatting sqref="AQ83">
    <cfRule type="cellIs" dxfId="11678" priority="230" operator="lessThan">
      <formula>0</formula>
    </cfRule>
  </conditionalFormatting>
  <conditionalFormatting sqref="AQ83">
    <cfRule type="cellIs" dxfId="11677" priority="229" operator="lessThan">
      <formula>0</formula>
    </cfRule>
  </conditionalFormatting>
  <conditionalFormatting sqref="AQ83">
    <cfRule type="cellIs" dxfId="11676" priority="228" operator="lessThan">
      <formula>0</formula>
    </cfRule>
  </conditionalFormatting>
  <conditionalFormatting sqref="AQ83">
    <cfRule type="cellIs" dxfId="11675" priority="227" operator="lessThan">
      <formula>0</formula>
    </cfRule>
  </conditionalFormatting>
  <conditionalFormatting sqref="AQ83">
    <cfRule type="cellIs" dxfId="11674" priority="226" operator="lessThan">
      <formula>0</formula>
    </cfRule>
  </conditionalFormatting>
  <conditionalFormatting sqref="AQ83">
    <cfRule type="cellIs" dxfId="11673" priority="225" operator="lessThan">
      <formula>0</formula>
    </cfRule>
  </conditionalFormatting>
  <conditionalFormatting sqref="AQ83">
    <cfRule type="cellIs" dxfId="11672" priority="224" operator="lessThan">
      <formula>0</formula>
    </cfRule>
  </conditionalFormatting>
  <conditionalFormatting sqref="AQ83">
    <cfRule type="cellIs" dxfId="11671" priority="223" operator="lessThan">
      <formula>0</formula>
    </cfRule>
  </conditionalFormatting>
  <conditionalFormatting sqref="AQ83">
    <cfRule type="cellIs" dxfId="11670" priority="222" operator="lessThan">
      <formula>0</formula>
    </cfRule>
  </conditionalFormatting>
  <conditionalFormatting sqref="AQ83">
    <cfRule type="cellIs" dxfId="11669" priority="221" operator="lessThan">
      <formula>0</formula>
    </cfRule>
  </conditionalFormatting>
  <conditionalFormatting sqref="AQ83">
    <cfRule type="cellIs" dxfId="11668" priority="220" operator="lessThan">
      <formula>0</formula>
    </cfRule>
  </conditionalFormatting>
  <conditionalFormatting sqref="AQ83">
    <cfRule type="cellIs" dxfId="11667" priority="219" operator="lessThan">
      <formula>0</formula>
    </cfRule>
  </conditionalFormatting>
  <conditionalFormatting sqref="AQ83">
    <cfRule type="cellIs" dxfId="11666" priority="218" operator="lessThan">
      <formula>0</formula>
    </cfRule>
  </conditionalFormatting>
  <conditionalFormatting sqref="AQ83">
    <cfRule type="cellIs" dxfId="11665" priority="217" operator="lessThan">
      <formula>0</formula>
    </cfRule>
  </conditionalFormatting>
  <conditionalFormatting sqref="AQ83">
    <cfRule type="cellIs" dxfId="11664" priority="216" operator="lessThan">
      <formula>0</formula>
    </cfRule>
  </conditionalFormatting>
  <conditionalFormatting sqref="AQ83">
    <cfRule type="cellIs" dxfId="11663" priority="215" operator="lessThan">
      <formula>0</formula>
    </cfRule>
  </conditionalFormatting>
  <conditionalFormatting sqref="AQ83">
    <cfRule type="cellIs" dxfId="11662" priority="214" operator="lessThan">
      <formula>0</formula>
    </cfRule>
  </conditionalFormatting>
  <conditionalFormatting sqref="AQ83">
    <cfRule type="cellIs" dxfId="11661" priority="213" operator="lessThan">
      <formula>0</formula>
    </cfRule>
  </conditionalFormatting>
  <conditionalFormatting sqref="AQ83">
    <cfRule type="cellIs" dxfId="11660" priority="212" operator="lessThan">
      <formula>0</formula>
    </cfRule>
  </conditionalFormatting>
  <conditionalFormatting sqref="AQ83">
    <cfRule type="cellIs" dxfId="11659" priority="211" operator="lessThan">
      <formula>0</formula>
    </cfRule>
  </conditionalFormatting>
  <conditionalFormatting sqref="AQ83">
    <cfRule type="cellIs" dxfId="11658" priority="210" operator="lessThan">
      <formula>0</formula>
    </cfRule>
  </conditionalFormatting>
  <conditionalFormatting sqref="AQ83">
    <cfRule type="cellIs" dxfId="11657" priority="209" operator="lessThan">
      <formula>0</formula>
    </cfRule>
  </conditionalFormatting>
  <conditionalFormatting sqref="AQ83">
    <cfRule type="cellIs" dxfId="11656" priority="208" operator="lessThan">
      <formula>0</formula>
    </cfRule>
  </conditionalFormatting>
  <conditionalFormatting sqref="AQ83">
    <cfRule type="cellIs" dxfId="11655" priority="207" operator="lessThan">
      <formula>0</formula>
    </cfRule>
  </conditionalFormatting>
  <conditionalFormatting sqref="AQ83">
    <cfRule type="cellIs" dxfId="11654" priority="206" operator="lessThan">
      <formula>0</formula>
    </cfRule>
  </conditionalFormatting>
  <conditionalFormatting sqref="AQ83">
    <cfRule type="cellIs" dxfId="11653" priority="205" operator="lessThan">
      <formula>0</formula>
    </cfRule>
  </conditionalFormatting>
  <conditionalFormatting sqref="AQ83">
    <cfRule type="cellIs" dxfId="11652" priority="204" operator="lessThan">
      <formula>0</formula>
    </cfRule>
  </conditionalFormatting>
  <conditionalFormatting sqref="AQ83">
    <cfRule type="cellIs" dxfId="11651" priority="203" operator="lessThan">
      <formula>0</formula>
    </cfRule>
  </conditionalFormatting>
  <conditionalFormatting sqref="AQ83">
    <cfRule type="cellIs" dxfId="11650" priority="202" operator="lessThan">
      <formula>0</formula>
    </cfRule>
  </conditionalFormatting>
  <conditionalFormatting sqref="Y83">
    <cfRule type="iconSet" priority="201">
      <iconSet>
        <cfvo type="percent" val="0"/>
        <cfvo type="percent" val="&quot;$I$6&quot;"/>
        <cfvo type="percent" val="#REF!"/>
      </iconSet>
    </cfRule>
  </conditionalFormatting>
  <conditionalFormatting sqref="Y84">
    <cfRule type="cellIs" dxfId="11649" priority="200" operator="lessThan">
      <formula>0</formula>
    </cfRule>
  </conditionalFormatting>
  <conditionalFormatting sqref="Y82:Y84">
    <cfRule type="cellIs" dxfId="11648" priority="199" operator="lessThan">
      <formula>0</formula>
    </cfRule>
  </conditionalFormatting>
  <conditionalFormatting sqref="Y85">
    <cfRule type="cellIs" dxfId="11647" priority="198" operator="lessThan">
      <formula>0</formula>
    </cfRule>
  </conditionalFormatting>
  <conditionalFormatting sqref="X83">
    <cfRule type="iconSet" priority="197">
      <iconSet>
        <cfvo type="percent" val="0"/>
        <cfvo type="percent" val="&quot;$I$6&quot;"/>
        <cfvo type="percent" val="#REF!"/>
      </iconSet>
    </cfRule>
  </conditionalFormatting>
  <conditionalFormatting sqref="X84">
    <cfRule type="cellIs" dxfId="11646" priority="196" operator="lessThan">
      <formula>0</formula>
    </cfRule>
  </conditionalFormatting>
  <conditionalFormatting sqref="AM18:AM21">
    <cfRule type="cellIs" dxfId="11645" priority="194" operator="notEqual">
      <formula>0</formula>
    </cfRule>
  </conditionalFormatting>
  <conditionalFormatting sqref="I20">
    <cfRule type="cellIs" dxfId="11644" priority="193" operator="greaterThan">
      <formula>0</formula>
    </cfRule>
  </conditionalFormatting>
  <conditionalFormatting sqref="J20">
    <cfRule type="cellIs" dxfId="11643" priority="192" operator="greaterThan">
      <formula>0</formula>
    </cfRule>
  </conditionalFormatting>
  <conditionalFormatting sqref="AQ18">
    <cfRule type="cellIs" dxfId="11642" priority="191" operator="lessThan">
      <formula>0</formula>
    </cfRule>
  </conditionalFormatting>
  <conditionalFormatting sqref="AQ18 AQ20:AQ21">
    <cfRule type="cellIs" dxfId="11641" priority="190" operator="lessThan">
      <formula>0</formula>
    </cfRule>
  </conditionalFormatting>
  <conditionalFormatting sqref="AQ18 AQ20:AQ21">
    <cfRule type="cellIs" dxfId="11640" priority="189" operator="lessThan">
      <formula>0</formula>
    </cfRule>
  </conditionalFormatting>
  <conditionalFormatting sqref="AQ18 AQ20:AQ21">
    <cfRule type="cellIs" dxfId="11639" priority="188" operator="lessThan">
      <formula>0</formula>
    </cfRule>
  </conditionalFormatting>
  <conditionalFormatting sqref="AQ18 AQ20:AQ21">
    <cfRule type="cellIs" dxfId="11638" priority="187" operator="lessThan">
      <formula>0</formula>
    </cfRule>
  </conditionalFormatting>
  <conditionalFormatting sqref="AQ20:AQ21">
    <cfRule type="cellIs" dxfId="11637" priority="186" operator="lessThan">
      <formula>0</formula>
    </cfRule>
  </conditionalFormatting>
  <conditionalFormatting sqref="AQ20:AQ21">
    <cfRule type="cellIs" dxfId="11636" priority="185" operator="lessThan">
      <formula>0</formula>
    </cfRule>
  </conditionalFormatting>
  <conditionalFormatting sqref="AQ20:AQ21">
    <cfRule type="cellIs" dxfId="11635" priority="184" operator="lessThan">
      <formula>0</formula>
    </cfRule>
  </conditionalFormatting>
  <conditionalFormatting sqref="AQ20:AQ21">
    <cfRule type="cellIs" dxfId="11634" priority="183" operator="lessThan">
      <formula>0</formula>
    </cfRule>
  </conditionalFormatting>
  <conditionalFormatting sqref="AQ19">
    <cfRule type="cellIs" dxfId="11633" priority="182" operator="lessThan">
      <formula>0</formula>
    </cfRule>
  </conditionalFormatting>
  <conditionalFormatting sqref="AQ19">
    <cfRule type="cellIs" dxfId="11632" priority="181" operator="lessThan">
      <formula>0</formula>
    </cfRule>
  </conditionalFormatting>
  <conditionalFormatting sqref="AQ19">
    <cfRule type="cellIs" dxfId="11631" priority="180" operator="lessThan">
      <formula>0</formula>
    </cfRule>
  </conditionalFormatting>
  <conditionalFormatting sqref="AQ19">
    <cfRule type="cellIs" dxfId="11630" priority="179" operator="lessThan">
      <formula>0</formula>
    </cfRule>
  </conditionalFormatting>
  <conditionalFormatting sqref="AQ19">
    <cfRule type="cellIs" dxfId="11629" priority="178" operator="lessThan">
      <formula>0</formula>
    </cfRule>
  </conditionalFormatting>
  <conditionalFormatting sqref="AQ19">
    <cfRule type="cellIs" dxfId="11628" priority="177" operator="lessThan">
      <formula>0</formula>
    </cfRule>
  </conditionalFormatting>
  <conditionalFormatting sqref="AQ19">
    <cfRule type="cellIs" dxfId="11627" priority="176" operator="lessThan">
      <formula>0</formula>
    </cfRule>
  </conditionalFormatting>
  <conditionalFormatting sqref="AQ19">
    <cfRule type="cellIs" dxfId="11626" priority="175" operator="lessThan">
      <formula>0</formula>
    </cfRule>
  </conditionalFormatting>
  <conditionalFormatting sqref="AQ19">
    <cfRule type="cellIs" dxfId="11625" priority="174" operator="lessThan">
      <formula>0</formula>
    </cfRule>
  </conditionalFormatting>
  <conditionalFormatting sqref="AQ19">
    <cfRule type="cellIs" dxfId="11624" priority="173" operator="lessThan">
      <formula>0</formula>
    </cfRule>
  </conditionalFormatting>
  <conditionalFormatting sqref="AQ19">
    <cfRule type="cellIs" dxfId="11623" priority="172" operator="lessThan">
      <formula>0</formula>
    </cfRule>
  </conditionalFormatting>
  <conditionalFormatting sqref="AQ19">
    <cfRule type="cellIs" dxfId="11622" priority="171" operator="lessThan">
      <formula>0</formula>
    </cfRule>
  </conditionalFormatting>
  <conditionalFormatting sqref="AQ19">
    <cfRule type="cellIs" dxfId="11621" priority="170" operator="lessThan">
      <formula>0</formula>
    </cfRule>
  </conditionalFormatting>
  <conditionalFormatting sqref="AQ19">
    <cfRule type="cellIs" dxfId="11620" priority="169" operator="lessThan">
      <formula>0</formula>
    </cfRule>
  </conditionalFormatting>
  <conditionalFormatting sqref="AQ19">
    <cfRule type="cellIs" dxfId="11619" priority="168" operator="lessThan">
      <formula>0</formula>
    </cfRule>
  </conditionalFormatting>
  <conditionalFormatting sqref="AQ19">
    <cfRule type="cellIs" dxfId="11618" priority="167" operator="lessThan">
      <formula>0</formula>
    </cfRule>
  </conditionalFormatting>
  <conditionalFormatting sqref="AQ19">
    <cfRule type="cellIs" dxfId="11617" priority="166" operator="lessThan">
      <formula>0</formula>
    </cfRule>
  </conditionalFormatting>
  <conditionalFormatting sqref="AQ19">
    <cfRule type="cellIs" dxfId="11616" priority="165" operator="lessThan">
      <formula>0</formula>
    </cfRule>
  </conditionalFormatting>
  <conditionalFormatting sqref="AQ19">
    <cfRule type="cellIs" dxfId="11615" priority="164" operator="lessThan">
      <formula>0</formula>
    </cfRule>
  </conditionalFormatting>
  <conditionalFormatting sqref="AQ19">
    <cfRule type="cellIs" dxfId="11614" priority="163" operator="lessThan">
      <formula>0</formula>
    </cfRule>
  </conditionalFormatting>
  <conditionalFormatting sqref="AQ19">
    <cfRule type="cellIs" dxfId="11613" priority="162" operator="lessThan">
      <formula>0</formula>
    </cfRule>
  </conditionalFormatting>
  <conditionalFormatting sqref="AQ19">
    <cfRule type="cellIs" dxfId="11612" priority="161" operator="lessThan">
      <formula>0</formula>
    </cfRule>
  </conditionalFormatting>
  <conditionalFormatting sqref="AQ19">
    <cfRule type="cellIs" dxfId="11611" priority="160" operator="lessThan">
      <formula>0</formula>
    </cfRule>
  </conditionalFormatting>
  <conditionalFormatting sqref="AQ19">
    <cfRule type="cellIs" dxfId="11610" priority="159" operator="lessThan">
      <formula>0</formula>
    </cfRule>
  </conditionalFormatting>
  <conditionalFormatting sqref="AQ19">
    <cfRule type="cellIs" dxfId="11609" priority="158" operator="lessThan">
      <formula>0</formula>
    </cfRule>
  </conditionalFormatting>
  <conditionalFormatting sqref="AQ19">
    <cfRule type="cellIs" dxfId="11608" priority="157" operator="lessThan">
      <formula>0</formula>
    </cfRule>
  </conditionalFormatting>
  <conditionalFormatting sqref="AQ19">
    <cfRule type="cellIs" dxfId="11607" priority="156" operator="lessThan">
      <formula>0</formula>
    </cfRule>
  </conditionalFormatting>
  <conditionalFormatting sqref="AQ19">
    <cfRule type="cellIs" dxfId="11606" priority="155" operator="lessThan">
      <formula>0</formula>
    </cfRule>
  </conditionalFormatting>
  <conditionalFormatting sqref="AQ19">
    <cfRule type="cellIs" dxfId="11605" priority="154" operator="lessThan">
      <formula>0</formula>
    </cfRule>
  </conditionalFormatting>
  <conditionalFormatting sqref="AQ19">
    <cfRule type="cellIs" dxfId="11604" priority="153" operator="lessThan">
      <formula>0</formula>
    </cfRule>
  </conditionalFormatting>
  <conditionalFormatting sqref="AQ19">
    <cfRule type="cellIs" dxfId="11603" priority="152" operator="lessThan">
      <formula>0</formula>
    </cfRule>
  </conditionalFormatting>
  <conditionalFormatting sqref="AQ19">
    <cfRule type="cellIs" dxfId="11602" priority="151" operator="lessThan">
      <formula>0</formula>
    </cfRule>
  </conditionalFormatting>
  <conditionalFormatting sqref="Y19">
    <cfRule type="iconSet" priority="150">
      <iconSet>
        <cfvo type="percent" val="0"/>
        <cfvo type="percent" val="&quot;$I$6&quot;"/>
        <cfvo type="percent" val="#REF!"/>
      </iconSet>
    </cfRule>
  </conditionalFormatting>
  <conditionalFormatting sqref="Y20">
    <cfRule type="cellIs" dxfId="11601" priority="149" operator="lessThan">
      <formula>0</formula>
    </cfRule>
  </conditionalFormatting>
  <conditionalFormatting sqref="Y18:Y20">
    <cfRule type="cellIs" dxfId="11600" priority="148" operator="lessThan">
      <formula>0</formula>
    </cfRule>
  </conditionalFormatting>
  <conditionalFormatting sqref="Y21">
    <cfRule type="cellIs" dxfId="11599" priority="147" operator="lessThan">
      <formula>0</formula>
    </cfRule>
  </conditionalFormatting>
  <conditionalFormatting sqref="X19">
    <cfRule type="iconSet" priority="146">
      <iconSet>
        <cfvo type="percent" val="0"/>
        <cfvo type="percent" val="&quot;$I$6&quot;"/>
        <cfvo type="percent" val="#REF!"/>
      </iconSet>
    </cfRule>
  </conditionalFormatting>
  <conditionalFormatting sqref="X20">
    <cfRule type="cellIs" dxfId="11598" priority="145" operator="lessThan">
      <formula>0</formula>
    </cfRule>
  </conditionalFormatting>
  <conditionalFormatting sqref="X18:X21">
    <cfRule type="cellIs" dxfId="11597" priority="144" operator="lessThan">
      <formula>0</formula>
    </cfRule>
  </conditionalFormatting>
  <conditionalFormatting sqref="AQ31">
    <cfRule type="cellIs" dxfId="11596" priority="143" operator="lessThan">
      <formula>0</formula>
    </cfRule>
  </conditionalFormatting>
  <conditionalFormatting sqref="AQ31">
    <cfRule type="cellIs" dxfId="11595" priority="142" operator="lessThan">
      <formula>0</formula>
    </cfRule>
  </conditionalFormatting>
  <conditionalFormatting sqref="AQ31">
    <cfRule type="cellIs" dxfId="11594" priority="141" operator="lessThan">
      <formula>0</formula>
    </cfRule>
  </conditionalFormatting>
  <conditionalFormatting sqref="AQ31">
    <cfRule type="cellIs" dxfId="11593" priority="140" operator="lessThan">
      <formula>0</formula>
    </cfRule>
  </conditionalFormatting>
  <conditionalFormatting sqref="AQ31">
    <cfRule type="cellIs" dxfId="11592" priority="139" operator="lessThan">
      <formula>0</formula>
    </cfRule>
  </conditionalFormatting>
  <conditionalFormatting sqref="AQ31">
    <cfRule type="cellIs" dxfId="11591" priority="138" operator="lessThan">
      <formula>0</formula>
    </cfRule>
  </conditionalFormatting>
  <conditionalFormatting sqref="AQ31">
    <cfRule type="cellIs" dxfId="11590" priority="137" operator="lessThan">
      <formula>0</formula>
    </cfRule>
  </conditionalFormatting>
  <conditionalFormatting sqref="AQ31">
    <cfRule type="cellIs" dxfId="11589" priority="136" operator="lessThan">
      <formula>0</formula>
    </cfRule>
  </conditionalFormatting>
  <conditionalFormatting sqref="AQ31">
    <cfRule type="cellIs" dxfId="11588" priority="135" operator="lessThan">
      <formula>0</formula>
    </cfRule>
  </conditionalFormatting>
  <conditionalFormatting sqref="AQ31">
    <cfRule type="cellIs" dxfId="11587" priority="134" operator="lessThan">
      <formula>0</formula>
    </cfRule>
  </conditionalFormatting>
  <conditionalFormatting sqref="AQ31">
    <cfRule type="cellIs" dxfId="11586" priority="133" operator="lessThan">
      <formula>0</formula>
    </cfRule>
  </conditionalFormatting>
  <conditionalFormatting sqref="AQ31">
    <cfRule type="cellIs" dxfId="11585" priority="132" operator="lessThan">
      <formula>0</formula>
    </cfRule>
  </conditionalFormatting>
  <conditionalFormatting sqref="AQ31">
    <cfRule type="cellIs" dxfId="11584" priority="131" operator="lessThan">
      <formula>0</formula>
    </cfRule>
  </conditionalFormatting>
  <conditionalFormatting sqref="AQ31">
    <cfRule type="cellIs" dxfId="11583" priority="130" operator="lessThan">
      <formula>0</formula>
    </cfRule>
  </conditionalFormatting>
  <conditionalFormatting sqref="AQ31">
    <cfRule type="cellIs" dxfId="11582" priority="129" operator="lessThan">
      <formula>0</formula>
    </cfRule>
  </conditionalFormatting>
  <conditionalFormatting sqref="AQ31">
    <cfRule type="cellIs" dxfId="11581" priority="128" operator="lessThan">
      <formula>0</formula>
    </cfRule>
  </conditionalFormatting>
  <conditionalFormatting sqref="AQ31">
    <cfRule type="cellIs" dxfId="11580" priority="112" operator="lessThan">
      <formula>0</formula>
    </cfRule>
  </conditionalFormatting>
  <conditionalFormatting sqref="AQ31">
    <cfRule type="cellIs" dxfId="11579" priority="127" operator="lessThan">
      <formula>0</formula>
    </cfRule>
  </conditionalFormatting>
  <conditionalFormatting sqref="AQ31">
    <cfRule type="cellIs" dxfId="11578" priority="126" operator="lessThan">
      <formula>0</formula>
    </cfRule>
  </conditionalFormatting>
  <conditionalFormatting sqref="AQ31">
    <cfRule type="cellIs" dxfId="11577" priority="125" operator="lessThan">
      <formula>0</formula>
    </cfRule>
  </conditionalFormatting>
  <conditionalFormatting sqref="AQ31">
    <cfRule type="cellIs" dxfId="11576" priority="124" operator="lessThan">
      <formula>0</formula>
    </cfRule>
  </conditionalFormatting>
  <conditionalFormatting sqref="AQ31">
    <cfRule type="cellIs" dxfId="11575" priority="123" operator="lessThan">
      <formula>0</formula>
    </cfRule>
  </conditionalFormatting>
  <conditionalFormatting sqref="AQ31">
    <cfRule type="cellIs" dxfId="11574" priority="122" operator="lessThan">
      <formula>0</formula>
    </cfRule>
  </conditionalFormatting>
  <conditionalFormatting sqref="AQ31">
    <cfRule type="cellIs" dxfId="11573" priority="121" operator="lessThan">
      <formula>0</formula>
    </cfRule>
  </conditionalFormatting>
  <conditionalFormatting sqref="AQ31">
    <cfRule type="cellIs" dxfId="11572" priority="120" operator="lessThan">
      <formula>0</formula>
    </cfRule>
  </conditionalFormatting>
  <conditionalFormatting sqref="AQ31">
    <cfRule type="cellIs" dxfId="11571" priority="119" operator="lessThan">
      <formula>0</formula>
    </cfRule>
  </conditionalFormatting>
  <conditionalFormatting sqref="AQ31">
    <cfRule type="cellIs" dxfId="11570" priority="118" operator="lessThan">
      <formula>0</formula>
    </cfRule>
  </conditionalFormatting>
  <conditionalFormatting sqref="AQ31">
    <cfRule type="cellIs" dxfId="11569" priority="117" operator="lessThan">
      <formula>0</formula>
    </cfRule>
  </conditionalFormatting>
  <conditionalFormatting sqref="AQ31">
    <cfRule type="cellIs" dxfId="11568" priority="116" operator="lessThan">
      <formula>0</formula>
    </cfRule>
  </conditionalFormatting>
  <conditionalFormatting sqref="AQ31">
    <cfRule type="cellIs" dxfId="11567" priority="115" operator="lessThan">
      <formula>0</formula>
    </cfRule>
  </conditionalFormatting>
  <conditionalFormatting sqref="AQ31">
    <cfRule type="cellIs" dxfId="11566" priority="114" operator="lessThan">
      <formula>0</formula>
    </cfRule>
  </conditionalFormatting>
  <conditionalFormatting sqref="AQ31">
    <cfRule type="cellIs" dxfId="11565" priority="113" operator="lessThan">
      <formula>0</formula>
    </cfRule>
  </conditionalFormatting>
  <conditionalFormatting sqref="X110:X113">
    <cfRule type="cellIs" dxfId="11564" priority="109" operator="lessThan">
      <formula>0</formula>
    </cfRule>
  </conditionalFormatting>
  <conditionalFormatting sqref="AM110:AM113">
    <cfRule type="cellIs" dxfId="11563" priority="107" operator="notEqual">
      <formula>0</formula>
    </cfRule>
  </conditionalFormatting>
  <conditionalFormatting sqref="AQ110">
    <cfRule type="cellIs" dxfId="11562" priority="104" operator="lessThan">
      <formula>0</formula>
    </cfRule>
  </conditionalFormatting>
  <conditionalFormatting sqref="AQ110 AQ112:AQ113">
    <cfRule type="cellIs" dxfId="11561" priority="103" operator="lessThan">
      <formula>0</formula>
    </cfRule>
  </conditionalFormatting>
  <conditionalFormatting sqref="AQ110 AQ112:AQ113">
    <cfRule type="cellIs" dxfId="11560" priority="102" operator="lessThan">
      <formula>0</formula>
    </cfRule>
  </conditionalFormatting>
  <conditionalFormatting sqref="AQ110 AQ112:AQ113">
    <cfRule type="cellIs" dxfId="11559" priority="101" operator="lessThan">
      <formula>0</formula>
    </cfRule>
  </conditionalFormatting>
  <conditionalFormatting sqref="AQ110 AQ112:AQ113">
    <cfRule type="cellIs" dxfId="11558" priority="100" operator="lessThan">
      <formula>0</formula>
    </cfRule>
  </conditionalFormatting>
  <conditionalFormatting sqref="AQ112:AQ113">
    <cfRule type="cellIs" dxfId="11557" priority="99" operator="lessThan">
      <formula>0</formula>
    </cfRule>
  </conditionalFormatting>
  <conditionalFormatting sqref="AQ112:AQ113">
    <cfRule type="cellIs" dxfId="11556" priority="98" operator="lessThan">
      <formula>0</formula>
    </cfRule>
  </conditionalFormatting>
  <conditionalFormatting sqref="AQ112:AQ113">
    <cfRule type="cellIs" dxfId="11555" priority="97" operator="lessThan">
      <formula>0</formula>
    </cfRule>
  </conditionalFormatting>
  <conditionalFormatting sqref="AQ112:AQ113">
    <cfRule type="cellIs" dxfId="11554" priority="96" operator="lessThan">
      <formula>0</formula>
    </cfRule>
  </conditionalFormatting>
  <conditionalFormatting sqref="AQ111">
    <cfRule type="cellIs" dxfId="11553" priority="95" operator="lessThan">
      <formula>0</formula>
    </cfRule>
  </conditionalFormatting>
  <conditionalFormatting sqref="AQ111">
    <cfRule type="cellIs" dxfId="11552" priority="94" operator="lessThan">
      <formula>0</formula>
    </cfRule>
  </conditionalFormatting>
  <conditionalFormatting sqref="AQ111">
    <cfRule type="cellIs" dxfId="11551" priority="93" operator="lessThan">
      <formula>0</formula>
    </cfRule>
  </conditionalFormatting>
  <conditionalFormatting sqref="AQ111">
    <cfRule type="cellIs" dxfId="11550" priority="92" operator="lessThan">
      <formula>0</formula>
    </cfRule>
  </conditionalFormatting>
  <conditionalFormatting sqref="AQ111">
    <cfRule type="cellIs" dxfId="11549" priority="91" operator="lessThan">
      <formula>0</formula>
    </cfRule>
  </conditionalFormatting>
  <conditionalFormatting sqref="AQ111">
    <cfRule type="cellIs" dxfId="11548" priority="90" operator="lessThan">
      <formula>0</formula>
    </cfRule>
  </conditionalFormatting>
  <conditionalFormatting sqref="AQ111">
    <cfRule type="cellIs" dxfId="11547" priority="89" operator="lessThan">
      <formula>0</formula>
    </cfRule>
  </conditionalFormatting>
  <conditionalFormatting sqref="AQ111">
    <cfRule type="cellIs" dxfId="11546" priority="88" operator="lessThan">
      <formula>0</formula>
    </cfRule>
  </conditionalFormatting>
  <conditionalFormatting sqref="AQ111">
    <cfRule type="cellIs" dxfId="11545" priority="87" operator="lessThan">
      <formula>0</formula>
    </cfRule>
  </conditionalFormatting>
  <conditionalFormatting sqref="AQ111">
    <cfRule type="cellIs" dxfId="11544" priority="86" operator="lessThan">
      <formula>0</formula>
    </cfRule>
  </conditionalFormatting>
  <conditionalFormatting sqref="AQ111">
    <cfRule type="cellIs" dxfId="11543" priority="85" operator="lessThan">
      <formula>0</formula>
    </cfRule>
  </conditionalFormatting>
  <conditionalFormatting sqref="AQ111">
    <cfRule type="cellIs" dxfId="11542" priority="84" operator="lessThan">
      <formula>0</formula>
    </cfRule>
  </conditionalFormatting>
  <conditionalFormatting sqref="AQ111">
    <cfRule type="cellIs" dxfId="11541" priority="83" operator="lessThan">
      <formula>0</formula>
    </cfRule>
  </conditionalFormatting>
  <conditionalFormatting sqref="AQ111">
    <cfRule type="cellIs" dxfId="11540" priority="82" operator="lessThan">
      <formula>0</formula>
    </cfRule>
  </conditionalFormatting>
  <conditionalFormatting sqref="AQ111">
    <cfRule type="cellIs" dxfId="11539" priority="81" operator="lessThan">
      <formula>0</formula>
    </cfRule>
  </conditionalFormatting>
  <conditionalFormatting sqref="AQ111">
    <cfRule type="cellIs" dxfId="11538" priority="80" operator="lessThan">
      <formula>0</formula>
    </cfRule>
  </conditionalFormatting>
  <conditionalFormatting sqref="AQ111">
    <cfRule type="cellIs" dxfId="11537" priority="79" operator="lessThan">
      <formula>0</formula>
    </cfRule>
  </conditionalFormatting>
  <conditionalFormatting sqref="AQ111">
    <cfRule type="cellIs" dxfId="11536" priority="78" operator="lessThan">
      <formula>0</formula>
    </cfRule>
  </conditionalFormatting>
  <conditionalFormatting sqref="AQ111">
    <cfRule type="cellIs" dxfId="11535" priority="77" operator="lessThan">
      <formula>0</formula>
    </cfRule>
  </conditionalFormatting>
  <conditionalFormatting sqref="AQ111">
    <cfRule type="cellIs" dxfId="11534" priority="76" operator="lessThan">
      <formula>0</formula>
    </cfRule>
  </conditionalFormatting>
  <conditionalFormatting sqref="AQ111">
    <cfRule type="cellIs" dxfId="11533" priority="75" operator="lessThan">
      <formula>0</formula>
    </cfRule>
  </conditionalFormatting>
  <conditionalFormatting sqref="AQ111">
    <cfRule type="cellIs" dxfId="11532" priority="74" operator="lessThan">
      <formula>0</formula>
    </cfRule>
  </conditionalFormatting>
  <conditionalFormatting sqref="AQ111">
    <cfRule type="cellIs" dxfId="11531" priority="73" operator="lessThan">
      <formula>0</formula>
    </cfRule>
  </conditionalFormatting>
  <conditionalFormatting sqref="AQ111">
    <cfRule type="cellIs" dxfId="11530" priority="72" operator="lessThan">
      <formula>0</formula>
    </cfRule>
  </conditionalFormatting>
  <conditionalFormatting sqref="AQ111">
    <cfRule type="cellIs" dxfId="11529" priority="71" operator="lessThan">
      <formula>0</formula>
    </cfRule>
  </conditionalFormatting>
  <conditionalFormatting sqref="AQ111">
    <cfRule type="cellIs" dxfId="11528" priority="70" operator="lessThan">
      <formula>0</formula>
    </cfRule>
  </conditionalFormatting>
  <conditionalFormatting sqref="AQ111">
    <cfRule type="cellIs" dxfId="11527" priority="69" operator="lessThan">
      <formula>0</formula>
    </cfRule>
  </conditionalFormatting>
  <conditionalFormatting sqref="AQ111">
    <cfRule type="cellIs" dxfId="11526" priority="68" operator="lessThan">
      <formula>0</formula>
    </cfRule>
  </conditionalFormatting>
  <conditionalFormatting sqref="AQ111">
    <cfRule type="cellIs" dxfId="11525" priority="67" operator="lessThan">
      <formula>0</formula>
    </cfRule>
  </conditionalFormatting>
  <conditionalFormatting sqref="AQ111">
    <cfRule type="cellIs" dxfId="11524" priority="66" operator="lessThan">
      <formula>0</formula>
    </cfRule>
  </conditionalFormatting>
  <conditionalFormatting sqref="AQ111">
    <cfRule type="cellIs" dxfId="11523" priority="65" operator="lessThan">
      <formula>0</formula>
    </cfRule>
  </conditionalFormatting>
  <conditionalFormatting sqref="AQ111">
    <cfRule type="cellIs" dxfId="11522" priority="64" operator="lessThan">
      <formula>0</formula>
    </cfRule>
  </conditionalFormatting>
  <conditionalFormatting sqref="Y111">
    <cfRule type="iconSet" priority="63">
      <iconSet>
        <cfvo type="percent" val="0"/>
        <cfvo type="percent" val="&quot;$I$6&quot;"/>
        <cfvo type="percent" val="#REF!"/>
      </iconSet>
    </cfRule>
  </conditionalFormatting>
  <conditionalFormatting sqref="Y112">
    <cfRule type="cellIs" dxfId="11521" priority="62" operator="lessThan">
      <formula>0</formula>
    </cfRule>
  </conditionalFormatting>
  <conditionalFormatting sqref="Y110:Y112">
    <cfRule type="cellIs" dxfId="11520" priority="61" operator="lessThan">
      <formula>0</formula>
    </cfRule>
  </conditionalFormatting>
  <conditionalFormatting sqref="Y113">
    <cfRule type="cellIs" dxfId="11519" priority="60" operator="lessThan">
      <formula>0</formula>
    </cfRule>
  </conditionalFormatting>
  <conditionalFormatting sqref="X111">
    <cfRule type="iconSet" priority="59">
      <iconSet>
        <cfvo type="percent" val="0"/>
        <cfvo type="percent" val="&quot;$I$6&quot;"/>
        <cfvo type="percent" val="#REF!"/>
      </iconSet>
    </cfRule>
  </conditionalFormatting>
  <conditionalFormatting sqref="X112">
    <cfRule type="cellIs" dxfId="11518" priority="58" operator="lessThan">
      <formula>0</formula>
    </cfRule>
  </conditionalFormatting>
  <conditionalFormatting sqref="J56">
    <cfRule type="cellIs" dxfId="11517" priority="57" operator="greaterThan">
      <formula>0</formula>
    </cfRule>
  </conditionalFormatting>
  <conditionalFormatting sqref="J44">
    <cfRule type="cellIs" dxfId="11516" priority="56" operator="greaterThan">
      <formula>0</formula>
    </cfRule>
  </conditionalFormatting>
  <conditionalFormatting sqref="AQ66">
    <cfRule type="cellIs" dxfId="11515" priority="55" operator="lessThan">
      <formula>0</formula>
    </cfRule>
  </conditionalFormatting>
  <conditionalFormatting sqref="X66:X69">
    <cfRule type="cellIs" dxfId="11514" priority="54" operator="lessThan">
      <formula>0</formula>
    </cfRule>
  </conditionalFormatting>
  <conditionalFormatting sqref="AM66:AM69">
    <cfRule type="cellIs" dxfId="11513" priority="52" operator="notEqual">
      <formula>0</formula>
    </cfRule>
  </conditionalFormatting>
  <conditionalFormatting sqref="I68">
    <cfRule type="cellIs" dxfId="11512" priority="51" operator="greaterThan">
      <formula>0</formula>
    </cfRule>
  </conditionalFormatting>
  <conditionalFormatting sqref="J68">
    <cfRule type="cellIs" dxfId="11511" priority="50" operator="greaterThan">
      <formula>0</formula>
    </cfRule>
  </conditionalFormatting>
  <conditionalFormatting sqref="AQ66">
    <cfRule type="cellIs" dxfId="11510" priority="49" operator="lessThan">
      <formula>0</formula>
    </cfRule>
  </conditionalFormatting>
  <conditionalFormatting sqref="AQ66 AQ68:AQ69">
    <cfRule type="cellIs" dxfId="11509" priority="48" operator="lessThan">
      <formula>0</formula>
    </cfRule>
  </conditionalFormatting>
  <conditionalFormatting sqref="AQ66 AQ68:AQ69">
    <cfRule type="cellIs" dxfId="11508" priority="47" operator="lessThan">
      <formula>0</formula>
    </cfRule>
  </conditionalFormatting>
  <conditionalFormatting sqref="AQ66 AQ68:AQ69">
    <cfRule type="cellIs" dxfId="11507" priority="46" operator="lessThan">
      <formula>0</formula>
    </cfRule>
  </conditionalFormatting>
  <conditionalFormatting sqref="AQ66 AQ68:AQ69">
    <cfRule type="cellIs" dxfId="11506" priority="45" operator="lessThan">
      <formula>0</formula>
    </cfRule>
  </conditionalFormatting>
  <conditionalFormatting sqref="AQ68:AQ69">
    <cfRule type="cellIs" dxfId="11505" priority="44" operator="lessThan">
      <formula>0</formula>
    </cfRule>
  </conditionalFormatting>
  <conditionalFormatting sqref="AQ68:AQ69">
    <cfRule type="cellIs" dxfId="11504" priority="43" operator="lessThan">
      <formula>0</formula>
    </cfRule>
  </conditionalFormatting>
  <conditionalFormatting sqref="AQ68:AQ69">
    <cfRule type="cellIs" dxfId="11503" priority="42" operator="lessThan">
      <formula>0</formula>
    </cfRule>
  </conditionalFormatting>
  <conditionalFormatting sqref="AQ68:AQ69">
    <cfRule type="cellIs" dxfId="11502" priority="41" operator="lessThan">
      <formula>0</formula>
    </cfRule>
  </conditionalFormatting>
  <conditionalFormatting sqref="AQ67">
    <cfRule type="cellIs" dxfId="11501" priority="40" operator="lessThan">
      <formula>0</formula>
    </cfRule>
  </conditionalFormatting>
  <conditionalFormatting sqref="AQ67">
    <cfRule type="cellIs" dxfId="11500" priority="39" operator="lessThan">
      <formula>0</formula>
    </cfRule>
  </conditionalFormatting>
  <conditionalFormatting sqref="AQ67">
    <cfRule type="cellIs" dxfId="11499" priority="38" operator="lessThan">
      <formula>0</formula>
    </cfRule>
  </conditionalFormatting>
  <conditionalFormatting sqref="AQ67">
    <cfRule type="cellIs" dxfId="11498" priority="37" operator="lessThan">
      <formula>0</formula>
    </cfRule>
  </conditionalFormatting>
  <conditionalFormatting sqref="AQ67">
    <cfRule type="cellIs" dxfId="11497" priority="36" operator="lessThan">
      <formula>0</formula>
    </cfRule>
  </conditionalFormatting>
  <conditionalFormatting sqref="AQ67">
    <cfRule type="cellIs" dxfId="11496" priority="35" operator="lessThan">
      <formula>0</formula>
    </cfRule>
  </conditionalFormatting>
  <conditionalFormatting sqref="AQ67">
    <cfRule type="cellIs" dxfId="11495" priority="34" operator="lessThan">
      <formula>0</formula>
    </cfRule>
  </conditionalFormatting>
  <conditionalFormatting sqref="AQ67">
    <cfRule type="cellIs" dxfId="11494" priority="33" operator="lessThan">
      <formula>0</formula>
    </cfRule>
  </conditionalFormatting>
  <conditionalFormatting sqref="AQ67">
    <cfRule type="cellIs" dxfId="11493" priority="32" operator="lessThan">
      <formula>0</formula>
    </cfRule>
  </conditionalFormatting>
  <conditionalFormatting sqref="AQ67">
    <cfRule type="cellIs" dxfId="11492" priority="31" operator="lessThan">
      <formula>0</formula>
    </cfRule>
  </conditionalFormatting>
  <conditionalFormatting sqref="AQ67">
    <cfRule type="cellIs" dxfId="11491" priority="30" operator="lessThan">
      <formula>0</formula>
    </cfRule>
  </conditionalFormatting>
  <conditionalFormatting sqref="AQ67">
    <cfRule type="cellIs" dxfId="11490" priority="29" operator="lessThan">
      <formula>0</formula>
    </cfRule>
  </conditionalFormatting>
  <conditionalFormatting sqref="AQ67">
    <cfRule type="cellIs" dxfId="11489" priority="28" operator="lessThan">
      <formula>0</formula>
    </cfRule>
  </conditionalFormatting>
  <conditionalFormatting sqref="AQ67">
    <cfRule type="cellIs" dxfId="11488" priority="27" operator="lessThan">
      <formula>0</formula>
    </cfRule>
  </conditionalFormatting>
  <conditionalFormatting sqref="AQ67">
    <cfRule type="cellIs" dxfId="11487" priority="26" operator="lessThan">
      <formula>0</formula>
    </cfRule>
  </conditionalFormatting>
  <conditionalFormatting sqref="AQ67">
    <cfRule type="cellIs" dxfId="11486" priority="25" operator="lessThan">
      <formula>0</formula>
    </cfRule>
  </conditionalFormatting>
  <conditionalFormatting sqref="AQ67">
    <cfRule type="cellIs" dxfId="11485" priority="24" operator="lessThan">
      <formula>0</formula>
    </cfRule>
  </conditionalFormatting>
  <conditionalFormatting sqref="AQ67">
    <cfRule type="cellIs" dxfId="11484" priority="23" operator="lessThan">
      <formula>0</formula>
    </cfRule>
  </conditionalFormatting>
  <conditionalFormatting sqref="AQ67">
    <cfRule type="cellIs" dxfId="11483" priority="22" operator="lessThan">
      <formula>0</formula>
    </cfRule>
  </conditionalFormatting>
  <conditionalFormatting sqref="AQ67">
    <cfRule type="cellIs" dxfId="11482" priority="21" operator="lessThan">
      <formula>0</formula>
    </cfRule>
  </conditionalFormatting>
  <conditionalFormatting sqref="AQ67">
    <cfRule type="cellIs" dxfId="11481" priority="20" operator="lessThan">
      <formula>0</formula>
    </cfRule>
  </conditionalFormatting>
  <conditionalFormatting sqref="AQ67">
    <cfRule type="cellIs" dxfId="11480" priority="19" operator="lessThan">
      <formula>0</formula>
    </cfRule>
  </conditionalFormatting>
  <conditionalFormatting sqref="AQ67">
    <cfRule type="cellIs" dxfId="11479" priority="18" operator="lessThan">
      <formula>0</formula>
    </cfRule>
  </conditionalFormatting>
  <conditionalFormatting sqref="AQ67">
    <cfRule type="cellIs" dxfId="11478" priority="17" operator="lessThan">
      <formula>0</formula>
    </cfRule>
  </conditionalFormatting>
  <conditionalFormatting sqref="AQ67">
    <cfRule type="cellIs" dxfId="11477" priority="16" operator="lessThan">
      <formula>0</formula>
    </cfRule>
  </conditionalFormatting>
  <conditionalFormatting sqref="AQ67">
    <cfRule type="cellIs" dxfId="11476" priority="15" operator="lessThan">
      <formula>0</formula>
    </cfRule>
  </conditionalFormatting>
  <conditionalFormatting sqref="AQ67">
    <cfRule type="cellIs" dxfId="11475" priority="14" operator="lessThan">
      <formula>0</formula>
    </cfRule>
  </conditionalFormatting>
  <conditionalFormatting sqref="AQ67">
    <cfRule type="cellIs" dxfId="11474" priority="13" operator="lessThan">
      <formula>0</formula>
    </cfRule>
  </conditionalFormatting>
  <conditionalFormatting sqref="AQ67">
    <cfRule type="cellIs" dxfId="11473" priority="12" operator="lessThan">
      <formula>0</formula>
    </cfRule>
  </conditionalFormatting>
  <conditionalFormatting sqref="AQ67">
    <cfRule type="cellIs" dxfId="11472" priority="11" operator="lessThan">
      <formula>0</formula>
    </cfRule>
  </conditionalFormatting>
  <conditionalFormatting sqref="AQ67">
    <cfRule type="cellIs" dxfId="11471" priority="10" operator="lessThan">
      <formula>0</formula>
    </cfRule>
  </conditionalFormatting>
  <conditionalFormatting sqref="AQ67">
    <cfRule type="cellIs" dxfId="11470" priority="9" operator="lessThan">
      <formula>0</formula>
    </cfRule>
  </conditionalFormatting>
  <conditionalFormatting sqref="Y67">
    <cfRule type="iconSet" priority="8">
      <iconSet>
        <cfvo type="percent" val="0"/>
        <cfvo type="percent" val="&quot;$I$6&quot;"/>
        <cfvo type="percent" val="#REF!"/>
      </iconSet>
    </cfRule>
  </conditionalFormatting>
  <conditionalFormatting sqref="Y68">
    <cfRule type="cellIs" dxfId="11469" priority="7" operator="lessThan">
      <formula>0</formula>
    </cfRule>
  </conditionalFormatting>
  <conditionalFormatting sqref="Y66:Y68">
    <cfRule type="cellIs" dxfId="11468" priority="6" operator="lessThan">
      <formula>0</formula>
    </cfRule>
  </conditionalFormatting>
  <conditionalFormatting sqref="Y69">
    <cfRule type="cellIs" dxfId="11467" priority="5" operator="lessThan">
      <formula>0</formula>
    </cfRule>
  </conditionalFormatting>
  <conditionalFormatting sqref="X67">
    <cfRule type="iconSet" priority="4">
      <iconSet>
        <cfvo type="percent" val="0"/>
        <cfvo type="percent" val="&quot;$I$6&quot;"/>
        <cfvo type="percent" val="#REF!"/>
      </iconSet>
    </cfRule>
  </conditionalFormatting>
  <conditionalFormatting sqref="X68">
    <cfRule type="cellIs" dxfId="11466" priority="3" operator="lessThan">
      <formula>0</formula>
    </cfRule>
  </conditionalFormatting>
  <conditionalFormatting sqref="I112">
    <cfRule type="cellIs" dxfId="11465" priority="2" operator="greaterThan">
      <formula>0</formula>
    </cfRule>
  </conditionalFormatting>
  <conditionalFormatting sqref="J112">
    <cfRule type="cellIs" dxfId="11464" priority="1" operator="greater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94" id="{32BC7F16-2804-4E0E-B82A-94DAF7B1D65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689" id="{D795887B-0C6D-4E43-8769-06535DE5CC3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686" id="{6A3C5976-59EA-47A1-A245-40273C00486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679" id="{0B4100E3-762B-4C69-B716-03CF160D5A3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676" id="{CF4A3B0F-DED7-443F-92B0-65FA32C34F9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673" id="{40B07038-CAF0-492C-9E8F-6DDE97836F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Z98</xm:sqref>
        </x14:conditionalFormatting>
        <x14:conditionalFormatting xmlns:xm="http://schemas.microsoft.com/office/excel/2006/main">
          <x14:cfRule type="iconSet" priority="670" id="{65122635-96E0-4178-A3C7-B27E2678B43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662" id="{12EF5E83-3B60-4E57-9716-E4501F6E9ED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658" id="{D44C61DE-E06C-4729-B7F9-12A0C616033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655" id="{F0EDC0D3-5714-4281-B4CB-DAADAD41CB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652" id="{6C976C40-DF0C-4C49-AEF7-8EDAB3A943A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Z106</xm:sqref>
        </x14:conditionalFormatting>
        <x14:conditionalFormatting xmlns:xm="http://schemas.microsoft.com/office/excel/2006/main">
          <x14:cfRule type="iconSet" priority="646" id="{CC7D8719-7924-4449-BEF8-3F561C53EF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641" id="{92E97382-5FDF-4B8A-ADE9-A85FDBD81F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637" id="{751C6FA4-5433-42CD-9263-8852BC9E0F7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634" id="{4CC181A4-95C2-4E3C-9FC0-61BB8FBFF24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608" id="{E44231F5-0AA9-414E-A441-86BD9FCBB58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503" id="{52DC14A2-49CD-494D-92E8-DCC2D2676C7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502" id="{30522215-91D0-4707-A044-7076573E0D8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457" id="{A6C4DE19-0073-4E16-858A-2545337148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Z102</xm:sqref>
        </x14:conditionalFormatting>
        <x14:conditionalFormatting xmlns:xm="http://schemas.microsoft.com/office/excel/2006/main">
          <x14:cfRule type="iconSet" priority="412" id="{38608329-9A94-4818-86E0-7DBD904EE26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408" id="{9A29F2C5-4202-4622-B96C-FAC2EAD2E53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Z94</xm:sqref>
        </x14:conditionalFormatting>
        <x14:conditionalFormatting xmlns:xm="http://schemas.microsoft.com/office/excel/2006/main">
          <x14:cfRule type="iconSet" priority="351" id="{2434116F-FACA-4924-82EC-FC3F352F77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299" id="{DA89F17F-4281-4371-ADA3-ED382736406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246" id="{7CDB46E2-7A76-4EB6-8AC4-CBBEAE6504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195" id="{6A38AF38-82F8-48FE-8DCF-7548A44F0F8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108" id="{CC3A0CCC-F6B3-4269-A9A0-66B9FAFD134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Z110</xm:sqref>
        </x14:conditionalFormatting>
        <x14:conditionalFormatting xmlns:xm="http://schemas.microsoft.com/office/excel/2006/main">
          <x14:cfRule type="iconSet" priority="53" id="{525FA832-568D-4A99-B0D4-18057D9AE7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205"/>
  <sheetViews>
    <sheetView zoomScale="18" zoomScaleNormal="18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M7" sqref="M7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hidden="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0.60285586893709386</v>
      </c>
      <c r="AE2" s="520"/>
      <c r="AH2" s="183">
        <f>+SUBTOTAL(9,AH6:AH127)</f>
        <v>340905</v>
      </c>
      <c r="AI2" s="183">
        <f>+SUBTOTAL(9,AI6:AI127)</f>
        <v>205516.58</v>
      </c>
      <c r="AT2" s="91">
        <v>0.59793648334624327</v>
      </c>
    </row>
    <row r="3" spans="2:58" ht="94.5" customHeight="1" x14ac:dyDescent="0.9">
      <c r="B3" s="478"/>
      <c r="C3" s="478"/>
      <c r="D3" s="478"/>
      <c r="E3" s="478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78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+SUMIF($L$6:$L$110,AA3,$AA$6:$AA$110)</f>
        <v>4805</v>
      </c>
      <c r="AB4" s="144" t="s">
        <v>28</v>
      </c>
      <c r="AC4" s="145"/>
      <c r="AD4" s="524" t="str">
        <f ca="1">RIGHT(CELL("filename",A1),LEN(CELL("filename",A1))-FIND("]",CELL("filename",A1)))</f>
        <v>08-01-2026</v>
      </c>
      <c r="AE4" s="524"/>
      <c r="AF4" s="397">
        <f>+SUM(AF6:AF115)</f>
        <v>5681.75</v>
      </c>
      <c r="AG4" s="397"/>
      <c r="AH4" s="98"/>
      <c r="AI4" s="98"/>
      <c r="AJ4" s="398">
        <v>8.75</v>
      </c>
      <c r="AQ4" s="437">
        <f>+SUBTOTAL(9,AQ6:AQ111)</f>
        <v>217.5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440</v>
      </c>
      <c r="H6" s="106"/>
      <c r="I6" s="106"/>
      <c r="J6" s="107" t="s">
        <v>20</v>
      </c>
      <c r="K6" s="108" t="s">
        <v>23</v>
      </c>
      <c r="L6" s="100" t="s">
        <v>21</v>
      </c>
      <c r="M6" s="448">
        <v>60</v>
      </c>
      <c r="N6" s="448">
        <v>107</v>
      </c>
      <c r="O6" s="448">
        <v>28</v>
      </c>
      <c r="P6" s="448"/>
      <c r="Q6" s="448"/>
      <c r="R6" s="448"/>
      <c r="S6" s="448"/>
      <c r="T6" s="448"/>
      <c r="U6" s="448"/>
      <c r="V6" s="448"/>
      <c r="W6" s="448"/>
      <c r="X6" s="447">
        <f t="shared" ref="X6" si="0">IF(AQ7="","",SUM(M6:W6)-(-(AQ7-SUM(M6:W6))/$AQ$3)*SUM($M$2:$W$2))</f>
        <v>195</v>
      </c>
      <c r="Y6" s="466">
        <v>-178.25</v>
      </c>
      <c r="Z6" s="533">
        <f>+X8</f>
        <v>0</v>
      </c>
      <c r="AA6" s="447">
        <f t="shared" ref="AA6:AA75" si="1">+SUM(L6:W6)</f>
        <v>195</v>
      </c>
      <c r="AB6" s="343">
        <f>+AC6+AA6</f>
        <v>1639</v>
      </c>
      <c r="AC6" s="343">
        <v>1444</v>
      </c>
      <c r="AD6" s="344"/>
      <c r="AE6" s="345"/>
      <c r="AF6" s="346"/>
      <c r="AG6" s="347">
        <f t="shared" ref="AG6:AG97" si="2">TRUNC(AF6)+(AF6-TRUNC(AF6))*60/100</f>
        <v>0</v>
      </c>
      <c r="AH6" s="341">
        <f t="shared" ref="AH6:AH97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439</v>
      </c>
      <c r="E7" s="111"/>
      <c r="F7" s="111" t="s">
        <v>35</v>
      </c>
      <c r="G7" s="541" t="str">
        <f t="shared" ref="G7:G9" si="4">+G6</f>
        <v>7394-595-401</v>
      </c>
      <c r="H7" s="111"/>
      <c r="I7" s="111" t="s">
        <v>33</v>
      </c>
      <c r="J7" s="113">
        <v>41.87</v>
      </c>
      <c r="K7" s="130">
        <v>60</v>
      </c>
      <c r="L7" s="101" t="s">
        <v>17</v>
      </c>
      <c r="M7" s="480">
        <v>60</v>
      </c>
      <c r="N7" s="480">
        <v>60</v>
      </c>
      <c r="O7" s="480">
        <v>60</v>
      </c>
      <c r="P7" s="480">
        <v>60</v>
      </c>
      <c r="Q7" s="480">
        <v>60</v>
      </c>
      <c r="R7" s="480">
        <v>60</v>
      </c>
      <c r="S7" s="480">
        <v>60</v>
      </c>
      <c r="T7" s="480">
        <v>60</v>
      </c>
      <c r="U7" s="480">
        <v>45</v>
      </c>
      <c r="V7" s="214"/>
      <c r="W7" s="214"/>
      <c r="X7" s="123">
        <f>+IF(H8="s",0,IF(AA7=0,0,IF(COUNTA(M7:W7)=AK9+0.25,SUMIF($C:$C,B7,$AA:$AA)/AK9,SUMIF($C:$C,B7,$AA:$AA)/(COUNTA(M7:W7)))))</f>
        <v>60</v>
      </c>
      <c r="Y7" s="466"/>
      <c r="Z7" s="534"/>
      <c r="AA7" s="134">
        <f t="shared" si="1"/>
        <v>525</v>
      </c>
      <c r="AB7" s="354">
        <f>+AA7+AC7</f>
        <v>1165</v>
      </c>
      <c r="AC7" s="354">
        <v>640</v>
      </c>
      <c r="AD7" s="355">
        <f>+AB6-AB7</f>
        <v>474</v>
      </c>
      <c r="AE7" s="131">
        <f>+IF(((AA8+(AA9/2))*60)=0,"",(J7*AA7)/((AA8+(AA9/2))*60))</f>
        <v>0.86329896907216497</v>
      </c>
      <c r="AF7" s="347">
        <f>+AA8+AA9/2</f>
        <v>424.375</v>
      </c>
      <c r="AG7" s="347">
        <f t="shared" si="2"/>
        <v>424.22500000000002</v>
      </c>
      <c r="AH7" s="341">
        <f t="shared" si="3"/>
        <v>25462.5</v>
      </c>
      <c r="AI7" s="341">
        <f>+AA7*J7</f>
        <v>21981.75</v>
      </c>
      <c r="AJ7" s="356">
        <f>+AA7-(AF7*K7/K9)</f>
        <v>-16.755319148936223</v>
      </c>
      <c r="AK7" s="348"/>
      <c r="AL7" s="349"/>
      <c r="AM7" s="341"/>
      <c r="AN7" s="341"/>
      <c r="AO7" s="341"/>
      <c r="AP7" s="341"/>
      <c r="AQ7" s="339">
        <f>195-AA6</f>
        <v>0</v>
      </c>
      <c r="AR7" s="434"/>
      <c r="AT7" s="390">
        <v>804</v>
      </c>
      <c r="AV7" s="390">
        <f>+AT7-AD7</f>
        <v>330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 t="shared" si="4"/>
        <v>7394-595-401</v>
      </c>
      <c r="H8" s="411" t="s">
        <v>412</v>
      </c>
      <c r="I8" s="113">
        <f>+IFERROR(IF(K9=0,0,IF((LOOKUP(2,1/(M8:W8&lt;&gt;""),M8:W8)-K9)&lt;0,0,IF(K9=0,"",LOOKUP(2,1/(M8:W8&lt;&gt;""),M8:W8)-K9))),0)</f>
        <v>1</v>
      </c>
      <c r="J8" s="113"/>
      <c r="K8" s="114" t="s">
        <v>22</v>
      </c>
      <c r="L8" s="102" t="s">
        <v>18</v>
      </c>
      <c r="M8" s="448">
        <v>48</v>
      </c>
      <c r="N8" s="448">
        <v>48</v>
      </c>
      <c r="O8" s="448">
        <v>48</v>
      </c>
      <c r="P8" s="448">
        <v>48</v>
      </c>
      <c r="Q8" s="448">
        <v>48</v>
      </c>
      <c r="R8" s="448">
        <v>48</v>
      </c>
      <c r="S8" s="448">
        <v>48</v>
      </c>
      <c r="T8" s="448">
        <v>48</v>
      </c>
      <c r="U8" s="448">
        <v>48</v>
      </c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0</v>
      </c>
      <c r="Y8" s="466"/>
      <c r="Z8" s="534"/>
      <c r="AA8" s="462">
        <f t="shared" ref="AA8:AA9" si="5">+SUM(M8:W8)-U8*0.25</f>
        <v>420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420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 t="shared" si="4"/>
        <v>7394-595-401</v>
      </c>
      <c r="H9" s="117"/>
      <c r="I9" s="442"/>
      <c r="J9" s="165">
        <f>+IF(K9="","",IF(K7=0,"",(K7*J7)/(K9*60)))</f>
        <v>0.89085106382978718</v>
      </c>
      <c r="K9" s="118">
        <v>47</v>
      </c>
      <c r="L9" s="104" t="s">
        <v>19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>
        <v>1</v>
      </c>
      <c r="U9" s="216">
        <v>1</v>
      </c>
      <c r="V9" s="216"/>
      <c r="W9" s="216"/>
      <c r="X9" s="173"/>
      <c r="Y9" s="467">
        <v>14.385842372881356</v>
      </c>
      <c r="Z9" s="371">
        <f>+IF(COUNTA(M7:W7)=$AJ$4+0.25,$AJ$4-(AA7/K7),COUNTA(M7:W7)-(AA7/K7))+Y9</f>
        <v>14.385842372881356</v>
      </c>
      <c r="AA9" s="465">
        <f t="shared" si="5"/>
        <v>8.75</v>
      </c>
      <c r="AB9" s="367"/>
      <c r="AC9" s="367"/>
      <c r="AD9" s="368">
        <f>+IFERROR(AD7/(K7*$AQ$3),"")</f>
        <v>0.9028571428571428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8.75</v>
      </c>
      <c r="AM9" s="341">
        <f>+AL9-AA9</f>
        <v>0</v>
      </c>
      <c r="AN9" s="341"/>
      <c r="AO9" s="341"/>
      <c r="AP9" s="341"/>
      <c r="AQ9" s="369"/>
      <c r="AR9" s="434"/>
      <c r="AT9" s="390">
        <v>1.5573849878934625</v>
      </c>
      <c r="AV9" s="390"/>
    </row>
    <row r="10" spans="2:58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540" t="s">
        <v>488</v>
      </c>
      <c r="H10" s="106"/>
      <c r="I10" s="106"/>
      <c r="J10" s="107" t="s">
        <v>20</v>
      </c>
      <c r="K10" s="108" t="s">
        <v>23</v>
      </c>
      <c r="L10" s="100" t="s">
        <v>21</v>
      </c>
      <c r="M10" s="448"/>
      <c r="N10" s="448"/>
      <c r="O10" s="448">
        <v>200</v>
      </c>
      <c r="P10" s="448"/>
      <c r="Q10" s="448"/>
      <c r="R10" s="448">
        <v>100</v>
      </c>
      <c r="S10" s="448"/>
      <c r="T10" s="448"/>
      <c r="U10" s="448"/>
      <c r="V10" s="448"/>
      <c r="W10" s="448"/>
      <c r="X10" s="447">
        <f t="shared" ref="X10" si="6">IF(AQ11="","",SUM(M10:W10)-(-(AQ11-SUM(M10:W10))/$AQ$3)*SUM($M$2:$W$2))</f>
        <v>300</v>
      </c>
      <c r="Y10" s="466"/>
      <c r="Z10" s="533">
        <f>+X12</f>
        <v>0</v>
      </c>
      <c r="AA10" s="447">
        <f t="shared" ref="AA10:AA11" si="7">+SUM(L10:W10)</f>
        <v>300</v>
      </c>
      <c r="AB10" s="343">
        <f>+AC10+AA10</f>
        <v>300</v>
      </c>
      <c r="AC10" s="343"/>
      <c r="AD10" s="344"/>
      <c r="AE10" s="345"/>
      <c r="AF10" s="346"/>
      <c r="AG10" s="347">
        <f t="shared" ref="AG10:AG13" si="8">TRUNC(AF10)+(AF10-TRUNC(AF10))*60/100</f>
        <v>0</v>
      </c>
      <c r="AH10" s="341">
        <f t="shared" ref="AH10:AH13" si="9">+AF10*60</f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1</v>
      </c>
      <c r="C11" s="406">
        <f>+B11</f>
        <v>1</v>
      </c>
      <c r="D11" s="407" t="s">
        <v>483</v>
      </c>
      <c r="E11" s="111"/>
      <c r="F11" s="111" t="s">
        <v>35</v>
      </c>
      <c r="G11" s="541"/>
      <c r="H11" s="111"/>
      <c r="I11" s="111" t="s">
        <v>33</v>
      </c>
      <c r="J11" s="113">
        <v>41.87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123">
        <f>+IF(H12="s",0,IF(AA11=0,0,IF(COUNTA(M11:W11)=AK13+0.25,SUMIF($C:$C,B11,$AA:$AA)/AK13,SUMIF($C:$C,B11,$AA:$AA)/(COUNTA(M11:W11)))))</f>
        <v>0</v>
      </c>
      <c r="Y11" s="466"/>
      <c r="Z11" s="534"/>
      <c r="AA11" s="134">
        <f t="shared" si="7"/>
        <v>0</v>
      </c>
      <c r="AB11" s="354">
        <f>+AA11+AC11</f>
        <v>0</v>
      </c>
      <c r="AC11" s="354"/>
      <c r="AD11" s="355">
        <f>+AB10-AB11</f>
        <v>300</v>
      </c>
      <c r="AE11" s="131" t="str">
        <f>+IF(((AA12+(AA13/2))*60)=0,"",(J11*AA11)/((AA12+(AA13/2))*60))</f>
        <v/>
      </c>
      <c r="AF11" s="347">
        <f>+AA12+AA13/2</f>
        <v>0</v>
      </c>
      <c r="AG11" s="347">
        <f t="shared" si="8"/>
        <v>0</v>
      </c>
      <c r="AH11" s="341">
        <f t="shared" si="9"/>
        <v>0</v>
      </c>
      <c r="AI11" s="341">
        <f>+AA11*J11</f>
        <v>0</v>
      </c>
      <c r="AJ11" s="356">
        <f>+AA11-(AF11*K11/K13)</f>
        <v>0</v>
      </c>
      <c r="AK11" s="348"/>
      <c r="AL11" s="349"/>
      <c r="AM11" s="341"/>
      <c r="AN11" s="341"/>
      <c r="AO11" s="341"/>
      <c r="AP11" s="341"/>
      <c r="AQ11" s="339">
        <f t="shared" ref="AQ11" si="10">IF(AR11=0,"",AT11-(($AQ$3*K11)+($AQ$3*K11)*AR11)+AA10)</f>
        <v>1.5</v>
      </c>
      <c r="AR11" s="434">
        <v>1.1000000000000001</v>
      </c>
      <c r="AT11" s="390">
        <v>804</v>
      </c>
      <c r="AV11" s="390">
        <f>+AT11-AD11</f>
        <v>504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541"/>
      <c r="H12" s="411" t="s">
        <v>412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160">
        <f>+IF(H12="l",IF(COUNTA(M11:W11)=AK13+0.25,AA11-K11*AK13,AA11-(K11*COUNTA(M11:W11))),IF(H12="s",0,IF(COUNTA(M11:W11)=AK13+0.25,SUMIF($C:$C,B11,$AA:$AA)-K11*AK13,SUMIF($C:$C,B11,$AA:$AA)-K11*COUNTA(M11:W11))))</f>
        <v>0</v>
      </c>
      <c r="Y12" s="466"/>
      <c r="Z12" s="534"/>
      <c r="AA12" s="462">
        <f t="shared" ref="AA12:AA13" si="11">+SUM(M12:W12)-U12*0.25</f>
        <v>0</v>
      </c>
      <c r="AB12" s="360"/>
      <c r="AC12" s="360"/>
      <c r="AD12" s="362"/>
      <c r="AE12" s="363"/>
      <c r="AF12" s="346"/>
      <c r="AG12" s="347">
        <f t="shared" si="8"/>
        <v>0</v>
      </c>
      <c r="AH12" s="341">
        <f t="shared" si="9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0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542"/>
      <c r="H13" s="117"/>
      <c r="I13" s="442"/>
      <c r="J13" s="165">
        <f>+IF(K13="","",IF(K11=0,"",(K11*J11)/(K13*60)))</f>
        <v>0.89085106382978718</v>
      </c>
      <c r="K13" s="118">
        <v>47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/>
      <c r="Z13" s="371">
        <f>+IF(COUNTA(M11:W11)=$AJ$4+0.25,$AJ$4-(AA11/K11),COUNTA(M11:W11)-(AA11/K11))+Y13</f>
        <v>0</v>
      </c>
      <c r="AA13" s="465">
        <f t="shared" si="11"/>
        <v>0</v>
      </c>
      <c r="AB13" s="367"/>
      <c r="AC13" s="367"/>
      <c r="AD13" s="368">
        <f>+IFERROR(AD11/(K11*$AQ$3),"")</f>
        <v>0.5714285714285714</v>
      </c>
      <c r="AE13" s="369"/>
      <c r="AF13" s="347"/>
      <c r="AG13" s="347">
        <f t="shared" si="8"/>
        <v>0</v>
      </c>
      <c r="AH13" s="341">
        <f t="shared" si="9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1.5573849878934625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40" t="s">
        <v>429</v>
      </c>
      <c r="H14" s="106"/>
      <c r="I14" s="106"/>
      <c r="J14" s="107" t="s">
        <v>20</v>
      </c>
      <c r="K14" s="108" t="s">
        <v>23</v>
      </c>
      <c r="L14" s="100" t="s">
        <v>21</v>
      </c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7" t="str">
        <f t="shared" ref="X14" si="12">IF(AQ15="","",SUM(M14:W14)-(-(AQ15-SUM(M14:W14))/$AQ$3)*SUM($M$2:$W$2))</f>
        <v/>
      </c>
      <c r="Y14" s="466">
        <v>-147</v>
      </c>
      <c r="Z14" s="533">
        <f>+X16</f>
        <v>-113</v>
      </c>
      <c r="AA14" s="447">
        <f t="shared" si="1"/>
        <v>0</v>
      </c>
      <c r="AB14" s="343">
        <f>+AC14+AA14</f>
        <v>6629</v>
      </c>
      <c r="AC14" s="343">
        <v>6629</v>
      </c>
      <c r="AD14" s="344"/>
      <c r="AE14" s="345"/>
      <c r="AF14" s="346"/>
      <c r="AG14" s="347">
        <f t="shared" si="2"/>
        <v>0</v>
      </c>
      <c r="AH14" s="341">
        <f t="shared" si="3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427</v>
      </c>
      <c r="E15" s="111"/>
      <c r="F15" s="111" t="s">
        <v>428</v>
      </c>
      <c r="G15" s="541" t="str">
        <f t="shared" ref="G15:G17" si="13">+G14</f>
        <v>NEGRONI-202942</v>
      </c>
      <c r="H15" s="111"/>
      <c r="I15" s="111" t="s">
        <v>430</v>
      </c>
      <c r="J15" s="113">
        <v>48.06</v>
      </c>
      <c r="K15" s="130">
        <v>60</v>
      </c>
      <c r="L15" s="101" t="s">
        <v>17</v>
      </c>
      <c r="M15" s="214">
        <v>50</v>
      </c>
      <c r="N15" s="214">
        <v>50</v>
      </c>
      <c r="O15" s="214">
        <v>50</v>
      </c>
      <c r="P15" s="214">
        <v>37</v>
      </c>
      <c r="Q15" s="214">
        <v>50</v>
      </c>
      <c r="R15" s="214">
        <v>50</v>
      </c>
      <c r="S15" s="214">
        <v>50</v>
      </c>
      <c r="T15" s="214">
        <v>45</v>
      </c>
      <c r="U15" s="214">
        <v>30</v>
      </c>
      <c r="V15" s="214"/>
      <c r="W15" s="214"/>
      <c r="X15" s="123">
        <f>+IF(H16="s",0,IF(AA15=0,0,IF(COUNTA(M15:W15)=AK17+0.25,SUMIF($C:$C,B15,$AA:$AA)/AK17,SUMIF($C:$C,B15,$AA:$AA)/(COUNTA(M15:W15)))))</f>
        <v>47.085714285714289</v>
      </c>
      <c r="Y15" s="466"/>
      <c r="Z15" s="534"/>
      <c r="AA15" s="134">
        <f t="shared" si="1"/>
        <v>412</v>
      </c>
      <c r="AB15" s="354">
        <f>+AA15+AC15</f>
        <v>6468</v>
      </c>
      <c r="AC15" s="354">
        <v>6056</v>
      </c>
      <c r="AD15" s="355">
        <f>+AB14-AB15</f>
        <v>161</v>
      </c>
      <c r="AE15" s="131">
        <f>+IF(((AA16+(AA17/2))*60)=0,"",(J15*AA15)/((AA16+(AA17/2))*60))</f>
        <v>1.1817797672336616</v>
      </c>
      <c r="AF15" s="347">
        <f>+AA16+AA17/2</f>
        <v>279.25</v>
      </c>
      <c r="AG15" s="347">
        <f t="shared" si="2"/>
        <v>279.14999999999998</v>
      </c>
      <c r="AH15" s="341">
        <f t="shared" si="3"/>
        <v>16755</v>
      </c>
      <c r="AI15" s="341">
        <f>+AA15*J15</f>
        <v>19800.72</v>
      </c>
      <c r="AJ15" s="356">
        <f>+AA15-(AF15*K15/K17)</f>
        <v>107.36363636363637</v>
      </c>
      <c r="AK15" s="348"/>
      <c r="AL15" s="349"/>
      <c r="AM15" s="341"/>
      <c r="AN15" s="341"/>
      <c r="AO15" s="341"/>
      <c r="AP15" s="341"/>
      <c r="AQ15" s="339"/>
      <c r="AR15" s="434"/>
      <c r="AT15" s="390">
        <v>573</v>
      </c>
      <c r="AV15" s="390">
        <f>+AT15-AD15</f>
        <v>412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>
        <f>+B15</f>
        <v>2</v>
      </c>
      <c r="F16" s="409"/>
      <c r="G16" s="541" t="str">
        <f t="shared" si="13"/>
        <v>NEGRONI-202942</v>
      </c>
      <c r="H16" s="411"/>
      <c r="I16" s="113">
        <f>+IFERROR(IF(K17=0,0,IF((LOOKUP(2,1/(M16:W16&lt;&gt;""),M16:W16)-K17)&lt;0,0,IF(K17=0,"",LOOKUP(2,1/(M16:W16&lt;&gt;""),M16:W16)-K17))),0)</f>
        <v>0</v>
      </c>
      <c r="J16" s="113">
        <v>0</v>
      </c>
      <c r="K16" s="114" t="s">
        <v>22</v>
      </c>
      <c r="L16" s="102" t="s">
        <v>18</v>
      </c>
      <c r="M16" s="448">
        <v>42</v>
      </c>
      <c r="N16" s="448">
        <v>42</v>
      </c>
      <c r="O16" s="448">
        <v>42</v>
      </c>
      <c r="P16" s="448">
        <v>38</v>
      </c>
      <c r="Q16" s="448">
        <v>31</v>
      </c>
      <c r="R16" s="448">
        <v>28</v>
      </c>
      <c r="S16" s="448">
        <v>25</v>
      </c>
      <c r="T16" s="448">
        <v>20</v>
      </c>
      <c r="U16" s="448">
        <v>15</v>
      </c>
      <c r="V16" s="448"/>
      <c r="W16" s="448"/>
      <c r="X16" s="160">
        <f>+IF(H16="l",IF(COUNTA(M15:W15)=AK17+0.25,AA15-K15*AK17,AA15-(K15*COUNTA(M15:W15))),IF(H16="s",0,IF(COUNTA(M15:W15)=AK17+0.25,SUMIF($C:$C,B15,$AA:$AA)-K15*AK17,SUMIF($C:$C,B15,$AA:$AA)-K15*COUNTA(M15:W15))))</f>
        <v>-113</v>
      </c>
      <c r="Y16" s="466"/>
      <c r="Z16" s="534"/>
      <c r="AA16" s="462">
        <f t="shared" ref="AA16:AA17" si="14">+SUM(M16:W16)-U16*0.25</f>
        <v>279.25</v>
      </c>
      <c r="AB16" s="360"/>
      <c r="AC16" s="360"/>
      <c r="AD16" s="362"/>
      <c r="AE16" s="363"/>
      <c r="AF16" s="346"/>
      <c r="AG16" s="347">
        <f t="shared" si="2"/>
        <v>0</v>
      </c>
      <c r="AH16" s="341">
        <f t="shared" si="3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279.25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>
        <f>+E16+100</f>
        <v>102</v>
      </c>
      <c r="F17" s="175"/>
      <c r="G17" s="542" t="str">
        <f t="shared" si="13"/>
        <v>NEGRONI-202942</v>
      </c>
      <c r="H17" s="117"/>
      <c r="I17" s="442"/>
      <c r="J17" s="165">
        <f>+IF(K17="","",IF(K15=0,"",(K15*J15)/(K17*60)))</f>
        <v>0.87381818181818194</v>
      </c>
      <c r="K17" s="118">
        <v>55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36.14</v>
      </c>
      <c r="Z17" s="365">
        <v>36.14</v>
      </c>
      <c r="AA17" s="465">
        <f t="shared" si="14"/>
        <v>0</v>
      </c>
      <c r="AB17" s="367"/>
      <c r="AC17" s="367"/>
      <c r="AD17" s="368">
        <f>+IFERROR(AD15/(K15*$AQ$3),"")</f>
        <v>0.30666666666666664</v>
      </c>
      <c r="AE17" s="369"/>
      <c r="AF17" s="347"/>
      <c r="AG17" s="347">
        <f t="shared" si="2"/>
        <v>0</v>
      </c>
      <c r="AH17" s="341">
        <f t="shared" si="3"/>
        <v>0</v>
      </c>
      <c r="AI17" s="341"/>
      <c r="AJ17" s="356"/>
      <c r="AK17" s="370">
        <f>+$AJ$4</f>
        <v>8.75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1.0914285714285714</v>
      </c>
      <c r="AV17" s="390"/>
    </row>
    <row r="18" spans="2:58" s="98" customFormat="1" ht="62.25" customHeight="1" thickTop="1" x14ac:dyDescent="0.9">
      <c r="B18" s="342">
        <f>+B19</f>
        <v>2</v>
      </c>
      <c r="C18" s="405"/>
      <c r="D18" s="106"/>
      <c r="E18" s="106"/>
      <c r="F18" s="106"/>
      <c r="G18" s="540" t="s">
        <v>481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100</v>
      </c>
      <c r="N18" s="448">
        <v>110</v>
      </c>
      <c r="O18" s="448"/>
      <c r="P18" s="448"/>
      <c r="Q18" s="448">
        <v>60</v>
      </c>
      <c r="R18" s="448">
        <v>120</v>
      </c>
      <c r="S18" s="448"/>
      <c r="T18" s="448"/>
      <c r="U18" s="448"/>
      <c r="V18" s="448"/>
      <c r="W18" s="448"/>
      <c r="X18" s="447">
        <f t="shared" ref="X18" si="15">IF(AQ19="","",SUM(M18:W18)-(-(AQ19-SUM(M18:W18))/$AQ$3)*SUM($M$2:$W$2))</f>
        <v>390</v>
      </c>
      <c r="Y18" s="466">
        <v>0</v>
      </c>
      <c r="Z18" s="533">
        <f>+X20</f>
        <v>0</v>
      </c>
      <c r="AA18" s="447">
        <f t="shared" ref="AA18:AA19" si="16">+SUM(L18:W18)</f>
        <v>390</v>
      </c>
      <c r="AB18" s="343">
        <f>+AC18+AA18</f>
        <v>570</v>
      </c>
      <c r="AC18" s="343">
        <v>180</v>
      </c>
      <c r="AD18" s="344"/>
      <c r="AE18" s="345"/>
      <c r="AF18" s="346"/>
      <c r="AG18" s="347">
        <f t="shared" si="2"/>
        <v>0</v>
      </c>
      <c r="AH18" s="341">
        <f t="shared" si="3"/>
        <v>0</v>
      </c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2</v>
      </c>
      <c r="C19" s="406">
        <f>+B19</f>
        <v>2</v>
      </c>
      <c r="D19" s="407" t="s">
        <v>480</v>
      </c>
      <c r="E19" s="111"/>
      <c r="F19" s="111" t="s">
        <v>35</v>
      </c>
      <c r="G19" s="541" t="str">
        <f t="shared" ref="G19:G21" si="17">+G18</f>
        <v>2396-593-600</v>
      </c>
      <c r="H19" s="111"/>
      <c r="I19" s="111" t="s">
        <v>33</v>
      </c>
      <c r="J19" s="113">
        <v>38.82</v>
      </c>
      <c r="K19" s="130">
        <v>60</v>
      </c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123">
        <f>+IF(H20="s",0,IF(AA19=0,0,IF(COUNTA(M19:W19)=AK21+0.25,SUMIF($C:$C,B19,$AA:$AA)/AK21,SUMIF($C:$C,B19,$AA:$AA)/(COUNTA(M19:W19)))))</f>
        <v>0</v>
      </c>
      <c r="Y19" s="466"/>
      <c r="Z19" s="534"/>
      <c r="AA19" s="134">
        <f t="shared" si="16"/>
        <v>0</v>
      </c>
      <c r="AB19" s="354">
        <f>+AA19+AC19</f>
        <v>0</v>
      </c>
      <c r="AC19" s="354">
        <v>0</v>
      </c>
      <c r="AD19" s="355">
        <f>+AB18-AB19</f>
        <v>570</v>
      </c>
      <c r="AE19" s="131">
        <f>+IF(((AA20+(AA21/2))*60)=0,"",(J19*AA19)/((AA20+(AA21/2))*60))</f>
        <v>0</v>
      </c>
      <c r="AF19" s="347">
        <f>+AA20+AA21/2</f>
        <v>202</v>
      </c>
      <c r="AG19" s="347">
        <f t="shared" si="2"/>
        <v>202</v>
      </c>
      <c r="AH19" s="341">
        <f t="shared" si="3"/>
        <v>12120</v>
      </c>
      <c r="AI19" s="341">
        <f>+AA19*J19</f>
        <v>0</v>
      </c>
      <c r="AJ19" s="356">
        <f>+AA19-(AF19*K19/K21)</f>
        <v>-281.86046511627904</v>
      </c>
      <c r="AK19" s="348"/>
      <c r="AL19" s="349"/>
      <c r="AM19" s="341"/>
      <c r="AN19" s="341"/>
      <c r="AO19" s="341"/>
      <c r="AP19" s="341"/>
      <c r="AQ19" s="339">
        <f>-300+AA18</f>
        <v>90</v>
      </c>
      <c r="AR19" s="434"/>
      <c r="AT19" s="390">
        <v>180</v>
      </c>
      <c r="AV19" s="390">
        <f>+AT19-AD19</f>
        <v>-390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2</v>
      </c>
      <c r="C20" s="408"/>
      <c r="D20" s="184"/>
      <c r="E20" s="111"/>
      <c r="F20" s="409"/>
      <c r="G20" s="541" t="str">
        <f t="shared" si="17"/>
        <v>2396-593-600</v>
      </c>
      <c r="H20" s="411" t="s">
        <v>412</v>
      </c>
      <c r="I20" s="113"/>
      <c r="J20" s="113">
        <v>0</v>
      </c>
      <c r="K20" s="114" t="s">
        <v>22</v>
      </c>
      <c r="L20" s="102" t="s">
        <v>18</v>
      </c>
      <c r="M20" s="448">
        <f>55-42</f>
        <v>13</v>
      </c>
      <c r="N20" s="448">
        <f>55-42</f>
        <v>13</v>
      </c>
      <c r="O20" s="448">
        <v>13</v>
      </c>
      <c r="P20" s="448">
        <f>55-38</f>
        <v>17</v>
      </c>
      <c r="Q20" s="448">
        <f>55-31</f>
        <v>24</v>
      </c>
      <c r="R20" s="448">
        <f>55-28</f>
        <v>27</v>
      </c>
      <c r="S20" s="448">
        <f>55-25</f>
        <v>30</v>
      </c>
      <c r="T20" s="448">
        <f>55-20</f>
        <v>35</v>
      </c>
      <c r="U20" s="448">
        <f>55-15</f>
        <v>40</v>
      </c>
      <c r="V20" s="448"/>
      <c r="W20" s="448"/>
      <c r="X20" s="160">
        <f>+IF(H20="l",IF(COUNTA(M19:W19)=AK21+0.25,AA19-K19*AK21,AA19-(K19*COUNTA(M19:W19))),IF(H20="s",0,IF(COUNTA(M19:W19)=AK21+0.25,SUMIF($C:$C,B19,$AA:$AA)-K19*AK21,SUMIF($C:$C,B19,$AA:$AA)-K19*COUNTA(M19:W19))))</f>
        <v>0</v>
      </c>
      <c r="Y20" s="466"/>
      <c r="Z20" s="534"/>
      <c r="AA20" s="462">
        <f t="shared" ref="AA20:AA21" si="18">+SUM(M20:W20)-U20*0.25</f>
        <v>202</v>
      </c>
      <c r="AB20" s="360"/>
      <c r="AC20" s="360"/>
      <c r="AD20" s="362"/>
      <c r="AE20" s="363"/>
      <c r="AF20" s="346"/>
      <c r="AG20" s="347">
        <f t="shared" si="2"/>
        <v>0</v>
      </c>
      <c r="AH20" s="341">
        <f t="shared" si="3"/>
        <v>0</v>
      </c>
      <c r="AI20" s="341"/>
      <c r="AJ20" s="341"/>
      <c r="AK20" s="348"/>
      <c r="AL20" s="349">
        <f>+IF(AK21=7.75,SUM(M20:S20)+T20*0.75,IF(AK21=8,SUM(M20:T20),IF(AK21=7.25,SUM(M20:S20)+T20*0.25,IF(AK21=8.25,SUM(M20:T20)+U20*0.25,IF(AK21=8.75,SUM(M20:T20)+U20*0.75,0)))))</f>
        <v>202</v>
      </c>
      <c r="AM20" s="341">
        <f>+AL20-AA20</f>
        <v>0</v>
      </c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2</v>
      </c>
      <c r="C21" s="410"/>
      <c r="D21" s="174" t="s">
        <v>419</v>
      </c>
      <c r="E21" s="175"/>
      <c r="F21" s="175"/>
      <c r="G21" s="542" t="str">
        <f t="shared" si="17"/>
        <v>2396-593-600</v>
      </c>
      <c r="H21" s="117"/>
      <c r="I21" s="442"/>
      <c r="J21" s="165">
        <f>+IF(K21="","",IF(K19=0,"",(K19*J19)/(K21*60)))</f>
        <v>0.90279069767441855</v>
      </c>
      <c r="K21" s="118">
        <v>43</v>
      </c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 t="e">
        <v>#DIV/0!</v>
      </c>
      <c r="Z21" s="371" t="e">
        <f>+IF(COUNTA(M19:W19)=$AJ$4+0.25,$AJ$4-(AA19/K19),COUNTA(M19:W19)-(AA19/K19))+Y21</f>
        <v>#DIV/0!</v>
      </c>
      <c r="AA21" s="465">
        <f t="shared" si="18"/>
        <v>0</v>
      </c>
      <c r="AB21" s="367"/>
      <c r="AC21" s="367"/>
      <c r="AD21" s="368">
        <f>+IFERROR(AD19/(K19*$AQ$3),"")</f>
        <v>1.0857142857142856</v>
      </c>
      <c r="AE21" s="369"/>
      <c r="AF21" s="347"/>
      <c r="AG21" s="347">
        <f t="shared" si="2"/>
        <v>0</v>
      </c>
      <c r="AH21" s="341">
        <f t="shared" si="3"/>
        <v>0</v>
      </c>
      <c r="AI21" s="341"/>
      <c r="AJ21" s="356"/>
      <c r="AK21" s="370">
        <f>+$AJ$4</f>
        <v>8.75</v>
      </c>
      <c r="AL21" s="349">
        <f>+IF(AK21=7.75,SUM(M21:S21)+T21*0.75,IF(AK21=8,SUM(M21:T21),IF(AK21=7.25,SUM(M21:S21)+T21*0.25,IF(AK21=8.25,SUM(M21:T21)+U21*0.25,IF(AK21=8.75,SUM(M21:T21)+U21*0.75,0)))))</f>
        <v>0</v>
      </c>
      <c r="AM21" s="341">
        <f>+AL21-AA21</f>
        <v>0</v>
      </c>
      <c r="AN21" s="341"/>
      <c r="AO21" s="341"/>
      <c r="AP21" s="341"/>
      <c r="AQ21" s="369"/>
      <c r="AR21" s="434"/>
      <c r="AT21" s="390" t="s">
        <v>416</v>
      </c>
      <c r="AV21" s="390"/>
    </row>
    <row r="22" spans="2:58" s="98" customFormat="1" ht="62.25" customHeight="1" thickTop="1" x14ac:dyDescent="0.9">
      <c r="B22" s="342">
        <f>+B23</f>
        <v>3</v>
      </c>
      <c r="C22" s="405"/>
      <c r="D22" s="106"/>
      <c r="E22" s="106"/>
      <c r="F22" s="106"/>
      <c r="G22" s="540"/>
      <c r="H22" s="106"/>
      <c r="I22" s="106"/>
      <c r="J22" s="107" t="s">
        <v>20</v>
      </c>
      <c r="K22" s="108" t="s">
        <v>23</v>
      </c>
      <c r="L22" s="100" t="s">
        <v>21</v>
      </c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47" t="str">
        <f t="shared" ref="X22" si="19">IF(AQ23="","",SUM(M22:W22)-(-(AQ23-SUM(M22:W22))/$AQ$3)*SUM($M$2:$W$2))</f>
        <v/>
      </c>
      <c r="Y22" s="466">
        <v>0</v>
      </c>
      <c r="Z22" s="533">
        <f>+X24</f>
        <v>0</v>
      </c>
      <c r="AA22" s="447">
        <f t="shared" si="1"/>
        <v>0</v>
      </c>
      <c r="AB22" s="343">
        <f>+AC22+AA22</f>
        <v>0</v>
      </c>
      <c r="AC22" s="343">
        <v>0</v>
      </c>
      <c r="AD22" s="344"/>
      <c r="AE22" s="345"/>
      <c r="AF22" s="346"/>
      <c r="AG22" s="347"/>
      <c r="AH22" s="341"/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1.35">
      <c r="B23" s="351">
        <v>3</v>
      </c>
      <c r="C23" s="406">
        <v>3</v>
      </c>
      <c r="D23" s="407"/>
      <c r="E23" s="111"/>
      <c r="F23" s="111"/>
      <c r="G23" s="541"/>
      <c r="H23" s="111"/>
      <c r="I23" s="111"/>
      <c r="J23" s="113"/>
      <c r="K23" s="130"/>
      <c r="L23" s="101" t="s">
        <v>17</v>
      </c>
      <c r="M23" s="454"/>
      <c r="N23" s="454"/>
      <c r="O23" s="454"/>
      <c r="P23" s="454"/>
      <c r="Q23" s="454"/>
      <c r="R23" s="454"/>
      <c r="S23" s="454"/>
      <c r="T23" s="454"/>
      <c r="U23" s="454"/>
      <c r="V23" s="454"/>
      <c r="W23" s="454"/>
      <c r="X23" s="123">
        <f>+IF(H24="s",0,IF(AA23=0,0,IF(COUNTA(M23:W23)=AK25+0.25,SUMIF($C:$C,B23,$AA:$AA)/AK25,SUMIF($C:$C,B23,$AA:$AA)/(COUNTA(M23:W23)))))</f>
        <v>0</v>
      </c>
      <c r="Y23" s="466"/>
      <c r="Z23" s="534"/>
      <c r="AA23" s="134">
        <f t="shared" si="1"/>
        <v>0</v>
      </c>
      <c r="AB23" s="354">
        <f>+AA23+AC23</f>
        <v>0</v>
      </c>
      <c r="AC23" s="354">
        <v>0</v>
      </c>
      <c r="AD23" s="355">
        <f>+AB22-AB23</f>
        <v>0</v>
      </c>
      <c r="AE23" s="131" t="str">
        <f>+IF(((AA24+(AA25/2))*60)=0,"",(J23*AA23)/((AA24+(AA25/2))*60))</f>
        <v/>
      </c>
      <c r="AF23" s="347"/>
      <c r="AG23" s="347"/>
      <c r="AH23" s="341"/>
      <c r="AI23" s="341"/>
      <c r="AJ23" s="356"/>
      <c r="AK23" s="348"/>
      <c r="AL23" s="349"/>
      <c r="AM23" s="341"/>
      <c r="AN23" s="341"/>
      <c r="AO23" s="341"/>
      <c r="AP23" s="341"/>
      <c r="AQ23" s="339" t="str">
        <f t="shared" ref="AQ23:AQ71" si="20">IF(AR23=0,"",AT23-(($AQ$3*K23)+($AQ$3*K23)*AR23)+AA22)</f>
        <v/>
      </c>
      <c r="AR23" s="434"/>
      <c r="AT23" s="390">
        <v>0</v>
      </c>
      <c r="AV23" s="390">
        <f t="shared" ref="AV23" si="21">+AT23-AD23</f>
        <v>0</v>
      </c>
      <c r="AW23" s="535"/>
      <c r="AX23" s="535"/>
      <c r="AY23" s="535"/>
      <c r="AZ23" s="535"/>
      <c r="BA23" s="535"/>
      <c r="BB23" s="535"/>
      <c r="BC23" s="535"/>
      <c r="BD23" s="535"/>
      <c r="BE23" s="535"/>
      <c r="BF23" s="535"/>
    </row>
    <row r="24" spans="2:58" s="98" customFormat="1" ht="62.25" customHeight="1" x14ac:dyDescent="0.9">
      <c r="B24" s="357">
        <f>+B23</f>
        <v>3</v>
      </c>
      <c r="C24" s="408"/>
      <c r="D24" s="184"/>
      <c r="E24" s="111">
        <f>+B23</f>
        <v>3</v>
      </c>
      <c r="F24" s="409"/>
      <c r="G24" s="541"/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160">
        <f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ref="AA24:AA25" si="22">+SUM(M24:W24)-U24*0.25</f>
        <v>0</v>
      </c>
      <c r="AB24" s="360"/>
      <c r="AC24" s="360"/>
      <c r="AD24" s="362"/>
      <c r="AE24" s="363"/>
      <c r="AF24" s="346"/>
      <c r="AG24" s="347"/>
      <c r="AH24" s="341"/>
      <c r="AI24" s="341"/>
      <c r="AJ24" s="341"/>
      <c r="AK24" s="348"/>
      <c r="AL24" s="349"/>
      <c r="AM24" s="341"/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3</v>
      </c>
      <c r="C25" s="410"/>
      <c r="D25" s="174"/>
      <c r="E25" s="175">
        <f>+E24+100</f>
        <v>103</v>
      </c>
      <c r="F25" s="175"/>
      <c r="G25" s="542"/>
      <c r="H25" s="117"/>
      <c r="I25" s="442"/>
      <c r="J25" s="165" t="str">
        <f>+IF(K25="","",IF(K23=0,"",(K23*J23)/(K25*60)))</f>
        <v/>
      </c>
      <c r="K25" s="118"/>
      <c r="L25" s="104" t="s">
        <v>19</v>
      </c>
      <c r="M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173"/>
      <c r="Y25" s="467"/>
      <c r="Z25" s="371"/>
      <c r="AA25" s="465">
        <f t="shared" si="22"/>
        <v>0</v>
      </c>
      <c r="AB25" s="367"/>
      <c r="AC25" s="367"/>
      <c r="AD25" s="368" t="str">
        <f>+IFERROR(AD23/(K23*$AQ$3),"")</f>
        <v/>
      </c>
      <c r="AE25" s="369"/>
      <c r="AF25" s="347"/>
      <c r="AG25" s="347"/>
      <c r="AH25" s="341"/>
      <c r="AI25" s="341"/>
      <c r="AJ25" s="356"/>
      <c r="AK25" s="370">
        <f>+$AJ$4</f>
        <v>8.75</v>
      </c>
      <c r="AL25" s="349"/>
      <c r="AM25" s="341"/>
      <c r="AN25" s="341"/>
      <c r="AO25" s="341"/>
      <c r="AP25" s="341"/>
      <c r="AQ25" s="369"/>
      <c r="AR25" s="434"/>
      <c r="AT25" s="390" t="s">
        <v>416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39" t="s">
        <v>424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7" t="str">
        <f t="shared" ref="X26" si="23">IF(AQ27="","",SUM(M26:W26)-(-(AQ27-SUM(M26:W26))/$AQ$3)*SUM($M$2:$W$2))</f>
        <v/>
      </c>
      <c r="Y26" s="466">
        <v>0</v>
      </c>
      <c r="Z26" s="533">
        <f>+X28</f>
        <v>0</v>
      </c>
      <c r="AA26" s="447">
        <f t="shared" si="1"/>
        <v>0</v>
      </c>
      <c r="AB26" s="343">
        <f>+AC26+AA26</f>
        <v>8799</v>
      </c>
      <c r="AC26" s="343">
        <v>8799</v>
      </c>
      <c r="AD26" s="344"/>
      <c r="AE26" s="345"/>
      <c r="AF26" s="346"/>
      <c r="AG26" s="347">
        <f t="shared" si="2"/>
        <v>0</v>
      </c>
      <c r="AH26" s="341">
        <f t="shared" si="3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423</v>
      </c>
      <c r="E27" s="111"/>
      <c r="F27" s="111" t="s">
        <v>35</v>
      </c>
      <c r="G27" s="539" t="str">
        <f t="shared" ref="G27:G29" si="24">+G26</f>
        <v>2215-518-800</v>
      </c>
      <c r="H27" s="111"/>
      <c r="I27" s="111" t="s">
        <v>33</v>
      </c>
      <c r="J27" s="113">
        <v>33.42</v>
      </c>
      <c r="K27" s="130">
        <v>61</v>
      </c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123">
        <f>+IF(H28="s",0,IF(AA27=0,0,IF(COUNTA(M27:W27)=AK29+0.25,SUMIF($C:$C,B27,$AA:$AA)/AK29,SUMIF($C:$C,B27,$AA:$AA)/(COUNTA(M27:W27)))))</f>
        <v>0</v>
      </c>
      <c r="Y27" s="466"/>
      <c r="Z27" s="534"/>
      <c r="AA27" s="134">
        <f t="shared" si="1"/>
        <v>0</v>
      </c>
      <c r="AB27" s="354">
        <f>+AA27+AC27</f>
        <v>8771</v>
      </c>
      <c r="AC27" s="354">
        <v>8771</v>
      </c>
      <c r="AD27" s="355">
        <f>+AB26-AB27</f>
        <v>28</v>
      </c>
      <c r="AE27" s="131" t="str">
        <f>+IF(((AA28+(AA29/2))*60)=0,"",(J27*AA27)/((AA28+(AA29/2))*60))</f>
        <v/>
      </c>
      <c r="AF27" s="347">
        <f>+AA28+AA29/2</f>
        <v>0</v>
      </c>
      <c r="AG27" s="347">
        <f t="shared" si="2"/>
        <v>0</v>
      </c>
      <c r="AH27" s="341">
        <f t="shared" si="3"/>
        <v>0</v>
      </c>
      <c r="AI27" s="341">
        <f>+AA27*J27</f>
        <v>0</v>
      </c>
      <c r="AJ27" s="356">
        <f>+AA27-(AF27*K27/K29)</f>
        <v>0</v>
      </c>
      <c r="AK27" s="348"/>
      <c r="AL27" s="349"/>
      <c r="AM27" s="341"/>
      <c r="AN27" s="341"/>
      <c r="AO27" s="341"/>
      <c r="AP27" s="341"/>
      <c r="AQ27" s="339" t="str">
        <f t="shared" si="20"/>
        <v/>
      </c>
      <c r="AR27" s="434"/>
      <c r="AT27" s="390">
        <v>28</v>
      </c>
      <c r="AV27" s="390">
        <f t="shared" ref="AV27" si="25">+AT27-AD27</f>
        <v>0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39" t="str">
        <f t="shared" si="24"/>
        <v>2215-518-800</v>
      </c>
      <c r="H28" s="411" t="s">
        <v>414</v>
      </c>
      <c r="I28" s="113">
        <f>+IFERROR(IF(K29=0,0,IF((LOOKUP(2,1/(M28:W28&lt;&gt;""),M28:W28)-K29)&lt;0,0,IF(K29=0,"",LOOKUP(2,1/(M28:W28&lt;&gt;""),M28:W28)-K29))),0)</f>
        <v>0</v>
      </c>
      <c r="J28" s="113">
        <v>0</v>
      </c>
      <c r="K28" s="114" t="s">
        <v>22</v>
      </c>
      <c r="L28" s="102" t="s">
        <v>18</v>
      </c>
      <c r="M28" s="448"/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160">
        <f>+IF(H28="l",IF(COUNTA(M27:W27)=AK29+0.25,AA27-K27*AK29,AA27-(K27*COUNTA(M27:W27))),IF(H28="s",0,IF(COUNTA(M27:W27)=AK29+0.25,SUMIF($C:$C,B27,$AA:$AA)-K27*AK29,SUMIF($C:$C,B27,$AA:$AA)-K27*COUNTA(M27:W27))))</f>
        <v>0</v>
      </c>
      <c r="Y28" s="466"/>
      <c r="Z28" s="534"/>
      <c r="AA28" s="462">
        <f t="shared" ref="AA28:AA29" si="26">+SUM(M28:W28)-U28*0.25</f>
        <v>0</v>
      </c>
      <c r="AB28" s="360"/>
      <c r="AC28" s="360"/>
      <c r="AD28" s="362"/>
      <c r="AE28" s="363"/>
      <c r="AF28" s="346"/>
      <c r="AG28" s="347">
        <f t="shared" si="2"/>
        <v>0</v>
      </c>
      <c r="AH28" s="341">
        <f t="shared" si="3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0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39" t="str">
        <f t="shared" si="24"/>
        <v>2215-518-800</v>
      </c>
      <c r="H29" s="117"/>
      <c r="I29" s="442"/>
      <c r="J29" s="165">
        <f>+IF(K29="","",IF(K27=0,"",(K27*J27)/(K29*60)))</f>
        <v>0.8941315789473685</v>
      </c>
      <c r="K29" s="118">
        <v>38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24.63</v>
      </c>
      <c r="Z29" s="365">
        <v>24.63</v>
      </c>
      <c r="AA29" s="465">
        <f t="shared" si="26"/>
        <v>0</v>
      </c>
      <c r="AB29" s="367"/>
      <c r="AC29" s="367"/>
      <c r="AD29" s="368">
        <f>+IFERROR(AD27/(K27*$AQ$3),"")</f>
        <v>5.2459016393442623E-2</v>
      </c>
      <c r="AE29" s="369"/>
      <c r="AF29" s="347"/>
      <c r="AG29" s="347">
        <f t="shared" si="2"/>
        <v>0</v>
      </c>
      <c r="AH29" s="341">
        <f t="shared" si="3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5.2459016393442623E-2</v>
      </c>
      <c r="AV29" s="390"/>
    </row>
    <row r="30" spans="2:58" s="98" customFormat="1" ht="62.25" customHeight="1" thickTop="1" x14ac:dyDescent="0.9">
      <c r="B30" s="342">
        <f>+B31</f>
        <v>4</v>
      </c>
      <c r="C30" s="405"/>
      <c r="D30" s="106"/>
      <c r="E30" s="106"/>
      <c r="F30" s="106"/>
      <c r="G30" s="540" t="s">
        <v>442</v>
      </c>
      <c r="H30" s="106"/>
      <c r="I30" s="106"/>
      <c r="J30" s="107" t="s">
        <v>20</v>
      </c>
      <c r="K30" s="108" t="s">
        <v>23</v>
      </c>
      <c r="L30" s="100" t="s">
        <v>21</v>
      </c>
      <c r="M30" s="448">
        <v>60</v>
      </c>
      <c r="N30" s="448"/>
      <c r="O30" s="448">
        <v>60</v>
      </c>
      <c r="P30" s="448"/>
      <c r="Q30" s="448">
        <v>60</v>
      </c>
      <c r="R30" s="448">
        <v>120</v>
      </c>
      <c r="S30" s="448"/>
      <c r="T30" s="448"/>
      <c r="U30" s="448"/>
      <c r="V30" s="448"/>
      <c r="W30" s="448"/>
      <c r="X30" s="447">
        <f t="shared" ref="X30" si="27">IF(AQ31="","",SUM(M30:W30)-(-(AQ31-SUM(M30:W30))/$AQ$3)*SUM($M$2:$W$2))</f>
        <v>300</v>
      </c>
      <c r="Y30" s="466">
        <v>-178</v>
      </c>
      <c r="Z30" s="533">
        <f>+X32</f>
        <v>-70</v>
      </c>
      <c r="AA30" s="447">
        <f t="shared" si="1"/>
        <v>300</v>
      </c>
      <c r="AB30" s="343">
        <f>+AC30+AA30</f>
        <v>1861</v>
      </c>
      <c r="AC30" s="343">
        <v>1561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4</v>
      </c>
      <c r="C31" s="406">
        <f>+B31</f>
        <v>4</v>
      </c>
      <c r="D31" s="407" t="s">
        <v>441</v>
      </c>
      <c r="E31" s="111"/>
      <c r="F31" s="111" t="s">
        <v>35</v>
      </c>
      <c r="G31" s="541" t="str">
        <f t="shared" ref="G31:G33" si="28">+G30</f>
        <v>2259-600-730</v>
      </c>
      <c r="H31" s="111"/>
      <c r="I31" s="111" t="s">
        <v>33</v>
      </c>
      <c r="J31" s="113">
        <v>34.450000000000003</v>
      </c>
      <c r="K31" s="130">
        <v>60</v>
      </c>
      <c r="L31" s="101" t="s">
        <v>17</v>
      </c>
      <c r="M31" s="214">
        <v>50</v>
      </c>
      <c r="N31" s="214">
        <v>50</v>
      </c>
      <c r="O31" s="214">
        <v>50</v>
      </c>
      <c r="P31" s="214">
        <v>50</v>
      </c>
      <c r="Q31" s="214">
        <v>50</v>
      </c>
      <c r="R31" s="214">
        <v>55</v>
      </c>
      <c r="S31" s="214">
        <v>55</v>
      </c>
      <c r="T31" s="214">
        <v>55</v>
      </c>
      <c r="U31" s="214">
        <v>40</v>
      </c>
      <c r="V31" s="214"/>
      <c r="W31" s="214"/>
      <c r="X31" s="123">
        <f>+IF(H32="s",0,IF(AA31=0,0,IF(COUNTA(M31:W31)=AK33+0.25,SUMIF($C:$C,B31,$AA:$AA)/AK33,SUMIF($C:$C,B31,$AA:$AA)/(COUNTA(M31:W31)))))</f>
        <v>52</v>
      </c>
      <c r="Y31" s="466"/>
      <c r="Z31" s="534"/>
      <c r="AA31" s="134">
        <f t="shared" si="1"/>
        <v>455</v>
      </c>
      <c r="AB31" s="354">
        <f>+AA31+AC31</f>
        <v>1027</v>
      </c>
      <c r="AC31" s="354">
        <v>572</v>
      </c>
      <c r="AD31" s="355">
        <f>+AB30-AB31</f>
        <v>834</v>
      </c>
      <c r="AE31" s="131">
        <f>+IF(((AA32+(AA33/2))*60)=0,"",(J31*AA31)/((AA32+(AA33/2))*60))</f>
        <v>0.78570175438596501</v>
      </c>
      <c r="AF31" s="347">
        <f>+AA32+AA33/2</f>
        <v>332.5</v>
      </c>
      <c r="AG31" s="347">
        <f t="shared" si="2"/>
        <v>332.3</v>
      </c>
      <c r="AH31" s="341">
        <f t="shared" si="3"/>
        <v>19950</v>
      </c>
      <c r="AI31" s="341">
        <f>+AA31*J31</f>
        <v>15674.750000000002</v>
      </c>
      <c r="AJ31" s="356">
        <f>+AA31-(AF31*K31/K33)</f>
        <v>-70</v>
      </c>
      <c r="AK31" s="348"/>
      <c r="AL31" s="349"/>
      <c r="AM31" s="341"/>
      <c r="AN31" s="341"/>
      <c r="AO31" s="341"/>
      <c r="AP31" s="341"/>
      <c r="AQ31" s="339">
        <f>-300+AA30</f>
        <v>0</v>
      </c>
      <c r="AR31" s="434">
        <v>1.5</v>
      </c>
      <c r="AT31" s="390">
        <v>989</v>
      </c>
      <c r="AV31" s="390">
        <f t="shared" ref="AV31" si="29">+AT31-AD31</f>
        <v>155</v>
      </c>
    </row>
    <row r="32" spans="2:58" s="98" customFormat="1" ht="62.25" customHeight="1" x14ac:dyDescent="0.9">
      <c r="B32" s="357">
        <f>+B31</f>
        <v>4</v>
      </c>
      <c r="C32" s="408"/>
      <c r="D32" s="184"/>
      <c r="E32" s="111">
        <f>+B31</f>
        <v>4</v>
      </c>
      <c r="F32" s="409"/>
      <c r="G32" s="541" t="str">
        <f t="shared" si="28"/>
        <v>2259-600-730</v>
      </c>
      <c r="H32" s="411" t="s">
        <v>412</v>
      </c>
      <c r="I32" s="113">
        <f>+IFERROR(IF(K33=0,0,IF((LOOKUP(2,1/(M32:W32&lt;&gt;""),M32:W32)-K33)&lt;0,0,IF(K33=0,"",LOOKUP(2,1/(M32:W32&lt;&gt;""),M32:W32)-K33))),0)</f>
        <v>0</v>
      </c>
      <c r="J32" s="113">
        <v>2</v>
      </c>
      <c r="K32" s="114" t="s">
        <v>22</v>
      </c>
      <c r="L32" s="102" t="s">
        <v>18</v>
      </c>
      <c r="M32" s="448">
        <v>38</v>
      </c>
      <c r="N32" s="448">
        <v>38</v>
      </c>
      <c r="O32" s="448">
        <v>38</v>
      </c>
      <c r="P32" s="448">
        <v>38</v>
      </c>
      <c r="Q32" s="448">
        <v>38</v>
      </c>
      <c r="R32" s="448">
        <v>38</v>
      </c>
      <c r="S32" s="448">
        <v>38</v>
      </c>
      <c r="T32" s="448">
        <v>38</v>
      </c>
      <c r="U32" s="448">
        <v>38</v>
      </c>
      <c r="V32" s="448"/>
      <c r="W32" s="448"/>
      <c r="X32" s="160">
        <f>+IF(H32="l",IF(COUNTA(M31:W31)=AK33+0.25,AA31-K31*AK33,AA31-(K31*COUNTA(M31:W31))),IF(H32="s",0,IF(COUNTA(M31:W31)=AK33+0.25,SUMIF($C:$C,B31,$AA:$AA)-K31*AK33,SUMIF($C:$C,B31,$AA:$AA)-K31*COUNTA(M31:W31))))</f>
        <v>-70</v>
      </c>
      <c r="Y32" s="466"/>
      <c r="Z32" s="534"/>
      <c r="AA32" s="462">
        <f t="shared" ref="AA32:AA33" si="30">+SUM(M32:W32)-U32*0.25</f>
        <v>332.5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41"/>
      <c r="AK32" s="348"/>
      <c r="AL32" s="349">
        <f>+IF(AK33=7.75,SUM(M32:S32)+T32*0.75,IF(AK33=8,SUM(M32:T32),IF(AK33=7.25,SUM(M32:S32)+T32*0.25,IF(AK33=8.25,SUM(M32:T32)+U32*0.25,IF(AK33=8.75,SUM(M32:T32)+U32*0.75,0)))))</f>
        <v>332.5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+B31</f>
        <v>4</v>
      </c>
      <c r="C33" s="410"/>
      <c r="D33" s="174" t="s">
        <v>420</v>
      </c>
      <c r="E33" s="175">
        <f>+E32+100</f>
        <v>104</v>
      </c>
      <c r="F33" s="175"/>
      <c r="G33" s="542" t="str">
        <f t="shared" si="28"/>
        <v>2259-600-730</v>
      </c>
      <c r="H33" s="117"/>
      <c r="I33" s="442"/>
      <c r="J33" s="165">
        <f>+IF(K33="","",IF(K31=0,"",(K31*J31)/(K33*60)))</f>
        <v>0.90657894736842104</v>
      </c>
      <c r="K33" s="118">
        <v>38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17.005128205128205</v>
      </c>
      <c r="Z33" s="371">
        <f>+IF(COUNTA(M31:W31)=$AJ$4+0.25,$AJ$4-(AA31/K31),COUNTA(M31:W31)-(AA31/K31))+Y33</f>
        <v>18.171794871794873</v>
      </c>
      <c r="AA33" s="465">
        <f t="shared" si="30"/>
        <v>0</v>
      </c>
      <c r="AB33" s="367"/>
      <c r="AC33" s="367"/>
      <c r="AD33" s="368">
        <f>+IFERROR(AD31/(K31*$AQ$3),"")</f>
        <v>1.5885714285714285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1.8838095238095238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39" t="s">
        <v>434</v>
      </c>
      <c r="H34" s="106"/>
      <c r="I34" s="111"/>
      <c r="J34" s="107" t="s">
        <v>20</v>
      </c>
      <c r="K34" s="108" t="s">
        <v>23</v>
      </c>
      <c r="L34" s="100" t="s">
        <v>21</v>
      </c>
      <c r="M34" s="448">
        <v>100</v>
      </c>
      <c r="N34" s="448">
        <v>67</v>
      </c>
      <c r="O34" s="448"/>
      <c r="P34" s="448">
        <v>50</v>
      </c>
      <c r="Q34" s="448">
        <v>50</v>
      </c>
      <c r="R34" s="448">
        <v>50</v>
      </c>
      <c r="S34" s="448"/>
      <c r="T34" s="448"/>
      <c r="U34" s="448"/>
      <c r="V34" s="448"/>
      <c r="W34" s="448"/>
      <c r="X34" s="447">
        <f t="shared" ref="X34" si="31">IF(AQ35="","",SUM(M34:W34)-(-(AQ35-SUM(M34:W34))/$AQ$3)*SUM($M$2:$W$2))</f>
        <v>317</v>
      </c>
      <c r="Y34" s="466">
        <v>-73.25</v>
      </c>
      <c r="Z34" s="533">
        <f>+X36</f>
        <v>-135.25</v>
      </c>
      <c r="AA34" s="447">
        <f t="shared" si="1"/>
        <v>317</v>
      </c>
      <c r="AB34" s="343">
        <f>+AC34+AA34</f>
        <v>4058</v>
      </c>
      <c r="AC34" s="343">
        <v>3741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433</v>
      </c>
      <c r="E35" s="111"/>
      <c r="F35" s="111" t="s">
        <v>428</v>
      </c>
      <c r="G35" s="539" t="str">
        <f t="shared" ref="G35:G37" si="32">+G34</f>
        <v>ATENAS-203645</v>
      </c>
      <c r="H35" s="111"/>
      <c r="I35" s="111" t="s">
        <v>33</v>
      </c>
      <c r="J35" s="113">
        <v>61</v>
      </c>
      <c r="K35" s="130">
        <v>47</v>
      </c>
      <c r="L35" s="101" t="s">
        <v>17</v>
      </c>
      <c r="M35" s="214">
        <v>40</v>
      </c>
      <c r="N35" s="214">
        <v>28</v>
      </c>
      <c r="O35" s="214">
        <v>26</v>
      </c>
      <c r="P35" s="214">
        <v>26</v>
      </c>
      <c r="Q35" s="214">
        <v>35</v>
      </c>
      <c r="R35" s="214">
        <v>39</v>
      </c>
      <c r="S35" s="214">
        <v>40</v>
      </c>
      <c r="T35" s="214">
        <v>32</v>
      </c>
      <c r="U35" s="214">
        <v>10</v>
      </c>
      <c r="V35" s="214"/>
      <c r="W35" s="214"/>
      <c r="X35" s="123">
        <f>+IF(H36="s",0,IF(AA35=0,0,IF(COUNTA(M35:W35)=AK37+0.25,SUMIF($C:$C,B35,$AA:$AA)/AK37,SUMIF($C:$C,B35,$AA:$AA)/(COUNTA(M35:W35)))))</f>
        <v>31.542857142857144</v>
      </c>
      <c r="Y35" s="466"/>
      <c r="Z35" s="534"/>
      <c r="AA35" s="134">
        <f t="shared" si="1"/>
        <v>276</v>
      </c>
      <c r="AB35" s="354">
        <f>+AA35+AC35</f>
        <v>3157</v>
      </c>
      <c r="AC35" s="354">
        <v>2881</v>
      </c>
      <c r="AD35" s="355">
        <f>+AB34-AB35</f>
        <v>901</v>
      </c>
      <c r="AE35" s="131">
        <f>+IF(((AA36+(AA37/2))*60)=0,"",(J35*AA35)/((AA36+(AA37/2))*60))</f>
        <v>0.57265306122448978</v>
      </c>
      <c r="AF35" s="347">
        <f>+AA36+AA37/2</f>
        <v>490</v>
      </c>
      <c r="AG35" s="347">
        <f t="shared" si="2"/>
        <v>490</v>
      </c>
      <c r="AH35" s="341">
        <f t="shared" si="3"/>
        <v>29400</v>
      </c>
      <c r="AI35" s="341">
        <f>+AA35*J35</f>
        <v>16836</v>
      </c>
      <c r="AJ35" s="356">
        <f>+AA35-(AF35*K35/K37)</f>
        <v>-135.25</v>
      </c>
      <c r="AK35" s="348"/>
      <c r="AL35" s="349"/>
      <c r="AM35" s="341"/>
      <c r="AN35" s="341"/>
      <c r="AO35" s="341"/>
      <c r="AP35" s="341"/>
      <c r="AQ35" s="339">
        <f>-300+AA34</f>
        <v>17</v>
      </c>
      <c r="AR35" s="434"/>
      <c r="AT35" s="390">
        <v>860</v>
      </c>
      <c r="AV35" s="390">
        <f t="shared" ref="AV35" si="33">+AT35-AD35</f>
        <v>-41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39" t="str">
        <f t="shared" si="32"/>
        <v>ATENAS-203645</v>
      </c>
      <c r="H36" s="411"/>
      <c r="I36" s="113">
        <f>+IFERROR(IF(K37=0,0,IF((LOOKUP(2,1/(M36:W36&lt;&gt;""),M36:W36)-K37)&lt;0,0,IF(K37=0,"",LOOKUP(2,1/(M36:W36&lt;&gt;""),M36:W36)-K37))),0)</f>
        <v>0</v>
      </c>
      <c r="J36" s="113">
        <v>1</v>
      </c>
      <c r="K36" s="114" t="s">
        <v>22</v>
      </c>
      <c r="L36" s="102" t="s">
        <v>18</v>
      </c>
      <c r="M36" s="448">
        <v>56</v>
      </c>
      <c r="N36" s="448">
        <v>56</v>
      </c>
      <c r="O36" s="448">
        <v>56</v>
      </c>
      <c r="P36" s="448">
        <v>56</v>
      </c>
      <c r="Q36" s="448">
        <v>56</v>
      </c>
      <c r="R36" s="448">
        <v>56</v>
      </c>
      <c r="S36" s="448">
        <v>56</v>
      </c>
      <c r="T36" s="448">
        <v>56</v>
      </c>
      <c r="U36" s="448">
        <v>56</v>
      </c>
      <c r="V36" s="448"/>
      <c r="W36" s="448"/>
      <c r="X36" s="160">
        <f>+IF(H36="l",IF(COUNTA(M35:W35)=AK37+0.25,AA35-K35*AK37,AA35-(K35*COUNTA(M35:W35))),IF(H36="s",0,IF(COUNTA(M35:W35)=AK37+0.25,SUMIF($C:$C,B35,$AA:$AA)-K35*AK37,SUMIF($C:$C,B35,$AA:$AA)-K35*COUNTA(M35:W35))))</f>
        <v>-135.25</v>
      </c>
      <c r="Y36" s="466"/>
      <c r="Z36" s="534"/>
      <c r="AA36" s="462">
        <f t="shared" ref="AA36:AA37" si="34">+SUM(M36:W36)-U36*0.25</f>
        <v>490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490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39" t="str">
        <f t="shared" si="32"/>
        <v>ATENAS-203645</v>
      </c>
      <c r="H37" s="117"/>
      <c r="I37" s="442"/>
      <c r="J37" s="165">
        <f>+IF(K37="","",IF(K35=0,"",(K35*J35)/(K37*60)))</f>
        <v>0.85327380952380949</v>
      </c>
      <c r="K37" s="118">
        <v>56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51.596808510638297</v>
      </c>
      <c r="Z37" s="371">
        <f>+IF(COUNTA(M35:W35)=$AJ$4+0.25,$AJ$4-(AA35/K35),COUNTA(M35:W35)-(AA35/K35))+Y37</f>
        <v>54.47446808510638</v>
      </c>
      <c r="AA37" s="465">
        <f t="shared" si="34"/>
        <v>0</v>
      </c>
      <c r="AB37" s="367"/>
      <c r="AC37" s="367"/>
      <c r="AD37" s="368">
        <f>+IFERROR(AD35/(K35*$AQ$3),"")</f>
        <v>2.1908814589665653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2.0911854103343464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540" t="s">
        <v>435</v>
      </c>
      <c r="H38" s="106"/>
      <c r="I38" s="111"/>
      <c r="J38" s="107" t="s">
        <v>20</v>
      </c>
      <c r="K38" s="108">
        <v>0</v>
      </c>
      <c r="L38" s="100" t="s">
        <v>21</v>
      </c>
      <c r="M38" s="448"/>
      <c r="N38" s="448"/>
      <c r="O38" s="448"/>
      <c r="P38" s="448"/>
      <c r="Q38" s="448"/>
      <c r="R38" s="448"/>
      <c r="S38" s="448"/>
      <c r="T38" s="448"/>
      <c r="U38" s="448"/>
      <c r="V38" s="448"/>
      <c r="W38" s="448"/>
      <c r="X38" s="447" t="str">
        <f t="shared" ref="X38" si="35">IF(AQ39="","",SUM(M38:W38)-(-(AQ39-SUM(M38:W38))/$AQ$3)*SUM($M$2:$W$2))</f>
        <v/>
      </c>
      <c r="Y38" s="466">
        <v>-120</v>
      </c>
      <c r="Z38" s="533">
        <f>+X40</f>
        <v>-44</v>
      </c>
      <c r="AA38" s="447">
        <f t="shared" si="1"/>
        <v>0</v>
      </c>
      <c r="AB38" s="343">
        <f>+AC38+AA38</f>
        <v>3601</v>
      </c>
      <c r="AC38" s="343">
        <v>3601</v>
      </c>
      <c r="AD38" s="344"/>
      <c r="AE38" s="345"/>
      <c r="AF38" s="346"/>
      <c r="AG38" s="347">
        <f t="shared" si="2"/>
        <v>0</v>
      </c>
      <c r="AH38" s="341">
        <f t="shared" si="3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436</v>
      </c>
      <c r="E39" s="111"/>
      <c r="F39" s="111" t="s">
        <v>35</v>
      </c>
      <c r="G39" s="541" t="str">
        <f t="shared" ref="G39:G41" si="36">+G38</f>
        <v>2076-780-803</v>
      </c>
      <c r="H39" s="111"/>
      <c r="I39" s="111" t="s">
        <v>38</v>
      </c>
      <c r="J39" s="113">
        <v>38.729999999999997</v>
      </c>
      <c r="K39" s="471">
        <v>52</v>
      </c>
      <c r="L39" s="101" t="s">
        <v>17</v>
      </c>
      <c r="M39" s="214">
        <v>8</v>
      </c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123">
        <f>+IF(H40="s",0,IF(AA39=0,0,IF(COUNTA(M39:W39)=AK41+0.25,SUMIF($C:$C,B39,$AA:$AA)/AK41,SUMIF($C:$C,B39,$AA:$AA)/(COUNTA(M39:W39)))))</f>
        <v>338</v>
      </c>
      <c r="Y39" s="466"/>
      <c r="Z39" s="534"/>
      <c r="AA39" s="134">
        <f t="shared" si="1"/>
        <v>8</v>
      </c>
      <c r="AB39" s="354">
        <f>+AA39+AC39</f>
        <v>3601</v>
      </c>
      <c r="AC39" s="354">
        <v>3593</v>
      </c>
      <c r="AD39" s="355">
        <f>+AB38-AB39</f>
        <v>0</v>
      </c>
      <c r="AE39" s="131">
        <f>+IF(((AA40+(AA41/2))*60)=0,"",(J39*AA39)/((AA40+(AA41/2))*60))</f>
        <v>5.1639999999999997</v>
      </c>
      <c r="AF39" s="347">
        <f>+AA40+AA41/2</f>
        <v>1</v>
      </c>
      <c r="AG39" s="347">
        <f t="shared" si="2"/>
        <v>1</v>
      </c>
      <c r="AH39" s="341">
        <f t="shared" si="3"/>
        <v>60</v>
      </c>
      <c r="AI39" s="341">
        <f>+AA39*J39</f>
        <v>309.83999999999997</v>
      </c>
      <c r="AJ39" s="356">
        <f>+AA39-(AF39*K39/K41)</f>
        <v>6.666666666666667</v>
      </c>
      <c r="AK39" s="348"/>
      <c r="AL39" s="349"/>
      <c r="AM39" s="341"/>
      <c r="AN39" s="341"/>
      <c r="AO39" s="341"/>
      <c r="AP39" s="341"/>
      <c r="AQ39" s="339" t="str">
        <f t="shared" si="20"/>
        <v/>
      </c>
      <c r="AR39" s="434"/>
      <c r="AT39" s="390">
        <v>8</v>
      </c>
      <c r="AV39" s="390">
        <f t="shared" ref="AV39" si="37">+AT39-AD39</f>
        <v>8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541" t="str">
        <f t="shared" si="36"/>
        <v>2076-780-803</v>
      </c>
      <c r="H40" s="411" t="s">
        <v>413</v>
      </c>
      <c r="I40" s="113">
        <f>+IFERROR(IF(K41=0,0,IF((LOOKUP(2,1/(M40:W40&lt;&gt;""),M40:W40)-K41)&lt;0,0,IF(K41=0,"",LOOKUP(2,1/(M40:W40&lt;&gt;""),M40:W40)-K41))),0)</f>
        <v>0</v>
      </c>
      <c r="J40" s="113">
        <v>0</v>
      </c>
      <c r="K40" s="114" t="s">
        <v>22</v>
      </c>
      <c r="L40" s="102" t="s">
        <v>18</v>
      </c>
      <c r="M40" s="448">
        <v>1</v>
      </c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160">
        <f>+IF(H40="l",IF(COUNTA(M39:W39)=AK41+0.25,AA39-K39*AK41,AA39-(K39*COUNTA(M39:W39))),IF(H40="s",0,IF(COUNTA(M39:W39)=AK41+0.25,SUMIF($C:$C,B39,$AA:$AA)-K39*AK41,SUMIF($C:$C,B39,$AA:$AA)-K39*COUNTA(M39:W39))))</f>
        <v>-44</v>
      </c>
      <c r="Y40" s="466"/>
      <c r="Z40" s="534"/>
      <c r="AA40" s="462">
        <f t="shared" ref="AA40:AA41" si="38">+SUM(M40:W40)-U40*0.25</f>
        <v>1</v>
      </c>
      <c r="AB40" s="360"/>
      <c r="AC40" s="360"/>
      <c r="AD40" s="362"/>
      <c r="AE40" s="363"/>
      <c r="AF40" s="346"/>
      <c r="AG40" s="347">
        <f t="shared" si="2"/>
        <v>0</v>
      </c>
      <c r="AH40" s="341">
        <f t="shared" si="3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1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542" t="str">
        <f t="shared" si="36"/>
        <v>2076-780-803</v>
      </c>
      <c r="H41" s="117"/>
      <c r="I41" s="442"/>
      <c r="J41" s="165">
        <f>+IF(K41="","",IF(K39=0,"",(K39*J39)/(K41*60)))</f>
        <v>0.86066666666666658</v>
      </c>
      <c r="K41" s="471">
        <v>39</v>
      </c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>
        <v>26.368832891246683</v>
      </c>
      <c r="Z41" s="371">
        <f>+IF(COUNTA(M39:W39)=$AJ$4+0.25,$AJ$4-(AA39/K39),COUNTA(M39:W39)-(AA39/K39))+Y41</f>
        <v>27.21498673740053</v>
      </c>
      <c r="AA41" s="465">
        <f t="shared" si="38"/>
        <v>0</v>
      </c>
      <c r="AB41" s="367"/>
      <c r="AC41" s="367"/>
      <c r="AD41" s="368">
        <f>+IFERROR(AD39/(K39*$AQ$3),"")</f>
        <v>0</v>
      </c>
      <c r="AE41" s="369"/>
      <c r="AF41" s="347"/>
      <c r="AG41" s="347">
        <f t="shared" si="2"/>
        <v>0</v>
      </c>
      <c r="AH41" s="341">
        <f t="shared" si="3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1.7582417582417582E-2</v>
      </c>
      <c r="AV41" s="390"/>
    </row>
    <row r="42" spans="2:58" s="98" customFormat="1" ht="62.25" customHeight="1" thickTop="1" x14ac:dyDescent="0.9">
      <c r="B42" s="342">
        <f>+B43</f>
        <v>6</v>
      </c>
      <c r="C42" s="405"/>
      <c r="D42" s="106"/>
      <c r="E42" s="106"/>
      <c r="F42" s="106"/>
      <c r="G42" s="540" t="s">
        <v>442</v>
      </c>
      <c r="H42" s="106"/>
      <c r="I42" s="111"/>
      <c r="J42" s="107" t="s">
        <v>20</v>
      </c>
      <c r="K42" s="108">
        <v>0</v>
      </c>
      <c r="L42" s="100" t="s">
        <v>21</v>
      </c>
      <c r="M42" s="448">
        <v>60</v>
      </c>
      <c r="N42" s="448">
        <v>60</v>
      </c>
      <c r="O42" s="448">
        <v>60</v>
      </c>
      <c r="P42" s="448">
        <v>60</v>
      </c>
      <c r="Q42" s="448">
        <v>60</v>
      </c>
      <c r="R42" s="448">
        <v>120</v>
      </c>
      <c r="S42" s="448"/>
      <c r="T42" s="448"/>
      <c r="U42" s="448"/>
      <c r="V42" s="448"/>
      <c r="W42" s="448"/>
      <c r="X42" s="447">
        <f t="shared" ref="X42" si="39">IF(AQ43="","",SUM(M42:W42)-(-(AQ43-SUM(M42:W42))/$AQ$3)*SUM($M$2:$W$2))</f>
        <v>420</v>
      </c>
      <c r="Y42" s="466">
        <v>-495</v>
      </c>
      <c r="Z42" s="533">
        <f>+X44</f>
        <v>-195</v>
      </c>
      <c r="AA42" s="447">
        <f t="shared" ref="AA42:AA43" si="40">+SUM(L42:W42)</f>
        <v>420</v>
      </c>
      <c r="AB42" s="343">
        <f>+AC42+AA42</f>
        <v>1200</v>
      </c>
      <c r="AC42" s="343">
        <v>780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0.9">
      <c r="B43" s="351">
        <v>6</v>
      </c>
      <c r="C43" s="406">
        <f>+B43</f>
        <v>6</v>
      </c>
      <c r="D43" s="407" t="s">
        <v>441</v>
      </c>
      <c r="E43" s="111"/>
      <c r="F43" s="111" t="s">
        <v>35</v>
      </c>
      <c r="G43" s="541" t="str">
        <f t="shared" ref="G43:G45" si="41">+G42</f>
        <v>2259-600-730</v>
      </c>
      <c r="H43" s="111"/>
      <c r="I43" s="111" t="s">
        <v>33</v>
      </c>
      <c r="J43" s="113">
        <v>34.450000000000003</v>
      </c>
      <c r="K43" s="130">
        <v>60</v>
      </c>
      <c r="L43" s="101" t="s">
        <v>17</v>
      </c>
      <c r="M43" s="214">
        <v>30</v>
      </c>
      <c r="N43" s="214">
        <v>25</v>
      </c>
      <c r="O43" s="214">
        <v>30</v>
      </c>
      <c r="P43" s="214">
        <v>35</v>
      </c>
      <c r="Q43" s="214">
        <v>40</v>
      </c>
      <c r="R43" s="214">
        <v>40</v>
      </c>
      <c r="S43" s="214">
        <v>50</v>
      </c>
      <c r="T43" s="214">
        <v>50</v>
      </c>
      <c r="U43" s="214">
        <v>30</v>
      </c>
      <c r="V43" s="214"/>
      <c r="W43" s="214"/>
      <c r="X43" s="123">
        <f>+IF(H44="s",0,IF(AA43=0,0,IF(COUNTA(M43:W43)=AK45+0.25,SUMIF($C:$C,B43,$AA:$AA)/AK45,SUMIF($C:$C,B43,$AA:$AA)/(COUNTA(M43:W43)))))</f>
        <v>38.628571428571426</v>
      </c>
      <c r="Y43" s="466"/>
      <c r="Z43" s="534"/>
      <c r="AA43" s="134">
        <f t="shared" si="40"/>
        <v>330</v>
      </c>
      <c r="AB43" s="354">
        <f>+AA43+AC43</f>
        <v>360</v>
      </c>
      <c r="AC43" s="354">
        <v>30</v>
      </c>
      <c r="AD43" s="355">
        <f>+AB42-AB43</f>
        <v>840</v>
      </c>
      <c r="AE43" s="131">
        <f>+IF(((AA44+(AA45/2))*60)=0,"",(J43*AA43)/((AA44+(AA45/2))*60))</f>
        <v>0.56412355787123192</v>
      </c>
      <c r="AF43" s="347">
        <f>+AA44+AA45/2</f>
        <v>335.875</v>
      </c>
      <c r="AG43" s="347">
        <f t="shared" si="2"/>
        <v>335.52499999999998</v>
      </c>
      <c r="AH43" s="341">
        <f t="shared" si="3"/>
        <v>20152.5</v>
      </c>
      <c r="AI43" s="341">
        <f>+AA43*J43</f>
        <v>11368.500000000002</v>
      </c>
      <c r="AJ43" s="356">
        <f>+AA43-(AF43*K43/K45)</f>
        <v>-200.32894736842104</v>
      </c>
      <c r="AK43" s="348"/>
      <c r="AL43" s="349"/>
      <c r="AM43" s="341"/>
      <c r="AN43" s="341"/>
      <c r="AO43" s="341"/>
      <c r="AP43" s="341"/>
      <c r="AQ43" s="339">
        <f t="shared" si="20"/>
        <v>15</v>
      </c>
      <c r="AR43" s="434">
        <v>1.2</v>
      </c>
      <c r="AT43" s="390">
        <v>750</v>
      </c>
      <c r="AV43" s="390">
        <f t="shared" ref="AV43" si="42">+AT43-AD43</f>
        <v>-90</v>
      </c>
    </row>
    <row r="44" spans="2:58" s="98" customFormat="1" ht="62.25" customHeight="1" x14ac:dyDescent="0.9">
      <c r="B44" s="357">
        <f>B43</f>
        <v>6</v>
      </c>
      <c r="C44" s="408"/>
      <c r="D44" s="184"/>
      <c r="E44" s="111">
        <f>+B43</f>
        <v>6</v>
      </c>
      <c r="F44" s="409"/>
      <c r="G44" s="541" t="str">
        <f t="shared" si="41"/>
        <v>2259-600-730</v>
      </c>
      <c r="H44" s="411" t="s">
        <v>413</v>
      </c>
      <c r="I44" s="113">
        <f>+IFERROR(IF(K45=0,0,IF((LOOKUP(2,1/(M44:W44&lt;&gt;""),M44:W44)-K45)&lt;0,0,IF(K45=0,"",LOOKUP(2,1/(M44:W44&lt;&gt;""),M44:W44)-K45))),0)</f>
        <v>0</v>
      </c>
      <c r="J44" s="113">
        <v>0</v>
      </c>
      <c r="K44" s="114" t="s">
        <v>22</v>
      </c>
      <c r="L44" s="102" t="s">
        <v>18</v>
      </c>
      <c r="M44" s="448">
        <v>37</v>
      </c>
      <c r="N44" s="448">
        <v>38</v>
      </c>
      <c r="O44" s="448">
        <v>38</v>
      </c>
      <c r="P44" s="448">
        <v>38</v>
      </c>
      <c r="Q44" s="448">
        <v>38</v>
      </c>
      <c r="R44" s="448">
        <v>38</v>
      </c>
      <c r="S44" s="448">
        <v>38</v>
      </c>
      <c r="T44" s="448">
        <v>38</v>
      </c>
      <c r="U44" s="448">
        <v>38</v>
      </c>
      <c r="V44" s="448"/>
      <c r="W44" s="448"/>
      <c r="X44" s="160">
        <f>+IF(H44="l",IF(COUNTA(M43:W43)=AK45+0.25,AA43-K43*AK45,AA43-(K43*COUNTA(M43:W43))),IF(H44="s",0,IF(COUNTA(M43:W43)=AK45+0.25,SUMIF($C:$C,B43,$AA:$AA)-K43*AK45,SUMIF($C:$C,B43,$AA:$AA)-K43*COUNTA(M43:W43))))</f>
        <v>-195</v>
      </c>
      <c r="Y44" s="466"/>
      <c r="Z44" s="534"/>
      <c r="AA44" s="462">
        <f t="shared" ref="AA44:AA45" si="43">+SUM(M44:W44)-U44*0.25</f>
        <v>331.5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56"/>
      <c r="AK44" s="348"/>
      <c r="AL44" s="349">
        <f>+IF(AK45=7.75,SUM(M44:S44)+T44*0.75,IF(AK45=8,SUM(M44:T44),IF(AK45=7.25,SUM(M44:S44)+T44*0.25,IF(AK45=8.25,SUM(M44:T44)+U44*0.25,IF(AK45=8.75,SUM(M44:T44)+U44*0.75,0)))))</f>
        <v>331.5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64">
        <f>B43</f>
        <v>6</v>
      </c>
      <c r="C45" s="410"/>
      <c r="D45" s="174" t="s">
        <v>366</v>
      </c>
      <c r="E45" s="175">
        <f>+E44+100</f>
        <v>106</v>
      </c>
      <c r="F45" s="175"/>
      <c r="G45" s="542" t="str">
        <f t="shared" si="41"/>
        <v>2259-600-730</v>
      </c>
      <c r="H45" s="117"/>
      <c r="I45" s="442"/>
      <c r="J45" s="165">
        <f>+IF(K45="","",IF(K43=0,"",(K43*J43)/(K45*60)))</f>
        <v>0.90657894736842104</v>
      </c>
      <c r="K45" s="118">
        <v>38</v>
      </c>
      <c r="L45" s="104" t="s">
        <v>19</v>
      </c>
      <c r="M45" s="216">
        <v>1</v>
      </c>
      <c r="N45" s="216">
        <v>1</v>
      </c>
      <c r="O45" s="216">
        <v>1</v>
      </c>
      <c r="P45" s="216">
        <v>1</v>
      </c>
      <c r="Q45" s="216">
        <v>1</v>
      </c>
      <c r="R45" s="216">
        <v>1</v>
      </c>
      <c r="S45" s="216">
        <v>1</v>
      </c>
      <c r="T45" s="216">
        <v>1</v>
      </c>
      <c r="U45" s="216">
        <v>1</v>
      </c>
      <c r="V45" s="216"/>
      <c r="W45" s="216"/>
      <c r="X45" s="173"/>
      <c r="Y45" s="467"/>
      <c r="Z45" s="371">
        <f>+IF(COUNTA(M43:W43)=$AJ$4+0.25,$AJ$4-(AA43/K43),COUNTA(M43:W43)-(AA43/K43))+Y45</f>
        <v>3.25</v>
      </c>
      <c r="AA45" s="465">
        <f t="shared" si="43"/>
        <v>8.75</v>
      </c>
      <c r="AB45" s="367"/>
      <c r="AC45" s="367"/>
      <c r="AD45" s="368">
        <f>+IFERROR(AD43/(K43*$AQ$3),"")</f>
        <v>1.6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8.75</v>
      </c>
      <c r="AM45" s="341">
        <f>+AL45-AA45</f>
        <v>0</v>
      </c>
      <c r="AN45" s="341"/>
      <c r="AO45" s="341"/>
      <c r="AP45" s="341"/>
      <c r="AQ45" s="369"/>
      <c r="AR45" s="434"/>
      <c r="AT45" s="390">
        <v>1.4285714285714286</v>
      </c>
      <c r="AV45" s="390"/>
    </row>
    <row r="46" spans="2:58" s="98" customFormat="1" ht="62.25" customHeight="1" thickTop="1" x14ac:dyDescent="0.9">
      <c r="B46" s="342">
        <f>+B47</f>
        <v>7</v>
      </c>
      <c r="C46" s="405"/>
      <c r="D46" s="106"/>
      <c r="E46" s="106"/>
      <c r="F46" s="106"/>
      <c r="G46" s="539" t="s">
        <v>435</v>
      </c>
      <c r="H46" s="106"/>
      <c r="I46" s="106"/>
      <c r="J46" s="107" t="s">
        <v>20</v>
      </c>
      <c r="K46" s="108" t="s">
        <v>23</v>
      </c>
      <c r="L46" s="100" t="s">
        <v>21</v>
      </c>
      <c r="M46" s="448"/>
      <c r="N46" s="448"/>
      <c r="O46" s="448"/>
      <c r="P46" s="448"/>
      <c r="Q46" s="448"/>
      <c r="R46" s="448"/>
      <c r="S46" s="448"/>
      <c r="T46" s="448"/>
      <c r="U46" s="448"/>
      <c r="V46" s="448"/>
      <c r="W46" s="448"/>
      <c r="X46" s="447" t="str">
        <f t="shared" ref="X46" si="44">IF(AQ47="","",SUM(M46:W46)-(-(AQ47-SUM(M46:W46))/$AQ$3)*SUM($M$2:$W$2))</f>
        <v/>
      </c>
      <c r="Y46" s="466">
        <v>-120</v>
      </c>
      <c r="Z46" s="533">
        <f>+X48</f>
        <v>-113</v>
      </c>
      <c r="AA46" s="447">
        <f t="shared" si="1"/>
        <v>0</v>
      </c>
      <c r="AB46" s="343">
        <f>+AC46+AA46</f>
        <v>3601</v>
      </c>
      <c r="AC46" s="343">
        <v>3601</v>
      </c>
      <c r="AD46" s="344"/>
      <c r="AE46" s="345"/>
      <c r="AF46" s="346"/>
      <c r="AG46" s="347">
        <f t="shared" si="2"/>
        <v>0</v>
      </c>
      <c r="AH46" s="341">
        <f t="shared" si="3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1.35">
      <c r="B47" s="351">
        <v>7</v>
      </c>
      <c r="C47" s="406">
        <f>+B47</f>
        <v>7</v>
      </c>
      <c r="D47" s="407" t="s">
        <v>436</v>
      </c>
      <c r="E47" s="111"/>
      <c r="F47" s="111" t="s">
        <v>35</v>
      </c>
      <c r="G47" s="539" t="str">
        <f t="shared" ref="G47:G49" si="45">+G46</f>
        <v>2076-780-803</v>
      </c>
      <c r="H47" s="111"/>
      <c r="I47" s="111" t="s">
        <v>38</v>
      </c>
      <c r="J47" s="113">
        <v>38.729999999999997</v>
      </c>
      <c r="K47" s="471">
        <v>52</v>
      </c>
      <c r="L47" s="101" t="s">
        <v>17</v>
      </c>
      <c r="M47" s="214">
        <v>20</v>
      </c>
      <c r="N47" s="214">
        <v>20</v>
      </c>
      <c r="O47" s="214">
        <v>30</v>
      </c>
      <c r="P47" s="214">
        <v>22</v>
      </c>
      <c r="Q47" s="214">
        <v>55</v>
      </c>
      <c r="R47" s="214"/>
      <c r="S47" s="214"/>
      <c r="T47" s="214"/>
      <c r="U47" s="214"/>
      <c r="V47" s="214"/>
      <c r="W47" s="214"/>
      <c r="X47" s="123">
        <f>+IF(H48="s",0,IF(AA47=0,0,IF(COUNTA(M47:W47)=AK49+0.25,SUMIF($C:$C,B47,$AA:$AA)/AK49,SUMIF($C:$C,B47,$AA:$AA)/(COUNTA(M47:W47)))))</f>
        <v>29.4</v>
      </c>
      <c r="Y47" s="466"/>
      <c r="Z47" s="534"/>
      <c r="AA47" s="134">
        <f t="shared" si="1"/>
        <v>147</v>
      </c>
      <c r="AB47" s="354">
        <f>+AA47+AC47</f>
        <v>3595</v>
      </c>
      <c r="AC47" s="354">
        <v>3448</v>
      </c>
      <c r="AD47" s="355">
        <f>+AB46-AB47</f>
        <v>6</v>
      </c>
      <c r="AE47" s="131">
        <f>+IF(((AA48+(AA49/2))*60)=0,"",(J47*AA47)/((AA48+(AA49/2))*60))</f>
        <v>0.99882631578947356</v>
      </c>
      <c r="AF47" s="347">
        <f>+AA48+AA49/2</f>
        <v>95</v>
      </c>
      <c r="AG47" s="347">
        <f t="shared" si="2"/>
        <v>95</v>
      </c>
      <c r="AH47" s="341">
        <f t="shared" si="3"/>
        <v>5700</v>
      </c>
      <c r="AI47" s="341">
        <f>+AA47*J47</f>
        <v>5693.3099999999995</v>
      </c>
      <c r="AJ47" s="356">
        <f>+AA47-(AF47*K47/K49)</f>
        <v>23.5</v>
      </c>
      <c r="AK47" s="348"/>
      <c r="AL47" s="349"/>
      <c r="AM47" s="341"/>
      <c r="AN47" s="341"/>
      <c r="AO47" s="341"/>
      <c r="AP47" s="341"/>
      <c r="AQ47" s="339"/>
      <c r="AR47" s="434">
        <v>0.88200000000000001</v>
      </c>
      <c r="AT47" s="390">
        <v>153</v>
      </c>
      <c r="AV47" s="390">
        <f t="shared" ref="AV47" si="46">+AT47-AD47</f>
        <v>147</v>
      </c>
      <c r="AW47" s="535"/>
      <c r="AX47" s="535"/>
      <c r="AY47" s="535"/>
      <c r="AZ47" s="535"/>
      <c r="BA47" s="535"/>
      <c r="BB47" s="535"/>
      <c r="BC47" s="535"/>
      <c r="BD47" s="535"/>
      <c r="BE47" s="535"/>
      <c r="BF47" s="535"/>
    </row>
    <row r="48" spans="2:58" s="98" customFormat="1" ht="62.25" customHeight="1" x14ac:dyDescent="0.9">
      <c r="B48" s="357">
        <f>B47</f>
        <v>7</v>
      </c>
      <c r="C48" s="408"/>
      <c r="D48" s="184"/>
      <c r="E48" s="111">
        <f>+B47</f>
        <v>7</v>
      </c>
      <c r="F48" s="409"/>
      <c r="G48" s="539" t="str">
        <f t="shared" si="45"/>
        <v>2076-780-803</v>
      </c>
      <c r="H48" s="411" t="s">
        <v>413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48">
        <v>19</v>
      </c>
      <c r="N48" s="448">
        <v>19</v>
      </c>
      <c r="O48" s="448">
        <v>19</v>
      </c>
      <c r="P48" s="448">
        <v>19</v>
      </c>
      <c r="Q48" s="448">
        <v>19</v>
      </c>
      <c r="R48" s="448"/>
      <c r="S48" s="448"/>
      <c r="T48" s="448"/>
      <c r="U48" s="448"/>
      <c r="V48" s="448"/>
      <c r="W48" s="448"/>
      <c r="X48" s="160">
        <f>+IF(H48="l",IF(COUNTA(M47:W47)=AK49+0.25,AA47-K47*AK49,AA47-(K47*COUNTA(M47:W47))),IF(H48="s",0,IF(COUNTA(M47:W47)=AK49+0.25,SUMIF($C:$C,B47,$AA:$AA)-K47*AK49,SUMIF($C:$C,B47,$AA:$AA)-K47*COUNTA(M47:W47))))</f>
        <v>-113</v>
      </c>
      <c r="Y48" s="466"/>
      <c r="Z48" s="534"/>
      <c r="AA48" s="462">
        <f t="shared" ref="AA48:AA49" si="47">+SUM(M48:W48)-U48*0.25</f>
        <v>95</v>
      </c>
      <c r="AB48" s="360"/>
      <c r="AC48" s="360"/>
      <c r="AD48" s="362"/>
      <c r="AE48" s="363"/>
      <c r="AF48" s="346"/>
      <c r="AG48" s="347">
        <f t="shared" si="2"/>
        <v>0</v>
      </c>
      <c r="AH48" s="341">
        <f t="shared" si="3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95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72">
        <f>B47</f>
        <v>7</v>
      </c>
      <c r="C49" s="410"/>
      <c r="D49" s="174" t="s">
        <v>93</v>
      </c>
      <c r="E49" s="175">
        <f>+E48+100</f>
        <v>107</v>
      </c>
      <c r="F49" s="175"/>
      <c r="G49" s="539" t="str">
        <f t="shared" si="45"/>
        <v>2076-780-803</v>
      </c>
      <c r="H49" s="117"/>
      <c r="I49" s="442"/>
      <c r="J49" s="165">
        <f>+IF(K49="","",IF(K47=0,"",(K47*J47)/(K49*60)))</f>
        <v>0.83914999999999995</v>
      </c>
      <c r="K49" s="471">
        <v>40</v>
      </c>
      <c r="L49" s="104" t="s">
        <v>19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30.35525198938992</v>
      </c>
      <c r="Z49" s="371">
        <f>+IF(COUNTA(M47:W47)=$AJ$4+0.25,$AJ$4-(AA47/K47),COUNTA(M47:W47)-(AA47/K47))+Y49</f>
        <v>32.52832891246684</v>
      </c>
      <c r="AA49" s="465">
        <f t="shared" si="47"/>
        <v>0</v>
      </c>
      <c r="AB49" s="367"/>
      <c r="AC49" s="367"/>
      <c r="AD49" s="368">
        <f>+IFERROR(AD47/(K47*$AQ$3),"")</f>
        <v>1.3186813186813187E-2</v>
      </c>
      <c r="AE49" s="369"/>
      <c r="AF49" s="347"/>
      <c r="AG49" s="347">
        <f t="shared" si="2"/>
        <v>0</v>
      </c>
      <c r="AH49" s="341">
        <f t="shared" si="3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0.33626373626373629</v>
      </c>
      <c r="AV49" s="390"/>
    </row>
    <row r="50" spans="2:58" s="98" customFormat="1" ht="62.25" customHeight="1" thickTop="1" x14ac:dyDescent="0.9">
      <c r="B50" s="342">
        <f>+B51</f>
        <v>7</v>
      </c>
      <c r="C50" s="405"/>
      <c r="D50" s="106"/>
      <c r="E50" s="106"/>
      <c r="F50" s="106"/>
      <c r="G50" s="540" t="s">
        <v>442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120</v>
      </c>
      <c r="N50" s="448">
        <v>60</v>
      </c>
      <c r="O50" s="448">
        <v>60</v>
      </c>
      <c r="P50" s="448"/>
      <c r="Q50" s="448"/>
      <c r="R50" s="448">
        <v>60</v>
      </c>
      <c r="S50" s="448"/>
      <c r="T50" s="448"/>
      <c r="U50" s="473"/>
      <c r="V50" s="448"/>
      <c r="W50" s="448"/>
      <c r="X50" s="447">
        <f t="shared" ref="X50" si="48">IF(AQ51="","",SUM(M50:W50)-(-(AQ51-SUM(M50:W50))/$AQ$3)*SUM($M$2:$W$2))</f>
        <v>300</v>
      </c>
      <c r="Y50" s="466">
        <v>0</v>
      </c>
      <c r="Z50" s="533">
        <f>+X52</f>
        <v>-240</v>
      </c>
      <c r="AA50" s="447">
        <f t="shared" ref="AA50:AA51" si="49">+SUM(L50:W50)</f>
        <v>300</v>
      </c>
      <c r="AB50" s="343">
        <f>+AC50+AA50</f>
        <v>720</v>
      </c>
      <c r="AC50" s="343">
        <v>420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7</v>
      </c>
      <c r="C51" s="406">
        <f>+B51</f>
        <v>7</v>
      </c>
      <c r="D51" s="407" t="s">
        <v>441</v>
      </c>
      <c r="E51" s="111"/>
      <c r="F51" s="111" t="s">
        <v>35</v>
      </c>
      <c r="G51" s="541" t="str">
        <f t="shared" ref="G51:G53" si="50">+G50</f>
        <v>2259-600-730</v>
      </c>
      <c r="H51" s="111"/>
      <c r="I51" s="111" t="s">
        <v>33</v>
      </c>
      <c r="J51" s="113">
        <v>34.450000000000003</v>
      </c>
      <c r="K51" s="130">
        <v>60</v>
      </c>
      <c r="L51" s="101" t="s">
        <v>17</v>
      </c>
      <c r="M51" s="214"/>
      <c r="N51" s="214"/>
      <c r="O51" s="214"/>
      <c r="P51" s="214"/>
      <c r="Q51" s="214"/>
      <c r="R51" s="214">
        <v>0</v>
      </c>
      <c r="S51" s="214">
        <v>0</v>
      </c>
      <c r="T51" s="214">
        <v>0</v>
      </c>
      <c r="U51" s="214">
        <v>0</v>
      </c>
      <c r="V51" s="214"/>
      <c r="W51" s="214"/>
      <c r="X51" s="123">
        <f>+IF(H52="s",0,IF(AA51=0,0,IF(COUNTA(M51:W51)=AK53+0.25,SUMIF($C:$C,B51,$AA:$AA)/AK53,SUMIF($C:$C,B51,$AA:$AA)/(COUNTA(M51:W51)))))</f>
        <v>0</v>
      </c>
      <c r="Y51" s="466"/>
      <c r="Z51" s="534"/>
      <c r="AA51" s="134">
        <f t="shared" si="49"/>
        <v>0</v>
      </c>
      <c r="AB51" s="354">
        <f>+AA51+AC51</f>
        <v>0</v>
      </c>
      <c r="AC51" s="354">
        <v>0</v>
      </c>
      <c r="AD51" s="355">
        <f>+AB50-AB51</f>
        <v>720</v>
      </c>
      <c r="AE51" s="131">
        <f>+IF(((AA52+(AA53/2))*60)=0,"",(J51*AA51)/((AA52+(AA53/2))*60))</f>
        <v>0</v>
      </c>
      <c r="AF51" s="347">
        <f>+AA52+AA53/2</f>
        <v>298.75</v>
      </c>
      <c r="AG51" s="347">
        <f t="shared" si="2"/>
        <v>298.45</v>
      </c>
      <c r="AH51" s="341">
        <f t="shared" si="3"/>
        <v>17925</v>
      </c>
      <c r="AI51" s="341">
        <f>+AA51*J51</f>
        <v>0</v>
      </c>
      <c r="AJ51" s="356">
        <f>+AA51-(AF51*K51/K53)</f>
        <v>-471.71052631578948</v>
      </c>
      <c r="AK51" s="348"/>
      <c r="AL51" s="349"/>
      <c r="AM51" s="341"/>
      <c r="AN51" s="341"/>
      <c r="AO51" s="341"/>
      <c r="AP51" s="341"/>
      <c r="AQ51" s="339">
        <f>-300+AA50</f>
        <v>0</v>
      </c>
      <c r="AR51" s="434"/>
      <c r="AT51" s="390">
        <v>420</v>
      </c>
      <c r="AV51" s="390">
        <f t="shared" ref="AV51" si="51">+AT51-AD51</f>
        <v>-300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B51</f>
        <v>7</v>
      </c>
      <c r="C52" s="408"/>
      <c r="D52" s="184"/>
      <c r="E52" s="111">
        <f>+B51</f>
        <v>7</v>
      </c>
      <c r="F52" s="409"/>
      <c r="G52" s="541" t="str">
        <f t="shared" si="50"/>
        <v>2259-600-730</v>
      </c>
      <c r="H52" s="411" t="s">
        <v>413</v>
      </c>
      <c r="I52" s="113">
        <f>+IFERROR(IF(K53=0,0,IF((LOOKUP(2,1/(M52:W52&lt;&gt;""),M52:W52)-K53)&lt;0,0,IF(K53=0,"",LOOKUP(2,1/(M52:W52&lt;&gt;""),M52:W52)-K53))),0)</f>
        <v>7</v>
      </c>
      <c r="J52" s="113">
        <v>0</v>
      </c>
      <c r="K52" s="114" t="s">
        <v>22</v>
      </c>
      <c r="L52" s="102" t="s">
        <v>18</v>
      </c>
      <c r="M52" s="448">
        <f>45-19</f>
        <v>26</v>
      </c>
      <c r="N52" s="448">
        <f>45-19</f>
        <v>26</v>
      </c>
      <c r="O52" s="448">
        <f>45-19</f>
        <v>26</v>
      </c>
      <c r="P52" s="448">
        <f>45-19</f>
        <v>26</v>
      </c>
      <c r="Q52" s="448">
        <f>45-19</f>
        <v>26</v>
      </c>
      <c r="R52" s="448">
        <v>45</v>
      </c>
      <c r="S52" s="448">
        <v>45</v>
      </c>
      <c r="T52" s="448">
        <v>45</v>
      </c>
      <c r="U52" s="448">
        <v>45</v>
      </c>
      <c r="V52" s="448"/>
      <c r="W52" s="448"/>
      <c r="X52" s="160">
        <f>+IF(H52="l",IF(COUNTA(M51:W51)=AK53+0.25,AA51-K51*AK53,AA51-(K51*COUNTA(M51:W51))),IF(H52="s",0,IF(COUNTA(M51:W51)=AK53+0.25,SUMIF($C:$C,B51,$AA:$AA)-K51*AK53,SUMIF($C:$C,B51,$AA:$AA)-K51*COUNTA(M51:W51))))</f>
        <v>-240</v>
      </c>
      <c r="Y52" s="466"/>
      <c r="Z52" s="534"/>
      <c r="AA52" s="462">
        <f t="shared" ref="AA52:AA53" si="52">+SUM(M52:W52)-U52*0.25</f>
        <v>298.75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298.75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72">
        <f>B51</f>
        <v>7</v>
      </c>
      <c r="C53" s="410"/>
      <c r="D53" s="174" t="s">
        <v>93</v>
      </c>
      <c r="E53" s="175">
        <f>+E52+100</f>
        <v>107</v>
      </c>
      <c r="F53" s="175"/>
      <c r="G53" s="542" t="str">
        <f t="shared" si="50"/>
        <v>2259-600-730</v>
      </c>
      <c r="H53" s="117"/>
      <c r="I53" s="442"/>
      <c r="J53" s="165">
        <f>+IF(K53="","",IF(K51=0,"",(K51*J51)/(K53*60)))</f>
        <v>0.90657894736842104</v>
      </c>
      <c r="K53" s="118">
        <v>38</v>
      </c>
      <c r="L53" s="104" t="s">
        <v>19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 t="e">
        <v>#DIV/0!</v>
      </c>
      <c r="Z53" s="371" t="e">
        <f>+IF(COUNTA(M51:W51)=$AJ$4+0.25,$AJ$4-(AA51/K51),COUNTA(M51:W51)-(AA51/K51))+Y53</f>
        <v>#DIV/0!</v>
      </c>
      <c r="AA53" s="465">
        <f t="shared" si="52"/>
        <v>0</v>
      </c>
      <c r="AB53" s="367"/>
      <c r="AC53" s="367"/>
      <c r="AD53" s="368">
        <f>+IFERROR(AD51/(K51*$AQ$3),"")</f>
        <v>1.3714285714285714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0.8</v>
      </c>
      <c r="AV53" s="390"/>
    </row>
    <row r="54" spans="2:58" s="98" customFormat="1" ht="62.25" customHeight="1" thickTop="1" x14ac:dyDescent="0.9">
      <c r="B54" s="342">
        <f>+B55</f>
        <v>8</v>
      </c>
      <c r="C54" s="405"/>
      <c r="D54" s="106"/>
      <c r="E54" s="106"/>
      <c r="F54" s="106"/>
      <c r="G54" s="539" t="s">
        <v>432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180</v>
      </c>
      <c r="N54" s="448">
        <v>180</v>
      </c>
      <c r="O54" s="448"/>
      <c r="P54" s="448"/>
      <c r="Q54" s="448">
        <v>60</v>
      </c>
      <c r="R54" s="448"/>
      <c r="S54" s="448"/>
      <c r="T54" s="448"/>
      <c r="U54" s="448"/>
      <c r="V54" s="448"/>
      <c r="W54" s="448"/>
      <c r="X54" s="447">
        <f t="shared" ref="X54" si="53">IF(AQ55="","",SUM(M54:W54)-(-(AQ55-SUM(M54:W54))/$AQ$3)*SUM($M$2:$W$2))</f>
        <v>420</v>
      </c>
      <c r="Y54" s="466">
        <v>-23</v>
      </c>
      <c r="Z54" s="533">
        <f>+X56</f>
        <v>0</v>
      </c>
      <c r="AA54" s="447">
        <f t="shared" si="1"/>
        <v>420</v>
      </c>
      <c r="AB54" s="343">
        <f>+AC54+AA54</f>
        <v>3421</v>
      </c>
      <c r="AC54" s="343">
        <v>3001</v>
      </c>
      <c r="AD54" s="344"/>
      <c r="AE54" s="345"/>
      <c r="AF54" s="346"/>
      <c r="AG54" s="347">
        <f t="shared" si="2"/>
        <v>0</v>
      </c>
      <c r="AH54" s="341">
        <f t="shared" si="3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0.9">
      <c r="B55" s="351">
        <v>8</v>
      </c>
      <c r="C55" s="406">
        <f>+B55</f>
        <v>8</v>
      </c>
      <c r="D55" s="407" t="s">
        <v>431</v>
      </c>
      <c r="E55" s="111"/>
      <c r="F55" s="111" t="s">
        <v>35</v>
      </c>
      <c r="G55" s="539" t="str">
        <f t="shared" ref="G55:G57" si="54">+G54</f>
        <v>2158-755-712</v>
      </c>
      <c r="H55" s="111"/>
      <c r="I55" s="111" t="s">
        <v>33</v>
      </c>
      <c r="J55" s="113">
        <v>51.42</v>
      </c>
      <c r="K55" s="130">
        <v>52</v>
      </c>
      <c r="L55" s="101" t="s">
        <v>17</v>
      </c>
      <c r="M55" s="214">
        <v>52</v>
      </c>
      <c r="N55" s="214">
        <v>52</v>
      </c>
      <c r="O55" s="214">
        <v>52</v>
      </c>
      <c r="P55" s="214">
        <v>52</v>
      </c>
      <c r="Q55" s="214">
        <v>52</v>
      </c>
      <c r="R55" s="214">
        <v>52</v>
      </c>
      <c r="S55" s="214">
        <v>52</v>
      </c>
      <c r="T55" s="214">
        <v>52</v>
      </c>
      <c r="U55" s="214">
        <v>39</v>
      </c>
      <c r="V55" s="214"/>
      <c r="W55" s="214"/>
      <c r="X55" s="123">
        <f>+IF(H56="s",0,IF(AA55=0,0,IF(COUNTA(M55:W55)=AK57+0.25,SUMIF($C:$C,B55,$AA:$AA)/AK57,SUMIF($C:$C,B55,$AA:$AA)/(COUNTA(M55:W55)))))</f>
        <v>52</v>
      </c>
      <c r="Y55" s="466"/>
      <c r="Z55" s="534"/>
      <c r="AA55" s="134">
        <f t="shared" si="1"/>
        <v>455</v>
      </c>
      <c r="AB55" s="354">
        <f>+AA55+AC55</f>
        <v>2713</v>
      </c>
      <c r="AC55" s="354">
        <v>2258</v>
      </c>
      <c r="AD55" s="355">
        <f>+AB54-AB55</f>
        <v>708</v>
      </c>
      <c r="AE55" s="131">
        <f>+IF(((AA56+(AA57/2))*60)=0,"",(J55*AA55)/((AA56+(AA57/2))*60))</f>
        <v>0.86532038834951464</v>
      </c>
      <c r="AF55" s="347">
        <f>+AA56+AA57/2</f>
        <v>450.625</v>
      </c>
      <c r="AG55" s="347">
        <f t="shared" si="2"/>
        <v>450.375</v>
      </c>
      <c r="AH55" s="341">
        <f t="shared" si="3"/>
        <v>27037.5</v>
      </c>
      <c r="AI55" s="341">
        <f>+AA55*J55</f>
        <v>23396.100000000002</v>
      </c>
      <c r="AJ55" s="356">
        <f>+AA55-(AF55*K55/K57)</f>
        <v>-4.460784313725469</v>
      </c>
      <c r="AK55" s="348"/>
      <c r="AL55" s="349"/>
      <c r="AM55" s="341"/>
      <c r="AN55" s="341"/>
      <c r="AO55" s="341"/>
      <c r="AP55" s="341"/>
      <c r="AQ55" s="339">
        <f t="shared" si="20"/>
        <v>25.5</v>
      </c>
      <c r="AR55" s="434">
        <v>1.5</v>
      </c>
      <c r="AT55" s="390">
        <v>743</v>
      </c>
      <c r="AV55" s="390">
        <f t="shared" ref="AV55" si="55">+AT55-AD55</f>
        <v>35</v>
      </c>
    </row>
    <row r="56" spans="2:58" s="98" customFormat="1" ht="62.25" customHeight="1" x14ac:dyDescent="0.9">
      <c r="B56" s="357">
        <f>+B55</f>
        <v>8</v>
      </c>
      <c r="C56" s="408"/>
      <c r="D56" s="184"/>
      <c r="E56" s="111">
        <f>+B55</f>
        <v>8</v>
      </c>
      <c r="F56" s="409"/>
      <c r="G56" s="539" t="str">
        <f t="shared" si="54"/>
        <v>2158-755-712</v>
      </c>
      <c r="H56" s="411" t="s">
        <v>412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48">
        <v>51</v>
      </c>
      <c r="N56" s="448">
        <v>51</v>
      </c>
      <c r="O56" s="448">
        <v>51</v>
      </c>
      <c r="P56" s="448">
        <v>51</v>
      </c>
      <c r="Q56" s="448">
        <v>51</v>
      </c>
      <c r="R56" s="448">
        <v>51</v>
      </c>
      <c r="S56" s="448">
        <v>51</v>
      </c>
      <c r="T56" s="448">
        <v>51</v>
      </c>
      <c r="U56" s="448">
        <v>51</v>
      </c>
      <c r="V56" s="448"/>
      <c r="W56" s="448"/>
      <c r="X56" s="160">
        <f>+IF(H56="l",IF(COUNTA(M55:W55)=AK57+0.25,AA55-K55*AK57,AA55-(K55*COUNTA(M55:W55))),IF(H56="s",0,IF(COUNTA(M55:W55)=AK57+0.25,SUMIF($C:$C,B55,$AA:$AA)-K55*AK57,SUMIF($C:$C,B55,$AA:$AA)-K55*COUNTA(M55:W55))))</f>
        <v>0</v>
      </c>
      <c r="Y56" s="466"/>
      <c r="Z56" s="534"/>
      <c r="AA56" s="462">
        <f t="shared" ref="AA56:AA57" si="56">+SUM(M56:W56)-U56*0.25</f>
        <v>446.25</v>
      </c>
      <c r="AB56" s="360"/>
      <c r="AC56" s="360"/>
      <c r="AD56" s="362"/>
      <c r="AE56" s="363"/>
      <c r="AF56" s="346"/>
      <c r="AG56" s="347">
        <f t="shared" si="2"/>
        <v>0</v>
      </c>
      <c r="AH56" s="341">
        <f t="shared" si="3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446.25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8</v>
      </c>
      <c r="C57" s="410"/>
      <c r="D57" s="174" t="s">
        <v>373</v>
      </c>
      <c r="E57" s="175">
        <f>+E56+100</f>
        <v>108</v>
      </c>
      <c r="F57" s="175"/>
      <c r="G57" s="539" t="str">
        <f t="shared" si="54"/>
        <v>2158-755-712</v>
      </c>
      <c r="H57" s="117"/>
      <c r="I57" s="442"/>
      <c r="J57" s="165">
        <f>+IF(K57="","",IF(K55=0,"",(K55*J55)/(K57*60)))</f>
        <v>0.87380392156862752</v>
      </c>
      <c r="K57" s="118">
        <v>51</v>
      </c>
      <c r="L57" s="104" t="s">
        <v>422</v>
      </c>
      <c r="M57" s="216">
        <v>1</v>
      </c>
      <c r="N57" s="216">
        <v>1</v>
      </c>
      <c r="O57" s="216">
        <v>1</v>
      </c>
      <c r="P57" s="216">
        <v>1</v>
      </c>
      <c r="Q57" s="216">
        <v>1</v>
      </c>
      <c r="R57" s="216">
        <v>1</v>
      </c>
      <c r="S57" s="216">
        <v>1</v>
      </c>
      <c r="T57" s="216">
        <v>1</v>
      </c>
      <c r="U57" s="216">
        <v>1</v>
      </c>
      <c r="V57" s="216"/>
      <c r="W57" s="216"/>
      <c r="X57" s="173"/>
      <c r="Y57" s="467">
        <v>12.746923076923077</v>
      </c>
      <c r="Z57" s="371">
        <f>+IF(COUNTA(M55:W55)=$AJ$4+0.25,$AJ$4-(AA55/K55),COUNTA(M55:W55)-(AA55/K55))+Y57</f>
        <v>12.746923076923077</v>
      </c>
      <c r="AA57" s="465">
        <f t="shared" si="56"/>
        <v>8.75</v>
      </c>
      <c r="AB57" s="367"/>
      <c r="AC57" s="367"/>
      <c r="AD57" s="368">
        <f>+IFERROR(AD55/(K55*$AQ$3),"")</f>
        <v>1.5560439560439561</v>
      </c>
      <c r="AE57" s="369"/>
      <c r="AF57" s="347"/>
      <c r="AG57" s="347">
        <f t="shared" si="2"/>
        <v>0</v>
      </c>
      <c r="AH57" s="341">
        <f t="shared" si="3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8.75</v>
      </c>
      <c r="AM57" s="341">
        <f>+AL57-AA57</f>
        <v>0</v>
      </c>
      <c r="AN57" s="341"/>
      <c r="AO57" s="341"/>
      <c r="AP57" s="341"/>
      <c r="AQ57" s="369"/>
      <c r="AR57" s="434"/>
      <c r="AT57" s="390">
        <v>1.6329670329670329</v>
      </c>
      <c r="AV57" s="390"/>
    </row>
    <row r="58" spans="2:58" s="98" customFormat="1" ht="62.25" customHeight="1" thickTop="1" x14ac:dyDescent="0.9">
      <c r="B58" s="342">
        <f>+B59</f>
        <v>11</v>
      </c>
      <c r="C58" s="405"/>
      <c r="D58" s="106"/>
      <c r="E58" s="106"/>
      <c r="F58" s="106"/>
      <c r="G58" s="540" t="s">
        <v>435</v>
      </c>
      <c r="H58" s="106"/>
      <c r="I58" s="106"/>
      <c r="J58" s="107" t="s">
        <v>20</v>
      </c>
      <c r="K58" s="108" t="s">
        <v>23</v>
      </c>
      <c r="L58" s="100" t="s">
        <v>21</v>
      </c>
      <c r="M58" s="448"/>
      <c r="N58" s="448"/>
      <c r="O58" s="448"/>
      <c r="P58" s="448"/>
      <c r="Q58" s="448"/>
      <c r="R58" s="448"/>
      <c r="S58" s="448"/>
      <c r="T58" s="448"/>
      <c r="U58" s="448"/>
      <c r="V58" s="448"/>
      <c r="W58" s="448"/>
      <c r="X58" s="447" t="str">
        <f t="shared" ref="X58" si="57">IF(AQ59="","",SUM(M58:W58)-(-(AQ59-SUM(M58:W58))/$AQ$3)*SUM($M$2:$W$2))</f>
        <v/>
      </c>
      <c r="Y58" s="466">
        <v>-65.5</v>
      </c>
      <c r="Z58" s="533">
        <f>+X60</f>
        <v>-168.5</v>
      </c>
      <c r="AA58" s="447">
        <f t="shared" si="1"/>
        <v>0</v>
      </c>
      <c r="AB58" s="343">
        <f>+AC58+AA58</f>
        <v>3475</v>
      </c>
      <c r="AC58" s="343">
        <v>3475</v>
      </c>
      <c r="AD58" s="344"/>
      <c r="AE58" s="345"/>
      <c r="AF58" s="346"/>
      <c r="AG58" s="347">
        <f t="shared" si="2"/>
        <v>0</v>
      </c>
      <c r="AH58" s="341">
        <f t="shared" si="3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1.35">
      <c r="B59" s="351">
        <v>11</v>
      </c>
      <c r="C59" s="406">
        <f>+B59</f>
        <v>11</v>
      </c>
      <c r="D59" s="407" t="s">
        <v>436</v>
      </c>
      <c r="E59" s="111"/>
      <c r="F59" s="111" t="s">
        <v>35</v>
      </c>
      <c r="G59" s="541" t="str">
        <f t="shared" ref="G59:G61" si="58">+G58</f>
        <v>2076-780-803</v>
      </c>
      <c r="H59" s="111"/>
      <c r="I59" s="111" t="s">
        <v>38</v>
      </c>
      <c r="J59" s="113">
        <v>38.729999999999997</v>
      </c>
      <c r="K59" s="130">
        <v>58</v>
      </c>
      <c r="L59" s="101" t="s">
        <v>17</v>
      </c>
      <c r="M59" s="214">
        <v>30</v>
      </c>
      <c r="N59" s="214">
        <v>40</v>
      </c>
      <c r="O59" s="214">
        <v>34</v>
      </c>
      <c r="P59" s="214">
        <v>35</v>
      </c>
      <c r="Q59" s="214">
        <v>45</v>
      </c>
      <c r="R59" s="214">
        <v>40</v>
      </c>
      <c r="S59" s="214">
        <v>40</v>
      </c>
      <c r="T59" s="214">
        <v>40</v>
      </c>
      <c r="U59" s="214">
        <v>35</v>
      </c>
      <c r="V59" s="214"/>
      <c r="W59" s="214"/>
      <c r="X59" s="123">
        <f>+IF(H60="s",0,IF(AA59=0,0,IF(COUNTA(M59:W59)=AK61+0.25,SUMIF($C:$C,B59,$AA:$AA)/AK61,SUMIF($C:$C,B59,$AA:$AA)/(COUNTA(M59:W59)))))</f>
        <v>38.74285714285714</v>
      </c>
      <c r="Y59" s="466"/>
      <c r="Z59" s="534"/>
      <c r="AA59" s="134">
        <f t="shared" si="1"/>
        <v>339</v>
      </c>
      <c r="AB59" s="354">
        <f>+AA59+AC59</f>
        <v>3308</v>
      </c>
      <c r="AC59" s="354">
        <v>2969</v>
      </c>
      <c r="AD59" s="355">
        <f>+AB58-AB59</f>
        <v>167</v>
      </c>
      <c r="AE59" s="131">
        <f>+IF(((AA60+(AA61/2))*60)=0,"",(J59*AA59)/((AA60+(AA61/2))*60))</f>
        <v>0.61060202302057898</v>
      </c>
      <c r="AF59" s="347">
        <f>+AA60+AA61/2</f>
        <v>358.375</v>
      </c>
      <c r="AG59" s="347">
        <f t="shared" si="2"/>
        <v>358.22500000000002</v>
      </c>
      <c r="AH59" s="341">
        <f t="shared" si="3"/>
        <v>21502.5</v>
      </c>
      <c r="AI59" s="341">
        <f>+AA59*J59</f>
        <v>13129.47</v>
      </c>
      <c r="AJ59" s="356">
        <f>+AA59-(AF59*K59/K61)</f>
        <v>-155.89880952380952</v>
      </c>
      <c r="AK59" s="348"/>
      <c r="AL59" s="349"/>
      <c r="AM59" s="341"/>
      <c r="AN59" s="341"/>
      <c r="AO59" s="341"/>
      <c r="AP59" s="341"/>
      <c r="AQ59" s="339"/>
      <c r="AR59" s="434"/>
      <c r="AT59" s="390">
        <v>506</v>
      </c>
      <c r="AV59" s="390">
        <f t="shared" ref="AV59" si="59">+AT59-AD59</f>
        <v>339</v>
      </c>
      <c r="AW59" s="535"/>
      <c r="AX59" s="535"/>
      <c r="AY59" s="535"/>
      <c r="AZ59" s="535"/>
      <c r="BA59" s="535"/>
      <c r="BB59" s="535"/>
      <c r="BC59" s="535"/>
      <c r="BD59" s="535"/>
      <c r="BE59" s="535"/>
      <c r="BF59" s="535"/>
    </row>
    <row r="60" spans="2:58" s="98" customFormat="1" ht="62.25" customHeight="1" x14ac:dyDescent="0.9">
      <c r="B60" s="357">
        <f>+B59</f>
        <v>11</v>
      </c>
      <c r="C60" s="408"/>
      <c r="D60" s="184"/>
      <c r="E60" s="111">
        <f>+B59</f>
        <v>11</v>
      </c>
      <c r="F60" s="412"/>
      <c r="G60" s="541" t="str">
        <f t="shared" si="58"/>
        <v>2076-780-803</v>
      </c>
      <c r="H60" s="411" t="s">
        <v>412</v>
      </c>
      <c r="I60" s="113">
        <f>+IFERROR(IF(K61=0,0,IF((LOOKUP(2,1/(M60:W60&lt;&gt;""),M60:W60)-K61)&lt;0,0,IF(K61=0,"",LOOKUP(2,1/(M60:W60&lt;&gt;""),M60:W60)-K61))),0)</f>
        <v>0</v>
      </c>
      <c r="J60" s="113">
        <v>1</v>
      </c>
      <c r="K60" s="114" t="s">
        <v>22</v>
      </c>
      <c r="L60" s="102" t="s">
        <v>18</v>
      </c>
      <c r="M60" s="448">
        <v>42</v>
      </c>
      <c r="N60" s="448">
        <v>42</v>
      </c>
      <c r="O60" s="448">
        <v>40</v>
      </c>
      <c r="P60" s="448">
        <v>40</v>
      </c>
      <c r="Q60" s="448">
        <v>40</v>
      </c>
      <c r="R60" s="448">
        <v>40</v>
      </c>
      <c r="S60" s="448">
        <v>40</v>
      </c>
      <c r="T60" s="448">
        <v>40</v>
      </c>
      <c r="U60" s="448">
        <v>40</v>
      </c>
      <c r="V60" s="448"/>
      <c r="W60" s="448"/>
      <c r="X60" s="160">
        <f>+IF(H60="l",IF(COUNTA(M59:W59)=AK61+0.25,AA59-K59*AK61,AA59-(K59*COUNTA(M59:W59))),IF(H60="s",0,IF(COUNTA(M59:W59)=AK61+0.25,SUMIF($C:$C,B59,$AA:$AA)-K59*AK61,SUMIF($C:$C,B59,$AA:$AA)-K59*COUNTA(M59:W59))))</f>
        <v>-168.5</v>
      </c>
      <c r="Y60" s="466"/>
      <c r="Z60" s="534"/>
      <c r="AA60" s="462">
        <f t="shared" ref="AA60:AA61" si="60">+SUM(M60:W60)-U60*0.25</f>
        <v>354</v>
      </c>
      <c r="AB60" s="360"/>
      <c r="AC60" s="360"/>
      <c r="AD60" s="362"/>
      <c r="AE60" s="363"/>
      <c r="AF60" s="346"/>
      <c r="AG60" s="347">
        <f t="shared" si="2"/>
        <v>0</v>
      </c>
      <c r="AH60" s="341">
        <f t="shared" si="3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354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11</v>
      </c>
      <c r="C61" s="410"/>
      <c r="D61" s="174" t="s">
        <v>418</v>
      </c>
      <c r="E61" s="175">
        <f>+E60+100</f>
        <v>111</v>
      </c>
      <c r="F61" s="175"/>
      <c r="G61" s="542" t="str">
        <f t="shared" si="58"/>
        <v>2076-780-803</v>
      </c>
      <c r="H61" s="117"/>
      <c r="I61" s="442"/>
      <c r="J61" s="165">
        <f>+IF(K61="","",IF(K59=0,"",(K59*J59)/(K61*60)))</f>
        <v>0.89140476190476181</v>
      </c>
      <c r="K61" s="118">
        <v>42</v>
      </c>
      <c r="L61" s="104" t="s">
        <v>422</v>
      </c>
      <c r="M61" s="216">
        <v>1</v>
      </c>
      <c r="N61" s="216">
        <v>1</v>
      </c>
      <c r="O61" s="216">
        <v>1</v>
      </c>
      <c r="P61" s="216">
        <v>1</v>
      </c>
      <c r="Q61" s="216">
        <v>1</v>
      </c>
      <c r="R61" s="216">
        <v>1</v>
      </c>
      <c r="S61" s="216">
        <v>1</v>
      </c>
      <c r="T61" s="216">
        <v>1</v>
      </c>
      <c r="U61" s="216">
        <v>1</v>
      </c>
      <c r="V61" s="216"/>
      <c r="W61" s="216"/>
      <c r="X61" s="173"/>
      <c r="Y61" s="467">
        <v>31.017241379310349</v>
      </c>
      <c r="Z61" s="371">
        <f>+IF(COUNTA(M59:W59)=$AJ$4+0.25,$AJ$4-(AA59/K59),COUNTA(M59:W59)-(AA59/K59))+Y61</f>
        <v>33.922413793103452</v>
      </c>
      <c r="AA61" s="465">
        <f t="shared" si="60"/>
        <v>8.75</v>
      </c>
      <c r="AB61" s="367"/>
      <c r="AC61" s="367"/>
      <c r="AD61" s="368">
        <f>+IFERROR(AD59/(K59*$AQ$3),"")</f>
        <v>0.32906403940886697</v>
      </c>
      <c r="AE61" s="369"/>
      <c r="AF61" s="347"/>
      <c r="AG61" s="347">
        <f t="shared" si="2"/>
        <v>0</v>
      </c>
      <c r="AH61" s="341">
        <f t="shared" si="3"/>
        <v>0</v>
      </c>
      <c r="AI61" s="341"/>
      <c r="AJ61" s="356"/>
      <c r="AK61" s="370">
        <f>+$AJ$4</f>
        <v>8.75</v>
      </c>
      <c r="AL61" s="349">
        <f>+IF(AK61=7.75,SUM(M61:S61)+T61*0.75,IF(AK61=8,SUM(M61:T61),IF(AK61=7.25,SUM(M61:S61)+T61*0.25,IF(AK61=8.25,SUM(M61:T61)+U61*0.25,IF(AK61=8.75,SUM(M61:T61)+U61*0.75,0)))))</f>
        <v>8.75</v>
      </c>
      <c r="AM61" s="341">
        <f>+AL61-AA61</f>
        <v>0</v>
      </c>
      <c r="AN61" s="341"/>
      <c r="AO61" s="341"/>
      <c r="AP61" s="341"/>
      <c r="AQ61" s="369"/>
      <c r="AR61" s="434"/>
      <c r="AT61" s="390">
        <v>0.99704433497536948</v>
      </c>
      <c r="AV61" s="390"/>
    </row>
    <row r="62" spans="2:58" s="98" customFormat="1" ht="62.25" customHeight="1" thickTop="1" x14ac:dyDescent="0.9">
      <c r="B62" s="342">
        <f>+B63</f>
        <v>11</v>
      </c>
      <c r="C62" s="405"/>
      <c r="D62" s="106"/>
      <c r="E62" s="106"/>
      <c r="F62" s="106"/>
      <c r="G62" s="540" t="s">
        <v>481</v>
      </c>
      <c r="H62" s="106"/>
      <c r="I62" s="106"/>
      <c r="J62" s="107" t="s">
        <v>20</v>
      </c>
      <c r="K62" s="108" t="s">
        <v>23</v>
      </c>
      <c r="L62" s="100" t="s">
        <v>21</v>
      </c>
      <c r="M62" s="448"/>
      <c r="N62" s="448"/>
      <c r="O62" s="448">
        <v>60</v>
      </c>
      <c r="P62" s="448">
        <v>60</v>
      </c>
      <c r="Q62" s="448">
        <v>60</v>
      </c>
      <c r="R62" s="448">
        <v>60</v>
      </c>
      <c r="S62" s="448"/>
      <c r="T62" s="448"/>
      <c r="U62" s="448"/>
      <c r="V62" s="448"/>
      <c r="W62" s="448"/>
      <c r="X62" s="447">
        <f t="shared" ref="X62" si="61">IF(AQ63="","",SUM(M62:W62)-(-(AQ63-SUM(M62:W62))/$AQ$3)*SUM($M$2:$W$2))</f>
        <v>240</v>
      </c>
      <c r="Y62" s="466">
        <v>0</v>
      </c>
      <c r="Z62" s="533">
        <f>+X64</f>
        <v>0</v>
      </c>
      <c r="AA62" s="447">
        <f t="shared" ref="AA62:AA63" si="62">+SUM(L62:W62)</f>
        <v>240</v>
      </c>
      <c r="AB62" s="343">
        <f>+AC62+AA62</f>
        <v>420</v>
      </c>
      <c r="AC62" s="343">
        <v>180</v>
      </c>
      <c r="AD62" s="344"/>
      <c r="AE62" s="345"/>
      <c r="AF62" s="346"/>
      <c r="AG62" s="347">
        <f t="shared" si="2"/>
        <v>0</v>
      </c>
      <c r="AH62" s="341">
        <f t="shared" si="3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1.35">
      <c r="B63" s="351">
        <v>11</v>
      </c>
      <c r="C63" s="406">
        <f>+B63</f>
        <v>11</v>
      </c>
      <c r="D63" s="407" t="s">
        <v>480</v>
      </c>
      <c r="E63" s="111"/>
      <c r="F63" s="111" t="s">
        <v>35</v>
      </c>
      <c r="G63" s="541" t="str">
        <f t="shared" ref="G63:G65" si="63">+G62</f>
        <v>2396-593-600</v>
      </c>
      <c r="H63" s="111"/>
      <c r="I63" s="111" t="s">
        <v>33</v>
      </c>
      <c r="J63" s="113">
        <v>38.82</v>
      </c>
      <c r="K63" s="130">
        <v>60</v>
      </c>
      <c r="L63" s="101" t="s">
        <v>17</v>
      </c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123">
        <f>+IF(H64="s",0,IF(AA63=0,0,IF(COUNTA(M63:W63)=AK65+0.25,SUMIF($C:$C,B63,$AA:$AA)/AK65,SUMIF($C:$C,B63,$AA:$AA)/(COUNTA(M63:W63)))))</f>
        <v>0</v>
      </c>
      <c r="Y63" s="466"/>
      <c r="Z63" s="534"/>
      <c r="AA63" s="134">
        <f t="shared" si="62"/>
        <v>0</v>
      </c>
      <c r="AB63" s="354">
        <f>+AA63+AC63</f>
        <v>0</v>
      </c>
      <c r="AC63" s="354">
        <v>0</v>
      </c>
      <c r="AD63" s="355">
        <f>+AB62-AB63</f>
        <v>420</v>
      </c>
      <c r="AE63" s="131">
        <f>+IF(((AA64+(AA65/2))*60)=0,"",(J63*AA63)/((AA64+(AA65/2))*60))</f>
        <v>0</v>
      </c>
      <c r="AF63" s="347">
        <f>+AA64+AA65/2</f>
        <v>13.5</v>
      </c>
      <c r="AG63" s="347">
        <f t="shared" si="2"/>
        <v>13.3</v>
      </c>
      <c r="AH63" s="341">
        <f t="shared" si="3"/>
        <v>810</v>
      </c>
      <c r="AI63" s="341">
        <f>+AA63*J63</f>
        <v>0</v>
      </c>
      <c r="AJ63" s="356">
        <f>+AA63-(AF63*K63/K65)</f>
        <v>-18.837209302325583</v>
      </c>
      <c r="AK63" s="348"/>
      <c r="AL63" s="349"/>
      <c r="AM63" s="341"/>
      <c r="AN63" s="341"/>
      <c r="AO63" s="341"/>
      <c r="AP63" s="341"/>
      <c r="AQ63" s="339">
        <f>-240+AA62</f>
        <v>0</v>
      </c>
      <c r="AR63" s="434"/>
      <c r="AT63" s="390">
        <v>180</v>
      </c>
      <c r="AV63" s="390">
        <f t="shared" ref="AV63" si="64">+AT63-AD63</f>
        <v>-240</v>
      </c>
      <c r="AW63" s="535"/>
      <c r="AX63" s="535"/>
      <c r="AY63" s="535"/>
      <c r="AZ63" s="535"/>
      <c r="BA63" s="535"/>
      <c r="BB63" s="535"/>
      <c r="BC63" s="535"/>
      <c r="BD63" s="535"/>
      <c r="BE63" s="535"/>
      <c r="BF63" s="535"/>
    </row>
    <row r="64" spans="2:58" s="98" customFormat="1" ht="62.25" customHeight="1" x14ac:dyDescent="0.9">
      <c r="B64" s="357">
        <f>+B63</f>
        <v>11</v>
      </c>
      <c r="C64" s="408"/>
      <c r="D64" s="184"/>
      <c r="E64" s="111">
        <f>+B63</f>
        <v>11</v>
      </c>
      <c r="F64" s="412"/>
      <c r="G64" s="541" t="str">
        <f t="shared" si="63"/>
        <v>2396-593-600</v>
      </c>
      <c r="H64" s="411" t="s">
        <v>412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48"/>
      <c r="N64" s="448"/>
      <c r="O64" s="448">
        <v>2</v>
      </c>
      <c r="P64" s="448">
        <v>2</v>
      </c>
      <c r="Q64" s="448">
        <v>2</v>
      </c>
      <c r="R64" s="448">
        <v>2</v>
      </c>
      <c r="S64" s="448">
        <v>2</v>
      </c>
      <c r="T64" s="448">
        <v>2</v>
      </c>
      <c r="U64" s="448">
        <v>2</v>
      </c>
      <c r="V64" s="448"/>
      <c r="W64" s="448"/>
      <c r="X64" s="160">
        <f>+IF(H64="l",IF(COUNTA(M63:W63)=AK65+0.25,AA63-K63*AK65,AA63-(K63*COUNTA(M63:W63))),IF(H64="s",0,IF(COUNTA(M63:W63)=AK65+0.25,SUMIF($C:$C,B63,$AA:$AA)-K63*AK65,SUMIF($C:$C,B63,$AA:$AA)-K63*COUNTA(M63:W63))))</f>
        <v>0</v>
      </c>
      <c r="Y64" s="466"/>
      <c r="Z64" s="534"/>
      <c r="AA64" s="462">
        <f t="shared" ref="AA64:AA65" si="65">+SUM(M64:W64)-U64*0.25</f>
        <v>13.5</v>
      </c>
      <c r="AB64" s="360"/>
      <c r="AC64" s="360"/>
      <c r="AD64" s="362"/>
      <c r="AE64" s="363"/>
      <c r="AF64" s="346"/>
      <c r="AG64" s="347">
        <f t="shared" si="2"/>
        <v>0</v>
      </c>
      <c r="AH64" s="341">
        <f t="shared" si="3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13.5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48" s="98" customFormat="1" ht="62.25" customHeight="1" thickBot="1" x14ac:dyDescent="0.95">
      <c r="B65" s="364">
        <f>+B63</f>
        <v>11</v>
      </c>
      <c r="C65" s="410"/>
      <c r="D65" s="174" t="s">
        <v>418</v>
      </c>
      <c r="E65" s="175">
        <f>+E64+100</f>
        <v>111</v>
      </c>
      <c r="F65" s="175"/>
      <c r="G65" s="542" t="str">
        <f t="shared" si="63"/>
        <v>2396-593-600</v>
      </c>
      <c r="H65" s="117"/>
      <c r="I65" s="442"/>
      <c r="J65" s="165">
        <f>+IF(K65="","",IF(K63=0,"",(K63*J63)/(K65*60)))</f>
        <v>0.90279069767441855</v>
      </c>
      <c r="K65" s="118">
        <v>43</v>
      </c>
      <c r="L65" s="104" t="s">
        <v>422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>
        <v>0</v>
      </c>
      <c r="Z65" s="371">
        <f>+IF(COUNTA(M63:W63)=$AJ$4+0.25,$AJ$4-(AA63/K63),COUNTA(M63:W63)-(AA63/K63))+Y65</f>
        <v>0</v>
      </c>
      <c r="AA65" s="465">
        <f t="shared" si="65"/>
        <v>0</v>
      </c>
      <c r="AB65" s="367"/>
      <c r="AC65" s="367"/>
      <c r="AD65" s="368">
        <f>+IFERROR(AD63/(K63*$AQ$3),"")</f>
        <v>0.8</v>
      </c>
      <c r="AE65" s="369"/>
      <c r="AF65" s="347"/>
      <c r="AG65" s="347">
        <f t="shared" si="2"/>
        <v>0</v>
      </c>
      <c r="AH65" s="341">
        <f t="shared" si="3"/>
        <v>0</v>
      </c>
      <c r="AI65" s="341"/>
      <c r="AJ65" s="356"/>
      <c r="AK65" s="370">
        <f>+$AJ$4</f>
        <v>8.75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>
        <v>0.33723653395784542</v>
      </c>
      <c r="AV65" s="390"/>
    </row>
    <row r="66" spans="2:48" s="98" customFormat="1" ht="62.25" customHeight="1" thickTop="1" x14ac:dyDescent="0.9">
      <c r="B66" s="342">
        <f>+B67</f>
        <v>12</v>
      </c>
      <c r="C66" s="405"/>
      <c r="D66" s="106"/>
      <c r="E66" s="106"/>
      <c r="F66" s="106"/>
      <c r="G66" s="539"/>
      <c r="H66" s="106"/>
      <c r="I66" s="106"/>
      <c r="J66" s="107" t="s">
        <v>20</v>
      </c>
      <c r="K66" s="108" t="s">
        <v>23</v>
      </c>
      <c r="L66" s="100" t="s">
        <v>21</v>
      </c>
      <c r="M66" s="453"/>
      <c r="N66" s="453"/>
      <c r="O66" s="453"/>
      <c r="P66" s="453"/>
      <c r="Q66" s="453"/>
      <c r="R66" s="453"/>
      <c r="S66" s="453"/>
      <c r="T66" s="453"/>
      <c r="U66" s="453"/>
      <c r="V66" s="453"/>
      <c r="W66" s="453"/>
      <c r="X66" s="447" t="str">
        <f t="shared" ref="X66" si="66">IF(AQ67="","",SUM(M66:W66)-(-(AQ67-SUM(M66:W66))/$AQ$3)*SUM($M$2:$W$2))</f>
        <v/>
      </c>
      <c r="Y66" s="466">
        <v>0</v>
      </c>
      <c r="Z66" s="533">
        <f>+X68</f>
        <v>0</v>
      </c>
      <c r="AA66" s="447">
        <f t="shared" si="1"/>
        <v>0</v>
      </c>
      <c r="AB66" s="343">
        <f>+AC66+AA66</f>
        <v>0</v>
      </c>
      <c r="AC66" s="343">
        <v>0</v>
      </c>
      <c r="AD66" s="344"/>
      <c r="AE66" s="345"/>
      <c r="AF66" s="346"/>
      <c r="AG66" s="347"/>
      <c r="AH66" s="341"/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48" s="98" customFormat="1" ht="62.25" customHeight="1" x14ac:dyDescent="0.9">
      <c r="B67" s="351">
        <v>12</v>
      </c>
      <c r="C67" s="406">
        <v>12</v>
      </c>
      <c r="D67" s="407"/>
      <c r="E67" s="111"/>
      <c r="F67" s="111"/>
      <c r="G67" s="539"/>
      <c r="H67" s="111"/>
      <c r="I67" s="111"/>
      <c r="J67" s="113"/>
      <c r="K67" s="130"/>
      <c r="L67" s="101" t="s">
        <v>17</v>
      </c>
      <c r="M67" s="454"/>
      <c r="N67" s="454"/>
      <c r="O67" s="454"/>
      <c r="P67" s="454"/>
      <c r="Q67" s="454"/>
      <c r="R67" s="454"/>
      <c r="S67" s="454"/>
      <c r="T67" s="454"/>
      <c r="U67" s="454"/>
      <c r="V67" s="454"/>
      <c r="W67" s="454"/>
      <c r="X67" s="123">
        <f>+IF(H68="s",0,IF(AA67=0,0,IF(COUNTA(M67:W67)=AK69+0.25,SUMIF($C:$C,B67,$AA:$AA)/AK69,SUMIF($C:$C,B67,$AA:$AA)/(COUNTA(M67:W67)))))</f>
        <v>0</v>
      </c>
      <c r="Y67" s="466"/>
      <c r="Z67" s="534"/>
      <c r="AA67" s="134">
        <f t="shared" si="1"/>
        <v>0</v>
      </c>
      <c r="AB67" s="354">
        <f>+AA67+AC67</f>
        <v>0</v>
      </c>
      <c r="AC67" s="354">
        <v>0</v>
      </c>
      <c r="AD67" s="355">
        <f>+AB66-AB67</f>
        <v>0</v>
      </c>
      <c r="AE67" s="131" t="str">
        <f>+IF(((AA68+(AA69/2))*60)=0,"",(J67*AA67)/((AA68+(AA69/2))*60))</f>
        <v/>
      </c>
      <c r="AF67" s="347"/>
      <c r="AG67" s="347"/>
      <c r="AH67" s="341"/>
      <c r="AI67" s="341"/>
      <c r="AJ67" s="356"/>
      <c r="AK67" s="348"/>
      <c r="AL67" s="349"/>
      <c r="AM67" s="341"/>
      <c r="AN67" s="341"/>
      <c r="AO67" s="341"/>
      <c r="AP67" s="341"/>
      <c r="AQ67" s="339" t="str">
        <f t="shared" si="20"/>
        <v/>
      </c>
      <c r="AR67" s="434"/>
      <c r="AT67" s="390">
        <v>0</v>
      </c>
      <c r="AV67" s="390">
        <f t="shared" ref="AV67" si="67">+AT67-AD67</f>
        <v>0</v>
      </c>
    </row>
    <row r="68" spans="2:48" s="98" customFormat="1" ht="62.25" customHeight="1" x14ac:dyDescent="0.9">
      <c r="B68" s="357">
        <f>+B67</f>
        <v>12</v>
      </c>
      <c r="C68" s="408"/>
      <c r="D68" s="184"/>
      <c r="E68" s="111">
        <f>+B67</f>
        <v>12</v>
      </c>
      <c r="F68" s="409"/>
      <c r="G68" s="539"/>
      <c r="H68" s="411"/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53"/>
      <c r="N68" s="453"/>
      <c r="O68" s="453"/>
      <c r="P68" s="453"/>
      <c r="Q68" s="453"/>
      <c r="R68" s="453"/>
      <c r="S68" s="453"/>
      <c r="T68" s="453"/>
      <c r="U68" s="453"/>
      <c r="V68" s="453"/>
      <c r="W68" s="453"/>
      <c r="X68" s="160">
        <f>+IF(H68="l",IF(COUNTA(M67:W67)=AK69+0.25,AA67-K67*AK69,AA67-(K67*COUNTA(M67:W67))),IF(H68="s",0,IF(COUNTA(M67:W67)=AK69+0.25,SUMIF($C:$C,B67,$AA:$AA)-K67*AK69,SUMIF($C:$C,B67,$AA:$AA)-K67*COUNTA(M67:W67))))</f>
        <v>0</v>
      </c>
      <c r="Y68" s="466"/>
      <c r="Z68" s="534"/>
      <c r="AA68" s="462">
        <f t="shared" ref="AA68:AA69" si="68">+SUM(M68:W68)-U68*0.25</f>
        <v>0</v>
      </c>
      <c r="AB68" s="360"/>
      <c r="AC68" s="360"/>
      <c r="AD68" s="362"/>
      <c r="AE68" s="363"/>
      <c r="AF68" s="346"/>
      <c r="AG68" s="347"/>
      <c r="AH68" s="341"/>
      <c r="AI68" s="341"/>
      <c r="AJ68" s="341"/>
      <c r="AK68" s="348"/>
      <c r="AL68" s="349"/>
      <c r="AM68" s="341"/>
      <c r="AN68" s="341"/>
      <c r="AO68" s="341"/>
      <c r="AP68" s="341"/>
      <c r="AQ68" s="438"/>
      <c r="AR68" s="434"/>
      <c r="AT68" s="390"/>
      <c r="AV68" s="390"/>
    </row>
    <row r="69" spans="2:48" s="98" customFormat="1" ht="62.25" customHeight="1" thickBot="1" x14ac:dyDescent="0.95">
      <c r="B69" s="364">
        <f>+B67</f>
        <v>12</v>
      </c>
      <c r="C69" s="410"/>
      <c r="D69" s="174"/>
      <c r="E69" s="175">
        <f>+E68+100</f>
        <v>112</v>
      </c>
      <c r="F69" s="175"/>
      <c r="G69" s="539"/>
      <c r="H69" s="117"/>
      <c r="I69" s="442"/>
      <c r="J69" s="165" t="str">
        <f>+IF(K69="","",IF(K67=0,"",(K67*J67)/(K69*60)))</f>
        <v/>
      </c>
      <c r="K69" s="118"/>
      <c r="L69" s="104" t="s">
        <v>19</v>
      </c>
      <c r="M69" s="455"/>
      <c r="N69" s="455"/>
      <c r="O69" s="455"/>
      <c r="P69" s="455"/>
      <c r="Q69" s="455"/>
      <c r="R69" s="455"/>
      <c r="S69" s="455"/>
      <c r="T69" s="455"/>
      <c r="U69" s="455"/>
      <c r="V69" s="455"/>
      <c r="W69" s="455"/>
      <c r="X69" s="173"/>
      <c r="Y69" s="467"/>
      <c r="Z69" s="371"/>
      <c r="AA69" s="465">
        <f t="shared" si="68"/>
        <v>0</v>
      </c>
      <c r="AB69" s="367"/>
      <c r="AC69" s="367"/>
      <c r="AD69" s="368" t="str">
        <f>+IFERROR(AD67/(K67*$AQ$3),"")</f>
        <v/>
      </c>
      <c r="AE69" s="369"/>
      <c r="AF69" s="347"/>
      <c r="AG69" s="347"/>
      <c r="AH69" s="341"/>
      <c r="AI69" s="341"/>
      <c r="AJ69" s="356"/>
      <c r="AK69" s="370">
        <v>10.25</v>
      </c>
      <c r="AL69" s="349"/>
      <c r="AM69" s="341"/>
      <c r="AN69" s="341"/>
      <c r="AO69" s="341"/>
      <c r="AP69" s="341"/>
      <c r="AQ69" s="369"/>
      <c r="AR69" s="434"/>
      <c r="AT69" s="390" t="s">
        <v>416</v>
      </c>
      <c r="AV69" s="390"/>
    </row>
    <row r="70" spans="2:48" s="98" customFormat="1" ht="62.25" customHeight="1" thickTop="1" x14ac:dyDescent="0.9">
      <c r="B70" s="342">
        <f>+B71</f>
        <v>13</v>
      </c>
      <c r="C70" s="405"/>
      <c r="D70" s="106"/>
      <c r="E70" s="106"/>
      <c r="F70" s="106"/>
      <c r="G70" s="540" t="s">
        <v>432</v>
      </c>
      <c r="H70" s="106"/>
      <c r="I70" s="106"/>
      <c r="J70" s="107" t="s">
        <v>20</v>
      </c>
      <c r="K70" s="108" t="s">
        <v>23</v>
      </c>
      <c r="L70" s="100" t="s">
        <v>21</v>
      </c>
      <c r="M70" s="448">
        <v>120</v>
      </c>
      <c r="N70" s="448">
        <v>120</v>
      </c>
      <c r="O70" s="448"/>
      <c r="P70" s="448">
        <v>120</v>
      </c>
      <c r="Q70" s="448">
        <v>120</v>
      </c>
      <c r="R70" s="448">
        <v>110</v>
      </c>
      <c r="S70" s="448"/>
      <c r="T70" s="448"/>
      <c r="U70" s="448"/>
      <c r="V70" s="448"/>
      <c r="W70" s="448"/>
      <c r="X70" s="447">
        <f t="shared" ref="X70" si="69">IF(AQ71="","",SUM(M70:W70)-(-(AQ71-SUM(M70:W70))/$AQ$3)*SUM($M$2:$W$2))</f>
        <v>590</v>
      </c>
      <c r="Y70" s="466">
        <v>-91</v>
      </c>
      <c r="Z70" s="533">
        <f>+X72</f>
        <v>-173</v>
      </c>
      <c r="AA70" s="447">
        <f t="shared" si="1"/>
        <v>590</v>
      </c>
      <c r="AB70" s="343">
        <f>+AC70+AA70</f>
        <v>5811</v>
      </c>
      <c r="AC70" s="343">
        <v>5221</v>
      </c>
      <c r="AD70" s="344"/>
      <c r="AE70" s="345"/>
      <c r="AF70" s="346"/>
      <c r="AG70" s="347">
        <f t="shared" si="2"/>
        <v>0</v>
      </c>
      <c r="AH70" s="341">
        <f t="shared" si="3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48" s="98" customFormat="1" ht="62.25" customHeight="1" x14ac:dyDescent="0.9">
      <c r="B71" s="351">
        <v>13</v>
      </c>
      <c r="C71" s="406">
        <f>+B71</f>
        <v>13</v>
      </c>
      <c r="D71" s="407" t="s">
        <v>431</v>
      </c>
      <c r="E71" s="111"/>
      <c r="F71" s="111" t="s">
        <v>35</v>
      </c>
      <c r="G71" s="541" t="str">
        <f t="shared" ref="G71:G73" si="70">+G70</f>
        <v>2158-755-712</v>
      </c>
      <c r="H71" s="111"/>
      <c r="I71" s="111" t="s">
        <v>33</v>
      </c>
      <c r="J71" s="113">
        <v>51.42</v>
      </c>
      <c r="K71" s="130">
        <v>52</v>
      </c>
      <c r="L71" s="101" t="s">
        <v>17</v>
      </c>
      <c r="M71" s="214">
        <v>20</v>
      </c>
      <c r="N71" s="214">
        <v>40</v>
      </c>
      <c r="O71" s="214">
        <v>19</v>
      </c>
      <c r="P71" s="214">
        <v>31</v>
      </c>
      <c r="Q71" s="214">
        <v>30</v>
      </c>
      <c r="R71" s="214">
        <v>37</v>
      </c>
      <c r="S71" s="214">
        <v>40</v>
      </c>
      <c r="T71" s="214">
        <v>45</v>
      </c>
      <c r="U71" s="214">
        <v>20</v>
      </c>
      <c r="V71" s="214"/>
      <c r="W71" s="214"/>
      <c r="X71" s="123">
        <f>+IF(H72="s",0,IF(AA71=0,0,IF(COUNTA(M71:W71)=AK73+0.25,SUMIF($C:$C,B71,$AA:$AA)/AK73,SUMIF($C:$C,B71,$AA:$AA)/(COUNTA(M71:W71)))))</f>
        <v>32.228571428571428</v>
      </c>
      <c r="Y71" s="466"/>
      <c r="Z71" s="534"/>
      <c r="AA71" s="134">
        <f t="shared" si="1"/>
        <v>282</v>
      </c>
      <c r="AB71" s="354">
        <f>+AA71+AC71</f>
        <v>4889</v>
      </c>
      <c r="AC71" s="354">
        <v>4607</v>
      </c>
      <c r="AD71" s="355">
        <f>+AB70-AB71</f>
        <v>922</v>
      </c>
      <c r="AE71" s="131">
        <f>+IF(((AA72+(AA73/2))*60)=0,"",(J71*AA71)/((AA72+(AA73/2))*60))</f>
        <v>0.56367113702623906</v>
      </c>
      <c r="AF71" s="347">
        <f>+AA72+AA73/2</f>
        <v>428.75</v>
      </c>
      <c r="AG71" s="347">
        <f t="shared" si="2"/>
        <v>428.45</v>
      </c>
      <c r="AH71" s="341">
        <f t="shared" si="3"/>
        <v>25725</v>
      </c>
      <c r="AI71" s="341">
        <f>+AA71*J71</f>
        <v>14500.44</v>
      </c>
      <c r="AJ71" s="356">
        <f>+AA71-(AF71*K71/K73)</f>
        <v>-155.15686274509807</v>
      </c>
      <c r="AK71" s="348"/>
      <c r="AL71" s="349"/>
      <c r="AM71" s="341"/>
      <c r="AN71" s="341"/>
      <c r="AO71" s="341"/>
      <c r="AP71" s="341"/>
      <c r="AQ71" s="339">
        <f t="shared" si="20"/>
        <v>66.5</v>
      </c>
      <c r="AR71" s="434">
        <v>1.5</v>
      </c>
      <c r="AT71" s="390">
        <v>614</v>
      </c>
      <c r="AV71" s="390">
        <f t="shared" ref="AV71" si="71">+AT71-AD71</f>
        <v>-308</v>
      </c>
    </row>
    <row r="72" spans="2:48" s="98" customFormat="1" ht="62.25" customHeight="1" x14ac:dyDescent="0.9">
      <c r="B72" s="357">
        <f>+B71</f>
        <v>13</v>
      </c>
      <c r="C72" s="408"/>
      <c r="D72" s="184"/>
      <c r="E72" s="111">
        <f>+B71</f>
        <v>13</v>
      </c>
      <c r="F72" s="412"/>
      <c r="G72" s="541" t="str">
        <f t="shared" si="70"/>
        <v>2158-755-712</v>
      </c>
      <c r="H72" s="411"/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48">
        <v>49</v>
      </c>
      <c r="N72" s="448">
        <v>49</v>
      </c>
      <c r="O72" s="448">
        <v>49</v>
      </c>
      <c r="P72" s="448">
        <v>49</v>
      </c>
      <c r="Q72" s="448">
        <v>49</v>
      </c>
      <c r="R72" s="448">
        <v>49</v>
      </c>
      <c r="S72" s="448">
        <v>49</v>
      </c>
      <c r="T72" s="448">
        <v>49</v>
      </c>
      <c r="U72" s="448">
        <v>49</v>
      </c>
      <c r="V72" s="448"/>
      <c r="W72" s="448"/>
      <c r="X72" s="160">
        <f>+IF(H72="l",IF(COUNTA(M71:W71)=AK73+0.25,AA71-K71*AK73,AA71-(K71*COUNTA(M71:W71))),IF(H72="s",0,IF(COUNTA(M71:W71)=AK73+0.25,SUMIF($C:$C,B71,$AA:$AA)-K71*AK73,SUMIF($C:$C,B71,$AA:$AA)-K71*COUNTA(M71:W71))))</f>
        <v>-173</v>
      </c>
      <c r="Y72" s="466"/>
      <c r="Z72" s="534"/>
      <c r="AA72" s="462">
        <f t="shared" ref="AA72:AA73" si="72">+SUM(M72:W72)-U72*0.25</f>
        <v>428.75</v>
      </c>
      <c r="AB72" s="360"/>
      <c r="AC72" s="360"/>
      <c r="AD72" s="362"/>
      <c r="AE72" s="363"/>
      <c r="AF72" s="346"/>
      <c r="AG72" s="347">
        <f t="shared" si="2"/>
        <v>0</v>
      </c>
      <c r="AH72" s="341">
        <f t="shared" si="3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428.75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48" s="98" customFormat="1" ht="62.25" customHeight="1" thickBot="1" x14ac:dyDescent="0.95">
      <c r="B73" s="364">
        <f>+B71</f>
        <v>13</v>
      </c>
      <c r="C73" s="410"/>
      <c r="D73" s="174" t="s">
        <v>379</v>
      </c>
      <c r="E73" s="175">
        <f>+E72+100</f>
        <v>113</v>
      </c>
      <c r="F73" s="175"/>
      <c r="G73" s="542" t="str">
        <f t="shared" si="70"/>
        <v>2158-755-712</v>
      </c>
      <c r="H73" s="117"/>
      <c r="I73" s="442"/>
      <c r="J73" s="165">
        <f>+IF(K73="","",IF(K71=0,"",(K71*J71)/(K73*60)))</f>
        <v>0.87380392156862752</v>
      </c>
      <c r="K73" s="118">
        <v>51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>
        <v>30.54</v>
      </c>
      <c r="Z73" s="365">
        <v>30.54</v>
      </c>
      <c r="AA73" s="465">
        <f t="shared" si="72"/>
        <v>0</v>
      </c>
      <c r="AB73" s="367"/>
      <c r="AC73" s="367"/>
      <c r="AD73" s="368">
        <f>+IFERROR(AD71/(K71*$AQ$3),"")</f>
        <v>2.0263736263736263</v>
      </c>
      <c r="AE73" s="369"/>
      <c r="AF73" s="347"/>
      <c r="AG73" s="347">
        <f t="shared" si="2"/>
        <v>0</v>
      </c>
      <c r="AH73" s="341">
        <f t="shared" si="3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1.3494505494505495</v>
      </c>
      <c r="AV73" s="390"/>
    </row>
    <row r="74" spans="2:48" s="98" customFormat="1" ht="58.5" customHeight="1" thickTop="1" x14ac:dyDescent="0.9">
      <c r="B74" s="373">
        <f>+B75</f>
        <v>14</v>
      </c>
      <c r="C74" s="405"/>
      <c r="D74" s="106"/>
      <c r="E74" s="106"/>
      <c r="F74" s="106"/>
      <c r="G74" s="540" t="s">
        <v>429</v>
      </c>
      <c r="H74" s="106"/>
      <c r="I74" s="106"/>
      <c r="J74" s="107" t="s">
        <v>20</v>
      </c>
      <c r="K74" s="108" t="s">
        <v>23</v>
      </c>
      <c r="L74" s="100" t="s">
        <v>21</v>
      </c>
      <c r="M74" s="448"/>
      <c r="N74" s="448"/>
      <c r="O74" s="448"/>
      <c r="P74" s="448"/>
      <c r="Q74" s="448"/>
      <c r="R74" s="448"/>
      <c r="S74" s="448"/>
      <c r="T74" s="448"/>
      <c r="U74" s="448"/>
      <c r="V74" s="448"/>
      <c r="W74" s="448"/>
      <c r="X74" s="447" t="str">
        <f t="shared" ref="X74" si="73">IF(AQ75="","",SUM(M74:W74)-(-(AQ75-SUM(M74:W74))/$AQ$3)*SUM($M$2:$W$2))</f>
        <v/>
      </c>
      <c r="Y74" s="466">
        <v>-147</v>
      </c>
      <c r="Z74" s="533">
        <f>+X76</f>
        <v>-82</v>
      </c>
      <c r="AA74" s="447">
        <f t="shared" si="1"/>
        <v>0</v>
      </c>
      <c r="AB74" s="343">
        <f>+AC74+AA74</f>
        <v>5850</v>
      </c>
      <c r="AC74" s="343">
        <v>5850</v>
      </c>
      <c r="AD74" s="344"/>
      <c r="AE74" s="345"/>
      <c r="AF74" s="346"/>
      <c r="AG74" s="347">
        <f t="shared" si="2"/>
        <v>0</v>
      </c>
      <c r="AH74" s="341">
        <f t="shared" si="3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48" s="98" customFormat="1" ht="58.5" customHeight="1" x14ac:dyDescent="0.9">
      <c r="B75" s="374">
        <v>14</v>
      </c>
      <c r="C75" s="406">
        <f>+B75</f>
        <v>14</v>
      </c>
      <c r="D75" s="407" t="s">
        <v>427</v>
      </c>
      <c r="E75" s="111"/>
      <c r="F75" s="111" t="s">
        <v>428</v>
      </c>
      <c r="G75" s="541" t="str">
        <f t="shared" ref="G75:G77" si="74">+G74</f>
        <v>NEGRONI-202942</v>
      </c>
      <c r="H75" s="111"/>
      <c r="I75" s="111" t="s">
        <v>430</v>
      </c>
      <c r="J75" s="113">
        <v>48.06</v>
      </c>
      <c r="K75" s="471">
        <v>44</v>
      </c>
      <c r="L75" s="101" t="s">
        <v>17</v>
      </c>
      <c r="M75" s="214">
        <v>20</v>
      </c>
      <c r="N75" s="214">
        <v>35</v>
      </c>
      <c r="O75" s="214">
        <v>40</v>
      </c>
      <c r="P75" s="214">
        <v>45</v>
      </c>
      <c r="Q75" s="214">
        <v>41</v>
      </c>
      <c r="R75" s="214">
        <v>40</v>
      </c>
      <c r="S75" s="214">
        <v>25</v>
      </c>
      <c r="T75" s="214">
        <v>30</v>
      </c>
      <c r="U75" s="214">
        <v>27</v>
      </c>
      <c r="V75" s="214"/>
      <c r="W75" s="214"/>
      <c r="X75" s="123">
        <f>+IF(H76="s",0,IF(AA75=0,0,IF(COUNTA(M75:W75)=AK77+0.25,SUMIF($C:$C,B75,$AA:$AA)/AK77,SUMIF($C:$C,B75,$AA:$AA)/(COUNTA(M75:W75)))))</f>
        <v>34.628571428571426</v>
      </c>
      <c r="Y75" s="466"/>
      <c r="Z75" s="534"/>
      <c r="AA75" s="134">
        <f t="shared" si="1"/>
        <v>303</v>
      </c>
      <c r="AB75" s="354">
        <f>+AA75+AC75</f>
        <v>5586</v>
      </c>
      <c r="AC75" s="354">
        <v>5283</v>
      </c>
      <c r="AD75" s="355">
        <f>+AB74-AB75</f>
        <v>264</v>
      </c>
      <c r="AE75" s="131">
        <f>+IF(((AA76+(AA77/2))*60)=0,"",(J75*AA75)/((AA76+(AA77/2))*60))</f>
        <v>0.71409488782640673</v>
      </c>
      <c r="AF75" s="347">
        <f>+AA76+AA77/2</f>
        <v>339.875</v>
      </c>
      <c r="AG75" s="347">
        <f t="shared" si="2"/>
        <v>339.52499999999998</v>
      </c>
      <c r="AH75" s="341">
        <f t="shared" si="3"/>
        <v>20392.5</v>
      </c>
      <c r="AI75" s="341">
        <f>+AA75*J75</f>
        <v>14562.18</v>
      </c>
      <c r="AJ75" s="356">
        <f>+AA75-(AF75*K75/K77)</f>
        <v>-36.875</v>
      </c>
      <c r="AK75" s="348"/>
      <c r="AL75" s="349"/>
      <c r="AM75" s="341"/>
      <c r="AN75" s="341"/>
      <c r="AO75" s="341"/>
      <c r="AP75" s="341"/>
      <c r="AQ75" s="339"/>
      <c r="AR75" s="434"/>
      <c r="AT75" s="390">
        <v>567</v>
      </c>
      <c r="AV75" s="390">
        <f t="shared" ref="AV75" si="75">+AT75-AD75</f>
        <v>303</v>
      </c>
    </row>
    <row r="76" spans="2:48" s="98" customFormat="1" ht="58.5" customHeight="1" x14ac:dyDescent="0.9">
      <c r="B76" s="357">
        <f>+B75</f>
        <v>14</v>
      </c>
      <c r="C76" s="408"/>
      <c r="D76" s="184"/>
      <c r="E76" s="111">
        <f>+B75</f>
        <v>14</v>
      </c>
      <c r="F76" s="409"/>
      <c r="G76" s="541" t="str">
        <f t="shared" si="74"/>
        <v>NEGRONI-202942</v>
      </c>
      <c r="H76" s="411"/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48">
        <v>41</v>
      </c>
      <c r="N76" s="448">
        <v>38</v>
      </c>
      <c r="O76" s="448">
        <v>38</v>
      </c>
      <c r="P76" s="448">
        <v>38</v>
      </c>
      <c r="Q76" s="448">
        <v>38</v>
      </c>
      <c r="R76" s="448">
        <v>38</v>
      </c>
      <c r="S76" s="448">
        <v>38</v>
      </c>
      <c r="T76" s="448">
        <v>38</v>
      </c>
      <c r="U76" s="448">
        <v>38</v>
      </c>
      <c r="V76" s="448"/>
      <c r="W76" s="448"/>
      <c r="X76" s="160">
        <f>+IF(H76="l",IF(COUNTA(M75:W75)=AK77+0.25,AA75-K75*AK77,AA75-(K75*COUNTA(M75:W75))),IF(H76="s",0,IF(COUNTA(M75:W75)=AK77+0.25,SUMIF($C:$C,B75,$AA:$AA)-K75*AK77,SUMIF($C:$C,B75,$AA:$AA)-K75*COUNTA(M75:W75))))</f>
        <v>-82</v>
      </c>
      <c r="Y76" s="466"/>
      <c r="Z76" s="534"/>
      <c r="AA76" s="462">
        <f t="shared" ref="AA76:AA77" si="76">+SUM(M76:W76)-U76*0.25</f>
        <v>335.5</v>
      </c>
      <c r="AB76" s="360"/>
      <c r="AC76" s="360"/>
      <c r="AD76" s="362"/>
      <c r="AE76" s="363"/>
      <c r="AF76" s="346"/>
      <c r="AG76" s="347">
        <f t="shared" si="2"/>
        <v>0</v>
      </c>
      <c r="AH76" s="341">
        <f t="shared" si="3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335.5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48" s="98" customFormat="1" ht="58.5" customHeight="1" thickBot="1" x14ac:dyDescent="0.95">
      <c r="B77" s="364">
        <f>+B75</f>
        <v>14</v>
      </c>
      <c r="C77" s="410"/>
      <c r="D77" s="174" t="s">
        <v>112</v>
      </c>
      <c r="E77" s="175">
        <f>+E76+100</f>
        <v>114</v>
      </c>
      <c r="F77" s="175"/>
      <c r="G77" s="542" t="str">
        <f t="shared" si="74"/>
        <v>NEGRONI-202942</v>
      </c>
      <c r="H77" s="117"/>
      <c r="I77" s="442"/>
      <c r="J77" s="165">
        <f>+IF(K77="","",IF(K75=0,"",(K75*J75)/(K77*60)))</f>
        <v>0.80100000000000016</v>
      </c>
      <c r="K77" s="471">
        <v>44</v>
      </c>
      <c r="L77" s="104" t="s">
        <v>19</v>
      </c>
      <c r="M77" s="216">
        <v>1</v>
      </c>
      <c r="N77" s="216">
        <v>1</v>
      </c>
      <c r="O77" s="216">
        <v>1</v>
      </c>
      <c r="P77" s="216">
        <v>1</v>
      </c>
      <c r="Q77" s="216">
        <v>1</v>
      </c>
      <c r="R77" s="216">
        <v>1</v>
      </c>
      <c r="S77" s="216">
        <v>1</v>
      </c>
      <c r="T77" s="216">
        <v>1</v>
      </c>
      <c r="U77" s="216">
        <v>1</v>
      </c>
      <c r="V77" s="216"/>
      <c r="W77" s="216"/>
      <c r="X77" s="173"/>
      <c r="Y77" s="467">
        <v>43.52</v>
      </c>
      <c r="Z77" s="365">
        <v>43.52</v>
      </c>
      <c r="AA77" s="465">
        <f t="shared" si="76"/>
        <v>8.75</v>
      </c>
      <c r="AB77" s="367"/>
      <c r="AC77" s="367"/>
      <c r="AD77" s="368">
        <f>+IFERROR(AD75/(K75*$AQ$3),"")</f>
        <v>0.68571428571428572</v>
      </c>
      <c r="AE77" s="369"/>
      <c r="AF77" s="347"/>
      <c r="AG77" s="347">
        <f t="shared" si="2"/>
        <v>0</v>
      </c>
      <c r="AH77" s="341">
        <f t="shared" si="3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8.75</v>
      </c>
      <c r="AM77" s="341">
        <f>+AL77-AA77</f>
        <v>0</v>
      </c>
      <c r="AN77" s="341"/>
      <c r="AO77" s="341"/>
      <c r="AP77" s="341"/>
      <c r="AQ77" s="369"/>
      <c r="AR77" s="434"/>
      <c r="AT77" s="390">
        <v>1.4727272727272727</v>
      </c>
      <c r="AV77" s="390"/>
    </row>
    <row r="78" spans="2:48" s="98" customFormat="1" ht="58.5" customHeight="1" thickTop="1" x14ac:dyDescent="0.9">
      <c r="B78" s="373">
        <f>+B79</f>
        <v>14</v>
      </c>
      <c r="C78" s="405"/>
      <c r="D78" s="106"/>
      <c r="E78" s="106"/>
      <c r="F78" s="106"/>
      <c r="G78" s="540" t="s">
        <v>481</v>
      </c>
      <c r="H78" s="106"/>
      <c r="I78" s="106"/>
      <c r="J78" s="107" t="s">
        <v>20</v>
      </c>
      <c r="K78" s="108" t="s">
        <v>23</v>
      </c>
      <c r="L78" s="100" t="s">
        <v>21</v>
      </c>
      <c r="M78" s="448">
        <v>60</v>
      </c>
      <c r="N78" s="448">
        <v>60</v>
      </c>
      <c r="O78" s="448"/>
      <c r="P78" s="448">
        <v>60</v>
      </c>
      <c r="Q78" s="448">
        <v>60</v>
      </c>
      <c r="R78" s="448">
        <v>60</v>
      </c>
      <c r="S78" s="448"/>
      <c r="T78" s="448"/>
      <c r="U78" s="448"/>
      <c r="V78" s="448"/>
      <c r="W78" s="448"/>
      <c r="X78" s="447">
        <f t="shared" ref="X78" si="77">IF(AQ79="","",SUM(M78:W78)-(-(AQ79-SUM(M78:W78))/$AQ$3)*SUM($M$2:$W$2))</f>
        <v>300</v>
      </c>
      <c r="Y78" s="466">
        <v>0</v>
      </c>
      <c r="Z78" s="533">
        <f>+X80</f>
        <v>0</v>
      </c>
      <c r="AA78" s="447">
        <f t="shared" ref="AA78:AA79" si="78">+SUM(L78:W78)</f>
        <v>300</v>
      </c>
      <c r="AB78" s="343">
        <f>+AC78+AA78</f>
        <v>720</v>
      </c>
      <c r="AC78" s="343">
        <v>420</v>
      </c>
      <c r="AD78" s="344"/>
      <c r="AE78" s="345"/>
      <c r="AF78" s="346"/>
      <c r="AG78" s="347">
        <f t="shared" si="2"/>
        <v>0</v>
      </c>
      <c r="AH78" s="341">
        <f t="shared" si="3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48" s="98" customFormat="1" ht="58.5" customHeight="1" x14ac:dyDescent="0.9">
      <c r="B79" s="374">
        <v>14</v>
      </c>
      <c r="C79" s="406">
        <f>+B79</f>
        <v>14</v>
      </c>
      <c r="D79" s="407" t="s">
        <v>480</v>
      </c>
      <c r="E79" s="111"/>
      <c r="F79" s="111" t="s">
        <v>35</v>
      </c>
      <c r="G79" s="541" t="str">
        <f t="shared" ref="G79:G81" si="79">+G78</f>
        <v>2396-593-600</v>
      </c>
      <c r="H79" s="111"/>
      <c r="I79" s="111" t="s">
        <v>33</v>
      </c>
      <c r="J79" s="113">
        <v>38.82</v>
      </c>
      <c r="K79" s="130">
        <v>60</v>
      </c>
      <c r="L79" s="101" t="s">
        <v>17</v>
      </c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123">
        <f>+IF(H80="s",0,IF(AA79=0,0,IF(COUNTA(M79:W79)=AK81+0.25,SUMIF($C:$C,B79,$AA:$AA)/AK81,SUMIF($C:$C,B79,$AA:$AA)/(COUNTA(M79:W79)))))</f>
        <v>0</v>
      </c>
      <c r="Y79" s="466"/>
      <c r="Z79" s="534"/>
      <c r="AA79" s="134">
        <f t="shared" si="78"/>
        <v>0</v>
      </c>
      <c r="AB79" s="354">
        <f>+AA79+AC79</f>
        <v>0</v>
      </c>
      <c r="AC79" s="354">
        <v>0</v>
      </c>
      <c r="AD79" s="355">
        <f>+AB78-AB79</f>
        <v>720</v>
      </c>
      <c r="AE79" s="131">
        <f>+IF(((AA80+(AA81/2))*60)=0,"",(J79*AA79)/((AA80+(AA81/2))*60))</f>
        <v>0</v>
      </c>
      <c r="AF79" s="347">
        <f>+AA80+AA81/2</f>
        <v>49.5</v>
      </c>
      <c r="AG79" s="347">
        <f t="shared" si="2"/>
        <v>49.3</v>
      </c>
      <c r="AH79" s="341">
        <f t="shared" si="3"/>
        <v>2970</v>
      </c>
      <c r="AI79" s="341">
        <f>+AA79*J79</f>
        <v>0</v>
      </c>
      <c r="AJ79" s="356">
        <f>+AA79-(AF79*K79/K81)</f>
        <v>-69.069767441860463</v>
      </c>
      <c r="AK79" s="348"/>
      <c r="AL79" s="349"/>
      <c r="AM79" s="341"/>
      <c r="AN79" s="341"/>
      <c r="AO79" s="341"/>
      <c r="AP79" s="341"/>
      <c r="AQ79" s="339">
        <f>-300+AA78</f>
        <v>0</v>
      </c>
      <c r="AR79" s="434"/>
      <c r="AT79" s="390">
        <v>420</v>
      </c>
      <c r="AV79" s="390">
        <f t="shared" ref="AV79" si="80">+AT79-AD79</f>
        <v>-300</v>
      </c>
    </row>
    <row r="80" spans="2:48" s="98" customFormat="1" ht="58.5" customHeight="1" x14ac:dyDescent="0.9">
      <c r="B80" s="357">
        <f>+B79</f>
        <v>14</v>
      </c>
      <c r="C80" s="408"/>
      <c r="D80" s="184"/>
      <c r="E80" s="111">
        <f>+B79</f>
        <v>14</v>
      </c>
      <c r="F80" s="409"/>
      <c r="G80" s="541" t="str">
        <f t="shared" si="79"/>
        <v>2396-593-600</v>
      </c>
      <c r="H80" s="411" t="s">
        <v>413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48">
        <v>2</v>
      </c>
      <c r="N80" s="448">
        <v>5</v>
      </c>
      <c r="O80" s="448">
        <v>5</v>
      </c>
      <c r="P80" s="448">
        <v>5</v>
      </c>
      <c r="Q80" s="448">
        <v>5</v>
      </c>
      <c r="R80" s="448">
        <v>5</v>
      </c>
      <c r="S80" s="448">
        <v>5</v>
      </c>
      <c r="T80" s="448">
        <v>5</v>
      </c>
      <c r="U80" s="448">
        <v>5</v>
      </c>
      <c r="V80" s="448"/>
      <c r="W80" s="448"/>
      <c r="X80" s="160">
        <f>+IF(H80="l",IF(COUNTA(M79:W79)=AK81+0.25,AA79-K79*AK81,AA79-(K79*COUNTA(M79:W79))),IF(H80="s",0,IF(COUNTA(M79:W79)=AK81+0.25,SUMIF($C:$C,B79,$AA:$AA)-K79*AK81,SUMIF($C:$C,B79,$AA:$AA)-K79*COUNTA(M79:W79))))</f>
        <v>0</v>
      </c>
      <c r="Y80" s="466"/>
      <c r="Z80" s="534"/>
      <c r="AA80" s="462">
        <f t="shared" ref="AA80:AA81" si="81">+SUM(M80:W80)-U80*0.25</f>
        <v>40.75</v>
      </c>
      <c r="AB80" s="360"/>
      <c r="AC80" s="360"/>
      <c r="AD80" s="362"/>
      <c r="AE80" s="363"/>
      <c r="AF80" s="346"/>
      <c r="AG80" s="347">
        <f t="shared" si="2"/>
        <v>0</v>
      </c>
      <c r="AH80" s="341">
        <f t="shared" si="3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40.75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59" s="98" customFormat="1" ht="58.5" customHeight="1" thickBot="1" x14ac:dyDescent="0.95">
      <c r="B81" s="364">
        <f>+B79</f>
        <v>14</v>
      </c>
      <c r="C81" s="410"/>
      <c r="D81" s="174" t="s">
        <v>112</v>
      </c>
      <c r="E81" s="175">
        <f>+E80+100</f>
        <v>114</v>
      </c>
      <c r="F81" s="175"/>
      <c r="G81" s="542" t="str">
        <f t="shared" si="79"/>
        <v>2396-593-600</v>
      </c>
      <c r="H81" s="117"/>
      <c r="I81" s="442"/>
      <c r="J81" s="165">
        <f>+IF(K81="","",IF(K79=0,"",(K79*J79)/(K81*60)))</f>
        <v>0.90279069767441855</v>
      </c>
      <c r="K81" s="118">
        <v>43</v>
      </c>
      <c r="L81" s="104" t="s">
        <v>19</v>
      </c>
      <c r="M81" s="216">
        <v>2</v>
      </c>
      <c r="N81" s="216">
        <v>2</v>
      </c>
      <c r="O81" s="216">
        <v>2</v>
      </c>
      <c r="P81" s="216">
        <v>2</v>
      </c>
      <c r="Q81" s="216">
        <v>2</v>
      </c>
      <c r="R81" s="216">
        <v>2</v>
      </c>
      <c r="S81" s="216">
        <v>2</v>
      </c>
      <c r="T81" s="216">
        <v>2</v>
      </c>
      <c r="U81" s="216">
        <v>2</v>
      </c>
      <c r="V81" s="216"/>
      <c r="W81" s="216"/>
      <c r="X81" s="173"/>
      <c r="Y81" s="467" t="e">
        <v>#DIV/0!</v>
      </c>
      <c r="Z81" s="371" t="e">
        <f>+IF(COUNTA(M79:W79)=$AJ$4+0.25,$AJ$4-(AA79/K79),COUNTA(M79:W79)-(AA79/K79))+Y81</f>
        <v>#DIV/0!</v>
      </c>
      <c r="AA81" s="465">
        <f t="shared" si="81"/>
        <v>17.5</v>
      </c>
      <c r="AB81" s="367"/>
      <c r="AC81" s="367"/>
      <c r="AD81" s="368">
        <f>+IFERROR(AD79/(K79*$AQ$3),"")</f>
        <v>1.3714285714285714</v>
      </c>
      <c r="AE81" s="369"/>
      <c r="AF81" s="347"/>
      <c r="AG81" s="347">
        <f t="shared" si="2"/>
        <v>0</v>
      </c>
      <c r="AH81" s="341">
        <f t="shared" si="3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17.5</v>
      </c>
      <c r="AM81" s="341">
        <f>+AL81-AA81</f>
        <v>0</v>
      </c>
      <c r="AN81" s="341"/>
      <c r="AO81" s="341"/>
      <c r="AP81" s="341"/>
      <c r="AQ81" s="369"/>
      <c r="AR81" s="434"/>
      <c r="AT81" s="390">
        <v>0.78688524590163933</v>
      </c>
      <c r="AV81" s="390"/>
    </row>
    <row r="82" spans="2:59" s="98" customFormat="1" ht="62.25" customHeight="1" thickTop="1" x14ac:dyDescent="0.9">
      <c r="B82" s="342">
        <f>+B83</f>
        <v>15</v>
      </c>
      <c r="C82" s="405"/>
      <c r="D82" s="106"/>
      <c r="E82" s="106"/>
      <c r="F82" s="106"/>
      <c r="G82" s="539" t="s">
        <v>435</v>
      </c>
      <c r="H82" s="106"/>
      <c r="I82" s="106"/>
      <c r="J82" s="107" t="s">
        <v>20</v>
      </c>
      <c r="K82" s="108" t="s">
        <v>23</v>
      </c>
      <c r="L82" s="100" t="s">
        <v>21</v>
      </c>
      <c r="M82" s="448">
        <v>120</v>
      </c>
      <c r="N82" s="448">
        <v>120</v>
      </c>
      <c r="O82" s="448">
        <v>80</v>
      </c>
      <c r="P82" s="448">
        <v>40</v>
      </c>
      <c r="Q82" s="448">
        <v>17</v>
      </c>
      <c r="R82" s="448"/>
      <c r="S82" s="448"/>
      <c r="T82" s="448"/>
      <c r="U82" s="448"/>
      <c r="V82" s="448"/>
      <c r="W82" s="448"/>
      <c r="X82" s="447">
        <f t="shared" ref="X82" si="82">IF(AQ83="","",SUM(M82:W82)-(-(AQ83-SUM(M82:W82))/$AQ$3)*SUM($M$2:$W$2))</f>
        <v>377</v>
      </c>
      <c r="Y82" s="466">
        <v>-72.5</v>
      </c>
      <c r="Z82" s="533">
        <f>+X84</f>
        <v>-104.5</v>
      </c>
      <c r="AA82" s="447">
        <f t="shared" ref="AA82:AA103" si="83">+SUM(L82:W82)</f>
        <v>377</v>
      </c>
      <c r="AB82" s="343">
        <f>+AC82+AA82</f>
        <v>4409</v>
      </c>
      <c r="AC82" s="343">
        <v>4032</v>
      </c>
      <c r="AD82" s="344"/>
      <c r="AE82" s="345"/>
      <c r="AF82" s="346"/>
      <c r="AG82" s="347">
        <f t="shared" si="2"/>
        <v>0</v>
      </c>
      <c r="AH82" s="341">
        <f t="shared" si="3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59" s="98" customFormat="1" ht="62.25" customHeight="1" x14ac:dyDescent="1.35">
      <c r="B83" s="351">
        <v>15</v>
      </c>
      <c r="C83" s="406">
        <f>+B83</f>
        <v>15</v>
      </c>
      <c r="D83" s="407" t="s">
        <v>436</v>
      </c>
      <c r="E83" s="111"/>
      <c r="F83" s="111" t="s">
        <v>35</v>
      </c>
      <c r="G83" s="539" t="str">
        <f t="shared" ref="G83:G85" si="84">+G82</f>
        <v>2076-780-803</v>
      </c>
      <c r="H83" s="111"/>
      <c r="I83" s="111" t="s">
        <v>38</v>
      </c>
      <c r="J83" s="113">
        <v>38.729999999999997</v>
      </c>
      <c r="K83" s="130">
        <v>58</v>
      </c>
      <c r="L83" s="101" t="s">
        <v>17</v>
      </c>
      <c r="M83" s="214">
        <v>45</v>
      </c>
      <c r="N83" s="214">
        <v>40</v>
      </c>
      <c r="O83" s="214">
        <v>40</v>
      </c>
      <c r="P83" s="214">
        <v>40</v>
      </c>
      <c r="Q83" s="214">
        <v>50</v>
      </c>
      <c r="R83" s="214">
        <v>50</v>
      </c>
      <c r="S83" s="214">
        <v>50</v>
      </c>
      <c r="T83" s="214">
        <v>58</v>
      </c>
      <c r="U83" s="214">
        <v>30</v>
      </c>
      <c r="V83" s="214"/>
      <c r="W83" s="214"/>
      <c r="X83" s="123">
        <f>+IF(H84="s",0,IF(AA83=0,0,IF(COUNTA(M83:W83)=AK85+0.25,SUMIF($C:$C,B83,$AA:$AA)/AK85,SUMIF($C:$C,B83,$AA:$AA)/(COUNTA(M83:W83)))))</f>
        <v>46.057142857142857</v>
      </c>
      <c r="Y83" s="466"/>
      <c r="Z83" s="534"/>
      <c r="AA83" s="134">
        <f t="shared" si="83"/>
        <v>403</v>
      </c>
      <c r="AB83" s="354">
        <f>+AA83+AC83</f>
        <v>3880</v>
      </c>
      <c r="AC83" s="354">
        <v>3477</v>
      </c>
      <c r="AD83" s="355">
        <f>+AB82-AB83</f>
        <v>529</v>
      </c>
      <c r="AE83" s="131">
        <f>+IF(((AA84+(AA85/2))*60)=0,"",(J83*AA83)/((AA84+(AA85/2))*60))</f>
        <v>0.7163827882960413</v>
      </c>
      <c r="AF83" s="347">
        <f>+AA84+AA85/2</f>
        <v>363.125</v>
      </c>
      <c r="AG83" s="347">
        <f t="shared" si="2"/>
        <v>363.07499999999999</v>
      </c>
      <c r="AH83" s="341">
        <f t="shared" si="3"/>
        <v>21787.5</v>
      </c>
      <c r="AI83" s="341">
        <f>+AA83*J83</f>
        <v>15608.189999999999</v>
      </c>
      <c r="AJ83" s="356">
        <f>+AA83-(AF83*K83/K85)</f>
        <v>-98.458333333333314</v>
      </c>
      <c r="AK83" s="348"/>
      <c r="AL83" s="349"/>
      <c r="AM83" s="341"/>
      <c r="AN83" s="341"/>
      <c r="AO83" s="341"/>
      <c r="AP83" s="341"/>
      <c r="AQ83" s="339">
        <f>-375+AA82</f>
        <v>2</v>
      </c>
      <c r="AR83" s="434"/>
      <c r="AT83" s="390">
        <v>555</v>
      </c>
      <c r="AV83" s="390">
        <f t="shared" ref="AV83" si="85">+AT83-AD83</f>
        <v>26</v>
      </c>
      <c r="AW83" s="535"/>
      <c r="AX83" s="535"/>
      <c r="AY83" s="535"/>
      <c r="AZ83" s="535"/>
      <c r="BA83" s="535"/>
      <c r="BB83" s="535"/>
      <c r="BC83" s="535"/>
      <c r="BD83" s="535"/>
      <c r="BE83" s="535"/>
      <c r="BF83" s="535"/>
    </row>
    <row r="84" spans="2:59" s="98" customFormat="1" ht="62.25" customHeight="1" x14ac:dyDescent="0.9">
      <c r="B84" s="357">
        <f>+B83</f>
        <v>15</v>
      </c>
      <c r="C84" s="408"/>
      <c r="D84" s="184"/>
      <c r="E84" s="111">
        <f>+B83</f>
        <v>15</v>
      </c>
      <c r="F84" s="412"/>
      <c r="G84" s="539" t="str">
        <f t="shared" si="84"/>
        <v>2076-780-803</v>
      </c>
      <c r="H84" s="411" t="s">
        <v>412</v>
      </c>
      <c r="I84" s="113">
        <f>+IFERROR(IF(K85=0,0,IF((LOOKUP(2,1/(M84:W84&lt;&gt;""),M84:W84)-K85)&lt;0,0,IF(K85=0,"",LOOKUP(2,1/(M84:W84&lt;&gt;""),M84:W84)-K85))),0)</f>
        <v>0</v>
      </c>
      <c r="J84" s="113">
        <v>1</v>
      </c>
      <c r="K84" s="114" t="s">
        <v>22</v>
      </c>
      <c r="L84" s="102" t="s">
        <v>18</v>
      </c>
      <c r="M84" s="448">
        <v>41</v>
      </c>
      <c r="N84" s="448">
        <v>41</v>
      </c>
      <c r="O84" s="448">
        <v>41</v>
      </c>
      <c r="P84" s="448">
        <v>41</v>
      </c>
      <c r="Q84" s="448">
        <v>41</v>
      </c>
      <c r="R84" s="448">
        <v>41</v>
      </c>
      <c r="S84" s="448">
        <v>41</v>
      </c>
      <c r="T84" s="448">
        <v>41</v>
      </c>
      <c r="U84" s="448">
        <v>41</v>
      </c>
      <c r="V84" s="448"/>
      <c r="W84" s="448"/>
      <c r="X84" s="160">
        <f>+IF(H84="l",IF(COUNTA(M83:W83)=AK85+0.25,AA83-K83*AK85,AA83-(K83*COUNTA(M83:W83))),IF(H84="s",0,IF(COUNTA(M83:W83)=AK85+0.25,SUMIF($C:$C,B83,$AA:$AA)-K83*AK85,SUMIF($C:$C,B83,$AA:$AA)-K83*COUNTA(M83:W83))))</f>
        <v>-104.5</v>
      </c>
      <c r="Y84" s="466"/>
      <c r="Z84" s="534"/>
      <c r="AA84" s="462">
        <f t="shared" ref="AA84:AA85" si="86">+SUM(M84:W84)-U84*0.25</f>
        <v>358.75</v>
      </c>
      <c r="AB84" s="360"/>
      <c r="AC84" s="360"/>
      <c r="AD84" s="362"/>
      <c r="AE84" s="363"/>
      <c r="AF84" s="346"/>
      <c r="AG84" s="347">
        <f t="shared" si="2"/>
        <v>0</v>
      </c>
      <c r="AH84" s="341">
        <f t="shared" si="3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358.75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59" s="98" customFormat="1" ht="62.25" customHeight="1" thickBot="1" x14ac:dyDescent="0.95">
      <c r="B85" s="364">
        <f>+B83</f>
        <v>15</v>
      </c>
      <c r="C85" s="410"/>
      <c r="D85" s="174" t="s">
        <v>93</v>
      </c>
      <c r="E85" s="175">
        <f>+E84+100</f>
        <v>115</v>
      </c>
      <c r="F85" s="175"/>
      <c r="G85" s="539" t="str">
        <f t="shared" si="84"/>
        <v>2076-780-803</v>
      </c>
      <c r="H85" s="117"/>
      <c r="I85" s="442"/>
      <c r="J85" s="165">
        <f>+IF(K85="","",IF(K83=0,"",(K83*J83)/(K85*60)))</f>
        <v>0.89140476190476181</v>
      </c>
      <c r="K85" s="118">
        <v>42</v>
      </c>
      <c r="L85" s="104" t="s">
        <v>19</v>
      </c>
      <c r="M85" s="216">
        <v>1</v>
      </c>
      <c r="N85" s="216">
        <v>1</v>
      </c>
      <c r="O85" s="216">
        <v>1</v>
      </c>
      <c r="P85" s="216">
        <v>1</v>
      </c>
      <c r="Q85" s="216">
        <v>1</v>
      </c>
      <c r="R85" s="216">
        <v>1</v>
      </c>
      <c r="S85" s="216">
        <v>1</v>
      </c>
      <c r="T85" s="216">
        <v>1</v>
      </c>
      <c r="U85" s="216">
        <v>1</v>
      </c>
      <c r="V85" s="216"/>
      <c r="W85" s="216"/>
      <c r="X85" s="173"/>
      <c r="Y85" s="467">
        <v>15.46</v>
      </c>
      <c r="Z85" s="365">
        <v>15.46</v>
      </c>
      <c r="AA85" s="465">
        <f t="shared" si="86"/>
        <v>8.75</v>
      </c>
      <c r="AB85" s="367"/>
      <c r="AC85" s="367"/>
      <c r="AD85" s="368">
        <f>+IFERROR(AD83/(K83*$AQ$3),"")</f>
        <v>1.0423645320197044</v>
      </c>
      <c r="AE85" s="369"/>
      <c r="AF85" s="347"/>
      <c r="AG85" s="347">
        <f t="shared" si="2"/>
        <v>0</v>
      </c>
      <c r="AH85" s="341">
        <f t="shared" si="3"/>
        <v>0</v>
      </c>
      <c r="AI85" s="341"/>
      <c r="AJ85" s="356"/>
      <c r="AK85" s="370">
        <f>+$AJ$4</f>
        <v>8.75</v>
      </c>
      <c r="AL85" s="349">
        <f>+IF(AK85=7.75,SUM(M85:S85)+T85*0.75,IF(AK85=8,SUM(M85:T85),IF(AK85=7.25,SUM(M85:S85)+T85*0.25,IF(AK85=8.25,SUM(M85:T85)+U85*0.25,IF(AK85=8.75,SUM(M85:T85)+U85*0.75,0)))))</f>
        <v>8.75</v>
      </c>
      <c r="AM85" s="341">
        <f>+AL85-AA85</f>
        <v>0</v>
      </c>
      <c r="AN85" s="341"/>
      <c r="AO85" s="341"/>
      <c r="AP85" s="341"/>
      <c r="AQ85" s="369"/>
      <c r="AR85" s="434"/>
      <c r="AT85" s="390">
        <v>1.0935960591133005</v>
      </c>
      <c r="AV85" s="390"/>
    </row>
    <row r="86" spans="2:59" s="98" customFormat="1" ht="62.25" customHeight="1" thickTop="1" x14ac:dyDescent="0.9">
      <c r="B86" s="373">
        <f>+B87</f>
        <v>16</v>
      </c>
      <c r="C86" s="405"/>
      <c r="D86" s="106"/>
      <c r="E86" s="106"/>
      <c r="F86" s="106"/>
      <c r="G86" s="540" t="s">
        <v>432</v>
      </c>
      <c r="H86" s="106"/>
      <c r="I86" s="106"/>
      <c r="J86" s="107" t="s">
        <v>20</v>
      </c>
      <c r="K86" s="108" t="s">
        <v>23</v>
      </c>
      <c r="L86" s="100" t="s">
        <v>21</v>
      </c>
      <c r="M86" s="448"/>
      <c r="N86" s="448"/>
      <c r="O86" s="448"/>
      <c r="P86" s="448"/>
      <c r="Q86" s="448"/>
      <c r="R86" s="448"/>
      <c r="S86" s="448"/>
      <c r="T86" s="448"/>
      <c r="U86" s="448"/>
      <c r="V86" s="448"/>
      <c r="W86" s="448"/>
      <c r="X86" s="447" t="str">
        <f t="shared" ref="X86" si="87">IF(AQ87="","",SUM(M86:W86)-(-(AQ87-SUM(M86:W86))/$AQ$3)*SUM($M$2:$W$2))</f>
        <v/>
      </c>
      <c r="Y86" s="466">
        <v>0</v>
      </c>
      <c r="Z86" s="533">
        <f>+X88</f>
        <v>0</v>
      </c>
      <c r="AA86" s="447">
        <f t="shared" si="83"/>
        <v>0</v>
      </c>
      <c r="AB86" s="343">
        <f>+AC86+AA86</f>
        <v>3661</v>
      </c>
      <c r="AC86" s="343">
        <v>3661</v>
      </c>
      <c r="AD86" s="344"/>
      <c r="AE86" s="345"/>
      <c r="AF86" s="346"/>
      <c r="AG86" s="347">
        <f t="shared" si="2"/>
        <v>0</v>
      </c>
      <c r="AH86" s="341">
        <f t="shared" si="3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59" s="98" customFormat="1" ht="62.25" customHeight="1" x14ac:dyDescent="0.9">
      <c r="B87" s="374">
        <v>16</v>
      </c>
      <c r="C87" s="406">
        <f>+B87</f>
        <v>16</v>
      </c>
      <c r="D87" s="407" t="s">
        <v>431</v>
      </c>
      <c r="E87" s="111"/>
      <c r="F87" s="111" t="s">
        <v>35</v>
      </c>
      <c r="G87" s="541" t="str">
        <f t="shared" ref="G87:G89" si="88">+G86</f>
        <v>2158-755-712</v>
      </c>
      <c r="H87" s="111"/>
      <c r="I87" s="111" t="s">
        <v>33</v>
      </c>
      <c r="J87" s="113">
        <v>51.42</v>
      </c>
      <c r="K87" s="130">
        <v>52</v>
      </c>
      <c r="L87" s="101" t="s">
        <v>17</v>
      </c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123">
        <f>+IF(H88="s",0,IF(AA87=0,0,IF(COUNTA(M87:W87)=AK89+0.25,SUMIF($C:$C,B87,$AA:$AA)/AK89,SUMIF($C:$C,B87,$AA:$AA)/(COUNTA(M87:W87)))))</f>
        <v>0</v>
      </c>
      <c r="Y87" s="466"/>
      <c r="Z87" s="534"/>
      <c r="AA87" s="134">
        <f t="shared" si="83"/>
        <v>0</v>
      </c>
      <c r="AB87" s="354">
        <f>+AA87+AC87</f>
        <v>3659</v>
      </c>
      <c r="AC87" s="354">
        <v>3659</v>
      </c>
      <c r="AD87" s="355">
        <f>+AB86-AB87</f>
        <v>2</v>
      </c>
      <c r="AE87" s="131" t="str">
        <f>+IF(((AA88+(AA89/2))*60)=0,"",(J87*AA87)/((AA88+(AA89/2))*60))</f>
        <v/>
      </c>
      <c r="AF87" s="347">
        <f>+AA88+AA89/2</f>
        <v>0</v>
      </c>
      <c r="AG87" s="347">
        <f t="shared" si="2"/>
        <v>0</v>
      </c>
      <c r="AH87" s="341">
        <f t="shared" si="3"/>
        <v>0</v>
      </c>
      <c r="AI87" s="341">
        <f>+AA87*J87</f>
        <v>0</v>
      </c>
      <c r="AJ87" s="356">
        <f>+AA87-(AF87*K87/K89)</f>
        <v>0</v>
      </c>
      <c r="AK87" s="348"/>
      <c r="AL87" s="349"/>
      <c r="AM87" s="341"/>
      <c r="AN87" s="341"/>
      <c r="AO87" s="341"/>
      <c r="AP87" s="341"/>
      <c r="AQ87" s="339" t="str">
        <f t="shared" ref="AQ87" si="89">IF(AR87=0,"",AT87-(($AQ$3*K87)+($AQ$3*K87)*AR87)+AA86)</f>
        <v/>
      </c>
      <c r="AR87" s="434"/>
      <c r="AT87" s="390">
        <v>2</v>
      </c>
      <c r="AV87" s="390">
        <f t="shared" ref="AV87" si="90">+AT87-AD87</f>
        <v>0</v>
      </c>
      <c r="AW87" s="536"/>
      <c r="AX87" s="536"/>
      <c r="AY87" s="536"/>
      <c r="AZ87" s="536"/>
      <c r="BA87" s="536"/>
      <c r="BB87" s="536"/>
      <c r="BC87" s="536"/>
      <c r="BD87" s="536"/>
      <c r="BE87" s="536"/>
      <c r="BF87" s="536"/>
      <c r="BG87" s="536"/>
    </row>
    <row r="88" spans="2:59" s="98" customFormat="1" ht="62.25" customHeight="1" x14ac:dyDescent="0.9">
      <c r="B88" s="357">
        <f>+B87</f>
        <v>16</v>
      </c>
      <c r="C88" s="408"/>
      <c r="D88" s="184"/>
      <c r="E88" s="111">
        <f>+B87</f>
        <v>16</v>
      </c>
      <c r="F88" s="409"/>
      <c r="G88" s="541" t="str">
        <f t="shared" si="88"/>
        <v>2158-755-712</v>
      </c>
      <c r="H88" s="411" t="s">
        <v>414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48"/>
      <c r="N88" s="448"/>
      <c r="O88" s="448"/>
      <c r="P88" s="448"/>
      <c r="Q88" s="448"/>
      <c r="R88" s="448"/>
      <c r="S88" s="448"/>
      <c r="T88" s="448"/>
      <c r="U88" s="448"/>
      <c r="V88" s="448"/>
      <c r="W88" s="448"/>
      <c r="X88" s="160">
        <f>+IF(H88="l",IF(COUNTA(M87:W87)=AK89+0.25,AA87-K87*AK89,AA87-(K87*COUNTA(M87:W87))),IF(H88="s",0,IF(COUNTA(M87:W87)=AK89+0.25,SUMIF($C:$C,B87,$AA:$AA)-K87*AK89,SUMIF($C:$C,B87,$AA:$AA)-K87*COUNTA(M87:W87))))</f>
        <v>0</v>
      </c>
      <c r="Y88" s="466"/>
      <c r="Z88" s="534"/>
      <c r="AA88" s="462">
        <f t="shared" ref="AA88:AA89" si="91">+SUM(M88:W88)-U88*0.25</f>
        <v>0</v>
      </c>
      <c r="AB88" s="360"/>
      <c r="AC88" s="360"/>
      <c r="AD88" s="362"/>
      <c r="AE88" s="363"/>
      <c r="AF88" s="346"/>
      <c r="AG88" s="347">
        <f t="shared" si="2"/>
        <v>0</v>
      </c>
      <c r="AH88" s="341">
        <f t="shared" si="3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0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59" s="98" customFormat="1" ht="62.25" customHeight="1" thickBot="1" x14ac:dyDescent="0.95">
      <c r="B89" s="375">
        <f>+B87</f>
        <v>16</v>
      </c>
      <c r="C89" s="410"/>
      <c r="D89" s="413" t="s">
        <v>152</v>
      </c>
      <c r="E89" s="175">
        <f>+E88+100</f>
        <v>116</v>
      </c>
      <c r="F89" s="175"/>
      <c r="G89" s="542" t="str">
        <f t="shared" si="88"/>
        <v>2158-755-712</v>
      </c>
      <c r="H89" s="117"/>
      <c r="I89" s="442"/>
      <c r="J89" s="165">
        <f>+IF(K89="","",IF(K87=0,"",(K87*J87)/(K89*60)))</f>
        <v>0.87380392156862752</v>
      </c>
      <c r="K89" s="118">
        <v>51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18.93</v>
      </c>
      <c r="Z89" s="365">
        <v>18.93</v>
      </c>
      <c r="AA89" s="465">
        <f t="shared" si="91"/>
        <v>0</v>
      </c>
      <c r="AB89" s="367"/>
      <c r="AC89" s="367"/>
      <c r="AD89" s="368">
        <f>+IFERROR(AD87/(K87*$AQ$3),"")</f>
        <v>4.3956043956043956E-3</v>
      </c>
      <c r="AE89" s="369"/>
      <c r="AF89" s="347"/>
      <c r="AG89" s="347">
        <f t="shared" si="2"/>
        <v>0</v>
      </c>
      <c r="AH89" s="341">
        <f t="shared" si="3"/>
        <v>0</v>
      </c>
      <c r="AI89" s="341"/>
      <c r="AJ89" s="356"/>
      <c r="AK89" s="370">
        <f>+$AJ$4</f>
        <v>8.75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4.3956043956043956E-3</v>
      </c>
      <c r="AV89" s="390"/>
    </row>
    <row r="90" spans="2:59" s="98" customFormat="1" ht="62.25" customHeight="1" thickTop="1" x14ac:dyDescent="0.9">
      <c r="B90" s="373">
        <f>+B91</f>
        <v>16</v>
      </c>
      <c r="C90" s="405"/>
      <c r="D90" s="106"/>
      <c r="E90" s="106"/>
      <c r="F90" s="106"/>
      <c r="G90" s="539" t="s">
        <v>476</v>
      </c>
      <c r="H90" s="106"/>
      <c r="I90" s="106"/>
      <c r="J90" s="107" t="s">
        <v>20</v>
      </c>
      <c r="K90" s="108" t="s">
        <v>23</v>
      </c>
      <c r="L90" s="100" t="s">
        <v>21</v>
      </c>
      <c r="M90" s="448">
        <v>60</v>
      </c>
      <c r="N90" s="448"/>
      <c r="O90" s="448"/>
      <c r="P90" s="448">
        <v>120</v>
      </c>
      <c r="Q90" s="448">
        <v>60</v>
      </c>
      <c r="R90" s="448">
        <v>60</v>
      </c>
      <c r="S90" s="448"/>
      <c r="T90" s="448"/>
      <c r="U90" s="448"/>
      <c r="V90" s="448"/>
      <c r="W90" s="448"/>
      <c r="X90" s="447">
        <f t="shared" ref="X90" si="92">IF(AQ91="","",SUM(M90:W90)-(-(AQ91-SUM(M90:W90))/$AQ$3)*SUM($M$2:$W$2))</f>
        <v>300</v>
      </c>
      <c r="Y90" s="466">
        <v>-1100</v>
      </c>
      <c r="Z90" s="533">
        <f>+X92</f>
        <v>-966</v>
      </c>
      <c r="AA90" s="447">
        <f t="shared" si="83"/>
        <v>300</v>
      </c>
      <c r="AB90" s="343">
        <f>+AC90+AA90</f>
        <v>1680</v>
      </c>
      <c r="AC90" s="343">
        <v>1380</v>
      </c>
      <c r="AD90" s="344"/>
      <c r="AE90" s="345"/>
      <c r="AF90" s="346"/>
      <c r="AG90" s="347">
        <f t="shared" si="2"/>
        <v>0</v>
      </c>
      <c r="AH90" s="341">
        <f t="shared" si="3"/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59" s="98" customFormat="1" ht="62.25" customHeight="1" x14ac:dyDescent="0.9">
      <c r="B91" s="374">
        <v>16</v>
      </c>
      <c r="C91" s="406">
        <f>+B91</f>
        <v>16</v>
      </c>
      <c r="D91" s="407" t="s">
        <v>474</v>
      </c>
      <c r="E91" s="111"/>
      <c r="F91" s="111" t="s">
        <v>475</v>
      </c>
      <c r="G91" s="539" t="str">
        <f t="shared" ref="G91:G93" si="93">+G90</f>
        <v>Cheristina-blanc</v>
      </c>
      <c r="H91" s="111"/>
      <c r="I91" s="111" t="s">
        <v>477</v>
      </c>
      <c r="J91" s="113">
        <v>21.04</v>
      </c>
      <c r="K91" s="130">
        <v>140</v>
      </c>
      <c r="L91" s="101" t="s">
        <v>17</v>
      </c>
      <c r="M91" s="214">
        <v>30</v>
      </c>
      <c r="N91" s="214">
        <v>30</v>
      </c>
      <c r="O91" s="214">
        <v>24</v>
      </c>
      <c r="P91" s="214">
        <v>21</v>
      </c>
      <c r="Q91" s="214">
        <v>46</v>
      </c>
      <c r="R91" s="214">
        <v>26</v>
      </c>
      <c r="S91" s="214">
        <v>35</v>
      </c>
      <c r="T91" s="214">
        <v>35</v>
      </c>
      <c r="U91" s="214">
        <v>12</v>
      </c>
      <c r="V91" s="214"/>
      <c r="W91" s="214"/>
      <c r="X91" s="123">
        <f>+IF(H92="s",0,IF(AA91=0,0,IF(COUNTA(M91:W91)=AK93+0.25,SUMIF($C:$C,B91,$AA:$AA)/AK93,SUMIF($C:$C,B91,$AA:$AA)/(COUNTA(M91:W91)))))</f>
        <v>29.6</v>
      </c>
      <c r="Y91" s="466"/>
      <c r="Z91" s="534"/>
      <c r="AA91" s="134">
        <f t="shared" si="83"/>
        <v>259</v>
      </c>
      <c r="AB91" s="354">
        <f>+AA91+AC91</f>
        <v>384</v>
      </c>
      <c r="AC91" s="354">
        <v>125</v>
      </c>
      <c r="AD91" s="355">
        <f>+AB90-AB91</f>
        <v>1296</v>
      </c>
      <c r="AE91" s="131">
        <f>+IF(((AA92+(AA93/2))*60)=0,"",(J91*AA91)/((AA92+(AA93/2))*60))</f>
        <v>0.20759466666666665</v>
      </c>
      <c r="AF91" s="347">
        <f>+AA92+AA93/2</f>
        <v>437.5</v>
      </c>
      <c r="AG91" s="347">
        <f t="shared" si="2"/>
        <v>437.3</v>
      </c>
      <c r="AH91" s="341">
        <f t="shared" si="3"/>
        <v>26250</v>
      </c>
      <c r="AI91" s="341">
        <f>+AA91*J91</f>
        <v>5449.36</v>
      </c>
      <c r="AJ91" s="356">
        <f>+AA91-(AF91*K91/K93)</f>
        <v>-834.75</v>
      </c>
      <c r="AK91" s="348"/>
      <c r="AL91" s="349"/>
      <c r="AM91" s="341"/>
      <c r="AN91" s="341"/>
      <c r="AO91" s="341"/>
      <c r="AP91" s="341"/>
      <c r="AQ91" s="339">
        <f>-300+AA90</f>
        <v>0</v>
      </c>
      <c r="AR91" s="434">
        <v>1.5</v>
      </c>
      <c r="AT91" s="390">
        <v>1255</v>
      </c>
      <c r="AV91" s="390">
        <f t="shared" ref="AV91" si="94">+AT91-AD91</f>
        <v>-41</v>
      </c>
      <c r="AW91" s="536"/>
      <c r="AX91" s="536"/>
      <c r="AY91" s="536"/>
      <c r="AZ91" s="536"/>
      <c r="BA91" s="536"/>
      <c r="BB91" s="536"/>
      <c r="BC91" s="536"/>
      <c r="BD91" s="536"/>
      <c r="BE91" s="536"/>
      <c r="BF91" s="536"/>
      <c r="BG91" s="536"/>
    </row>
    <row r="92" spans="2:59" s="98" customFormat="1" ht="62.25" customHeight="1" x14ac:dyDescent="0.9">
      <c r="B92" s="357">
        <f>+B91</f>
        <v>16</v>
      </c>
      <c r="C92" s="408"/>
      <c r="D92" s="184"/>
      <c r="E92" s="111">
        <f>+B91</f>
        <v>16</v>
      </c>
      <c r="F92" s="409"/>
      <c r="G92" s="539" t="str">
        <f t="shared" si="93"/>
        <v>Cheristina-blanc</v>
      </c>
      <c r="H92" s="411" t="s">
        <v>413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48">
        <v>50</v>
      </c>
      <c r="N92" s="448">
        <v>50</v>
      </c>
      <c r="O92" s="448">
        <v>50</v>
      </c>
      <c r="P92" s="448">
        <v>50</v>
      </c>
      <c r="Q92" s="448">
        <v>50</v>
      </c>
      <c r="R92" s="448">
        <v>50</v>
      </c>
      <c r="S92" s="448">
        <v>50</v>
      </c>
      <c r="T92" s="448">
        <v>50</v>
      </c>
      <c r="U92" s="448">
        <v>50</v>
      </c>
      <c r="V92" s="448"/>
      <c r="W92" s="448"/>
      <c r="X92" s="160">
        <f>+IF(H92="l",IF(COUNTA(M91:W91)=AK93+0.25,AA91-K91*AK93,AA91-(K91*COUNTA(M91:W91))),IF(H92="s",0,IF(COUNTA(M91:W91)=AK93+0.25,SUMIF($C:$C,B91,$AA:$AA)-K91*AK93,SUMIF($C:$C,B91,$AA:$AA)-K91*COUNTA(M91:W91))))</f>
        <v>-966</v>
      </c>
      <c r="Y92" s="466"/>
      <c r="Z92" s="534"/>
      <c r="AA92" s="462">
        <f t="shared" ref="AA92:AA93" si="95">+SUM(M92:W92)-U92*0.25</f>
        <v>437.5</v>
      </c>
      <c r="AB92" s="360"/>
      <c r="AC92" s="360"/>
      <c r="AD92" s="362"/>
      <c r="AE92" s="363"/>
      <c r="AF92" s="346"/>
      <c r="AG92" s="347">
        <f t="shared" si="2"/>
        <v>0</v>
      </c>
      <c r="AH92" s="341">
        <f t="shared" si="3"/>
        <v>0</v>
      </c>
      <c r="AI92" s="341"/>
      <c r="AJ92" s="341"/>
      <c r="AK92" s="348"/>
      <c r="AL92" s="349">
        <f>+IF(AK93=7.75,SUM(M92:S92)+T92*0.75,IF(AK93=8,SUM(M92:T92),IF(AK93=7.25,SUM(M92:S92)+T92*0.25,IF(AK93=8.25,SUM(M92:T92)+U92*0.25,IF(AK93=8.75,SUM(M92:T92)+U92*0.75,0)))))</f>
        <v>437.5</v>
      </c>
      <c r="AM92" s="341">
        <f>+AL92-AA92</f>
        <v>0</v>
      </c>
      <c r="AN92" s="341"/>
      <c r="AO92" s="341"/>
      <c r="AP92" s="341"/>
      <c r="AQ92" s="438"/>
      <c r="AR92" s="434"/>
      <c r="AT92" s="390"/>
      <c r="AV92" s="390"/>
    </row>
    <row r="93" spans="2:59" s="98" customFormat="1" ht="62.25" customHeight="1" thickBot="1" x14ac:dyDescent="0.95">
      <c r="B93" s="375">
        <f>+B91</f>
        <v>16</v>
      </c>
      <c r="C93" s="410"/>
      <c r="D93" s="413" t="s">
        <v>152</v>
      </c>
      <c r="E93" s="175">
        <f>+E92+100</f>
        <v>116</v>
      </c>
      <c r="F93" s="175"/>
      <c r="G93" s="539" t="str">
        <f t="shared" si="93"/>
        <v>Cheristina-blanc</v>
      </c>
      <c r="H93" s="117"/>
      <c r="I93" s="442"/>
      <c r="J93" s="165">
        <f>+IF(K93="","",IF(K91=0,"",(K91*J91)/(K93*60)))</f>
        <v>0.87666666666666659</v>
      </c>
      <c r="K93" s="118">
        <v>56</v>
      </c>
      <c r="L93" s="104" t="s">
        <v>19</v>
      </c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173"/>
      <c r="Y93" s="467">
        <v>15.607142857142858</v>
      </c>
      <c r="Z93" s="371">
        <f>+IF(COUNTA(M91:W91)=$AJ$4+0.25,$AJ$4-(AA91/K91),COUNTA(M91:W91)-(AA91/K91))+Y93</f>
        <v>22.50714285714286</v>
      </c>
      <c r="AA93" s="465">
        <f t="shared" si="95"/>
        <v>0</v>
      </c>
      <c r="AB93" s="367"/>
      <c r="AC93" s="367"/>
      <c r="AD93" s="368">
        <f>+IFERROR(AD91/(K91*$AQ$3),"")</f>
        <v>1.0579591836734694</v>
      </c>
      <c r="AE93" s="369"/>
      <c r="AF93" s="347"/>
      <c r="AG93" s="347">
        <f t="shared" si="2"/>
        <v>0</v>
      </c>
      <c r="AH93" s="341">
        <f t="shared" si="3"/>
        <v>0</v>
      </c>
      <c r="AI93" s="341"/>
      <c r="AJ93" s="356"/>
      <c r="AK93" s="370">
        <f>+$AJ$4</f>
        <v>8.75</v>
      </c>
      <c r="AL93" s="349">
        <f>+IF(AK93=7.75,SUM(M93:S93)+T93*0.75,IF(AK93=8,SUM(M93:T93),IF(AK93=7.25,SUM(M93:S93)+T93*0.25,IF(AK93=8.25,SUM(M93:T93)+U93*0.25,IF(AK93=8.75,SUM(M93:T93)+U93*0.75,0)))))</f>
        <v>0</v>
      </c>
      <c r="AM93" s="341">
        <f>+AL93-AA93</f>
        <v>0</v>
      </c>
      <c r="AN93" s="341"/>
      <c r="AO93" s="341"/>
      <c r="AP93" s="341"/>
      <c r="AQ93" s="369"/>
      <c r="AR93" s="434"/>
      <c r="AT93" s="390">
        <v>1.0244897959183674</v>
      </c>
      <c r="AV93" s="390"/>
    </row>
    <row r="94" spans="2:59" s="98" customFormat="1" ht="62.25" customHeight="1" thickTop="1" x14ac:dyDescent="0.9">
      <c r="B94" s="342">
        <f>+B95</f>
        <v>17</v>
      </c>
      <c r="C94" s="405"/>
      <c r="D94" s="106"/>
      <c r="E94" s="106"/>
      <c r="F94" s="106"/>
      <c r="G94" s="540" t="s">
        <v>424</v>
      </c>
      <c r="H94" s="106"/>
      <c r="I94" s="111"/>
      <c r="J94" s="107" t="s">
        <v>20</v>
      </c>
      <c r="K94" s="108" t="s">
        <v>23</v>
      </c>
      <c r="L94" s="100" t="s">
        <v>21</v>
      </c>
      <c r="M94" s="448"/>
      <c r="N94" s="448"/>
      <c r="O94" s="448"/>
      <c r="P94" s="448"/>
      <c r="Q94" s="448"/>
      <c r="R94" s="448"/>
      <c r="S94" s="448"/>
      <c r="T94" s="448"/>
      <c r="U94" s="448"/>
      <c r="V94" s="448"/>
      <c r="W94" s="448"/>
      <c r="X94" s="447" t="str">
        <f t="shared" ref="X94" si="96">IF(AQ95="","",SUM(M94:W94)-(-(AQ95-SUM(M94:W94))/$AQ$3)*SUM($M$2:$W$2))</f>
        <v/>
      </c>
      <c r="Y94" s="466">
        <v>0</v>
      </c>
      <c r="Z94" s="533">
        <f>+X96</f>
        <v>0</v>
      </c>
      <c r="AA94" s="447">
        <f t="shared" si="83"/>
        <v>0</v>
      </c>
      <c r="AB94" s="343">
        <f>+AC94+AA94</f>
        <v>8553</v>
      </c>
      <c r="AC94" s="343">
        <v>8553</v>
      </c>
      <c r="AD94" s="344"/>
      <c r="AE94" s="345"/>
      <c r="AF94" s="346"/>
      <c r="AG94" s="347">
        <f t="shared" si="2"/>
        <v>0</v>
      </c>
      <c r="AH94" s="341">
        <f t="shared" si="3"/>
        <v>0</v>
      </c>
      <c r="AI94" s="341"/>
      <c r="AJ94" s="341"/>
      <c r="AK94" s="348"/>
      <c r="AL94" s="349"/>
      <c r="AM94" s="341"/>
      <c r="AN94" s="341"/>
      <c r="AO94" s="341"/>
      <c r="AP94" s="341"/>
      <c r="AQ94" s="350"/>
      <c r="AR94" s="434"/>
      <c r="AT94" s="390"/>
      <c r="AV94" s="390"/>
    </row>
    <row r="95" spans="2:59" s="98" customFormat="1" ht="62.25" customHeight="1" x14ac:dyDescent="0.9">
      <c r="B95" s="351">
        <v>17</v>
      </c>
      <c r="C95" s="406">
        <f>+B95</f>
        <v>17</v>
      </c>
      <c r="D95" s="407" t="s">
        <v>423</v>
      </c>
      <c r="E95" s="111"/>
      <c r="F95" s="111" t="s">
        <v>35</v>
      </c>
      <c r="G95" s="541" t="str">
        <f t="shared" ref="G95:G97" si="97">+G94</f>
        <v>2215-518-800</v>
      </c>
      <c r="H95" s="111"/>
      <c r="I95" s="111" t="s">
        <v>33</v>
      </c>
      <c r="J95" s="113">
        <v>33.42</v>
      </c>
      <c r="K95" s="130">
        <v>60</v>
      </c>
      <c r="L95" s="101" t="s">
        <v>17</v>
      </c>
      <c r="M95" s="214">
        <v>3</v>
      </c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123">
        <f>+IF(H96="s",0,IF(AA95=0,0,IF(COUNTA(M95:W95)=AK97+0.25,SUMIF($C:$C,B95,$AA:$AA)/AK97,SUMIF($C:$C,B95,$AA:$AA)/(COUNTA(M95:W95)))))</f>
        <v>0</v>
      </c>
      <c r="Y95" s="466"/>
      <c r="Z95" s="534"/>
      <c r="AA95" s="134">
        <f t="shared" si="83"/>
        <v>3</v>
      </c>
      <c r="AB95" s="354">
        <f>+AA95+AC95</f>
        <v>8553</v>
      </c>
      <c r="AC95" s="354">
        <v>8550</v>
      </c>
      <c r="AD95" s="355">
        <f>+AB94-AB95</f>
        <v>0</v>
      </c>
      <c r="AE95" s="131">
        <f>+IF(((AA96+(AA97/2))*60)=0,"",(J95*AA95)/((AA96+(AA97/2))*60))</f>
        <v>1.671</v>
      </c>
      <c r="AF95" s="347">
        <f>+AA96+AA97/2</f>
        <v>1</v>
      </c>
      <c r="AG95" s="347">
        <f t="shared" si="2"/>
        <v>1</v>
      </c>
      <c r="AH95" s="341">
        <f t="shared" si="3"/>
        <v>60</v>
      </c>
      <c r="AI95" s="341">
        <f>+AA95*J95</f>
        <v>100.26</v>
      </c>
      <c r="AJ95" s="356">
        <f>+AA95-(AF95*K95/K97)</f>
        <v>1.4210526315789473</v>
      </c>
      <c r="AK95" s="348"/>
      <c r="AL95" s="349"/>
      <c r="AM95" s="341"/>
      <c r="AN95" s="341"/>
      <c r="AO95" s="341"/>
      <c r="AP95" s="341"/>
      <c r="AQ95" s="339"/>
      <c r="AR95" s="434">
        <v>1.5</v>
      </c>
      <c r="AT95" s="390">
        <v>3</v>
      </c>
      <c r="AV95" s="390">
        <f t="shared" ref="AV95" si="98">+AT95-AD95</f>
        <v>3</v>
      </c>
    </row>
    <row r="96" spans="2:59" s="98" customFormat="1" ht="62.25" customHeight="1" x14ac:dyDescent="0.9">
      <c r="B96" s="357">
        <f>+B95</f>
        <v>17</v>
      </c>
      <c r="C96" s="408"/>
      <c r="D96" s="184"/>
      <c r="E96" s="111">
        <f>+B95</f>
        <v>17</v>
      </c>
      <c r="F96" s="409"/>
      <c r="G96" s="541" t="str">
        <f t="shared" si="97"/>
        <v>2215-518-800</v>
      </c>
      <c r="H96" s="411" t="s">
        <v>414</v>
      </c>
      <c r="I96" s="113">
        <f>+IFERROR(IF(K97=0,0,IF((LOOKUP(2,1/(M96:W96&lt;&gt;""),M96:W96)-K97)&lt;0,0,IF(K97=0,"",LOOKUP(2,1/(M96:W96&lt;&gt;""),M96:W96)-K97))),0)</f>
        <v>0</v>
      </c>
      <c r="J96" s="113">
        <v>1</v>
      </c>
      <c r="K96" s="114" t="s">
        <v>22</v>
      </c>
      <c r="L96" s="102" t="s">
        <v>18</v>
      </c>
      <c r="M96" s="448">
        <v>1</v>
      </c>
      <c r="N96" s="448"/>
      <c r="O96" s="448"/>
      <c r="P96" s="448"/>
      <c r="Q96" s="448"/>
      <c r="R96" s="448"/>
      <c r="S96" s="448"/>
      <c r="T96" s="448"/>
      <c r="U96" s="448"/>
      <c r="V96" s="448"/>
      <c r="W96" s="448"/>
      <c r="X96" s="160">
        <f>+IF(H96="l",IF(COUNTA(M95:W95)=AK97+0.25,AA95-K95*AK97,AA95-(K95*COUNTA(M95:W95))),IF(H96="s",0,IF(COUNTA(M95:W95)=AK97+0.25,SUMIF($C:$C,B95,$AA:$AA)-K95*AK97,SUMIF($C:$C,B95,$AA:$AA)-K95*COUNTA(M95:W95))))</f>
        <v>0</v>
      </c>
      <c r="Y96" s="466"/>
      <c r="Z96" s="534"/>
      <c r="AA96" s="462">
        <f t="shared" ref="AA96:AA97" si="99">+SUM(M96:W96)-U96*0.25</f>
        <v>1</v>
      </c>
      <c r="AB96" s="360"/>
      <c r="AC96" s="360"/>
      <c r="AD96" s="362"/>
      <c r="AE96" s="363"/>
      <c r="AF96" s="346"/>
      <c r="AG96" s="347">
        <f t="shared" si="2"/>
        <v>0</v>
      </c>
      <c r="AH96" s="341">
        <f t="shared" si="3"/>
        <v>0</v>
      </c>
      <c r="AI96" s="341"/>
      <c r="AJ96" s="341"/>
      <c r="AK96" s="348"/>
      <c r="AL96" s="349">
        <f>+IF(AK97=7.75,SUM(M96:S96)+T96*0.75,IF(AK97=8,SUM(M96:T96),IF(AK97=7.25,SUM(M96:S96)+T96*0.25,IF(AK97=8.25,SUM(M96:T96)+U96*0.25,IF(AK97=8.75,SUM(M96:T96)+U96*0.75,0)))))</f>
        <v>1</v>
      </c>
      <c r="AM96" s="341">
        <f>+AL96-AA96</f>
        <v>0</v>
      </c>
      <c r="AN96" s="341"/>
      <c r="AO96" s="341"/>
      <c r="AP96" s="341"/>
      <c r="AQ96" s="438"/>
      <c r="AR96" s="434"/>
      <c r="AT96" s="390"/>
      <c r="AV96" s="390"/>
    </row>
    <row r="97" spans="2:48" s="98" customFormat="1" ht="62.25" customHeight="1" thickBot="1" x14ac:dyDescent="0.95">
      <c r="B97" s="364">
        <f>+B95</f>
        <v>17</v>
      </c>
      <c r="C97" s="410"/>
      <c r="D97" s="174" t="s">
        <v>379</v>
      </c>
      <c r="E97" s="175">
        <f>+E96+100</f>
        <v>117</v>
      </c>
      <c r="F97" s="175"/>
      <c r="G97" s="542" t="str">
        <f t="shared" si="97"/>
        <v>2215-518-800</v>
      </c>
      <c r="H97" s="117"/>
      <c r="I97" s="442"/>
      <c r="J97" s="165">
        <f>+IF(K97="","",IF(K95=0,"",(K95*J95)/(K97*60)))</f>
        <v>0.8794736842105263</v>
      </c>
      <c r="K97" s="118">
        <v>38</v>
      </c>
      <c r="L97" s="104" t="s">
        <v>19</v>
      </c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173"/>
      <c r="Y97" s="467">
        <v>15.5</v>
      </c>
      <c r="Z97" s="365">
        <v>15.5</v>
      </c>
      <c r="AA97" s="465">
        <f t="shared" si="99"/>
        <v>0</v>
      </c>
      <c r="AB97" s="367"/>
      <c r="AC97" s="367"/>
      <c r="AD97" s="368">
        <f>+IFERROR(AD95/(K95*$AQ$3),"")</f>
        <v>0</v>
      </c>
      <c r="AE97" s="369"/>
      <c r="AF97" s="347"/>
      <c r="AG97" s="347">
        <f t="shared" si="2"/>
        <v>0</v>
      </c>
      <c r="AH97" s="341">
        <f t="shared" si="3"/>
        <v>0</v>
      </c>
      <c r="AI97" s="341"/>
      <c r="AJ97" s="356"/>
      <c r="AK97" s="370">
        <f>+$AJ$4</f>
        <v>8.75</v>
      </c>
      <c r="AL97" s="349">
        <f>+IF(AK97=7.75,SUM(M97:S97)+T97*0.75,IF(AK97=8,SUM(M97:T97),IF(AK97=7.25,SUM(M97:S97)+T97*0.25,IF(AK97=8.25,SUM(M97:T97)+U97*0.25,IF(AK97=8.75,SUM(M97:T97)+U97*0.75,0)))))</f>
        <v>0</v>
      </c>
      <c r="AM97" s="341">
        <f>+AL97-AA97</f>
        <v>0</v>
      </c>
      <c r="AN97" s="341"/>
      <c r="AO97" s="341"/>
      <c r="AP97" s="341"/>
      <c r="AQ97" s="369"/>
      <c r="AR97" s="434"/>
      <c r="AT97" s="390">
        <v>5.7142857142857143E-3</v>
      </c>
      <c r="AV97" s="390"/>
    </row>
    <row r="98" spans="2:48" s="98" customFormat="1" ht="62.25" customHeight="1" thickTop="1" x14ac:dyDescent="0.9">
      <c r="B98" s="342">
        <f>+B99</f>
        <v>17</v>
      </c>
      <c r="C98" s="405"/>
      <c r="D98" s="106"/>
      <c r="E98" s="106"/>
      <c r="F98" s="106"/>
      <c r="G98" s="539" t="s">
        <v>442</v>
      </c>
      <c r="H98" s="106"/>
      <c r="I98" s="111"/>
      <c r="J98" s="107" t="s">
        <v>20</v>
      </c>
      <c r="K98" s="108" t="s">
        <v>23</v>
      </c>
      <c r="L98" s="100" t="s">
        <v>21</v>
      </c>
      <c r="M98" s="448">
        <v>60</v>
      </c>
      <c r="N98" s="448">
        <v>120</v>
      </c>
      <c r="O98" s="448"/>
      <c r="P98" s="448"/>
      <c r="Q98" s="448">
        <v>60</v>
      </c>
      <c r="R98" s="448">
        <v>60</v>
      </c>
      <c r="S98" s="448"/>
      <c r="T98" s="448"/>
      <c r="U98" s="448"/>
      <c r="V98" s="448"/>
      <c r="W98" s="448"/>
      <c r="X98" s="447">
        <f t="shared" ref="X98" si="100">IF(AQ99="","",SUM(M98:W98)-(-(AQ99-SUM(M98:W98))/$AQ$3)*SUM($M$2:$W$2))</f>
        <v>300</v>
      </c>
      <c r="Y98" s="466">
        <v>-523.75</v>
      </c>
      <c r="Z98" s="533">
        <f>+X100</f>
        <v>-288.75</v>
      </c>
      <c r="AA98" s="447">
        <f t="shared" si="83"/>
        <v>300</v>
      </c>
      <c r="AB98" s="343">
        <f>+AC98+AA98</f>
        <v>1440</v>
      </c>
      <c r="AC98" s="343">
        <v>1140</v>
      </c>
      <c r="AD98" s="344"/>
      <c r="AE98" s="345"/>
      <c r="AF98" s="346"/>
      <c r="AG98" s="347">
        <f t="shared" ref="AG98:AG109" si="101">TRUNC(AF98)+(AF98-TRUNC(AF98))*60/100</f>
        <v>0</v>
      </c>
      <c r="AH98" s="341">
        <f t="shared" ref="AH98:AH109" si="102">+AF98*60</f>
        <v>0</v>
      </c>
      <c r="AI98" s="341"/>
      <c r="AJ98" s="341"/>
      <c r="AK98" s="348"/>
      <c r="AL98" s="349"/>
      <c r="AM98" s="341"/>
      <c r="AN98" s="341"/>
      <c r="AO98" s="341"/>
      <c r="AP98" s="341"/>
      <c r="AQ98" s="350"/>
      <c r="AR98" s="434"/>
      <c r="AT98" s="390"/>
      <c r="AV98" s="390"/>
    </row>
    <row r="99" spans="2:48" s="98" customFormat="1" ht="62.25" customHeight="1" x14ac:dyDescent="0.9">
      <c r="B99" s="351">
        <v>17</v>
      </c>
      <c r="C99" s="406">
        <f>+B99</f>
        <v>17</v>
      </c>
      <c r="D99" s="407" t="s">
        <v>441</v>
      </c>
      <c r="E99" s="111"/>
      <c r="F99" s="111" t="s">
        <v>35</v>
      </c>
      <c r="G99" s="539" t="str">
        <f t="shared" ref="G99:G101" si="103">+G98</f>
        <v>2259-600-730</v>
      </c>
      <c r="H99" s="111"/>
      <c r="I99" s="111" t="s">
        <v>33</v>
      </c>
      <c r="J99" s="113">
        <v>34.450000000000003</v>
      </c>
      <c r="K99" s="130">
        <v>61</v>
      </c>
      <c r="L99" s="101" t="s">
        <v>17</v>
      </c>
      <c r="M99" s="214">
        <v>20</v>
      </c>
      <c r="N99" s="214">
        <v>30</v>
      </c>
      <c r="O99" s="214">
        <v>25</v>
      </c>
      <c r="P99" s="214">
        <v>30</v>
      </c>
      <c r="Q99" s="214">
        <v>30</v>
      </c>
      <c r="R99" s="214">
        <v>30</v>
      </c>
      <c r="S99" s="214">
        <v>30</v>
      </c>
      <c r="T99" s="214">
        <v>30</v>
      </c>
      <c r="U99" s="214">
        <v>20</v>
      </c>
      <c r="V99" s="214"/>
      <c r="W99" s="214"/>
      <c r="X99" s="123">
        <f>+IF(H100="s",0,IF(AA99=0,0,IF(COUNTA(M99:W99)=AK101+0.25,SUMIF($C:$C,B99,$AA:$AA)/AK101,SUMIF($C:$C,B99,$AA:$AA)/(COUNTA(M99:W99)))))</f>
        <v>28.342857142857142</v>
      </c>
      <c r="Y99" s="466"/>
      <c r="Z99" s="534"/>
      <c r="AA99" s="134">
        <f t="shared" si="83"/>
        <v>245</v>
      </c>
      <c r="AB99" s="354">
        <f>+AA99+AC99</f>
        <v>290</v>
      </c>
      <c r="AC99" s="354">
        <v>45</v>
      </c>
      <c r="AD99" s="355">
        <f>+AB98-AB99</f>
        <v>1150</v>
      </c>
      <c r="AE99" s="131">
        <f>+IF(((AA100+(AA101/2))*60)=0,"",(J99*AA99)/((AA100+(AA101/2))*60))</f>
        <v>0.42054060787244646</v>
      </c>
      <c r="AF99" s="347">
        <f>+AA100+AA101/2</f>
        <v>334.5</v>
      </c>
      <c r="AG99" s="347">
        <f t="shared" si="101"/>
        <v>334.3</v>
      </c>
      <c r="AH99" s="341">
        <f t="shared" si="102"/>
        <v>20070</v>
      </c>
      <c r="AI99" s="341">
        <f>+AA99*J99</f>
        <v>8440.25</v>
      </c>
      <c r="AJ99" s="356">
        <f>+AA99-(AF99*K99/K101)</f>
        <v>-291.96052631578948</v>
      </c>
      <c r="AK99" s="348"/>
      <c r="AL99" s="349"/>
      <c r="AM99" s="341"/>
      <c r="AN99" s="341"/>
      <c r="AO99" s="341"/>
      <c r="AP99" s="341"/>
      <c r="AQ99" s="479">
        <f>-300+AA98</f>
        <v>0</v>
      </c>
      <c r="AR99" s="434">
        <v>1.5</v>
      </c>
      <c r="AT99" s="390">
        <v>1095</v>
      </c>
      <c r="AV99" s="390">
        <f t="shared" ref="AV99" si="104">+AT99-AD99</f>
        <v>-55</v>
      </c>
    </row>
    <row r="100" spans="2:48" s="98" customFormat="1" ht="62.25" customHeight="1" x14ac:dyDescent="0.9">
      <c r="B100" s="357">
        <f>+B99</f>
        <v>17</v>
      </c>
      <c r="C100" s="408"/>
      <c r="D100" s="184"/>
      <c r="E100" s="111">
        <f>+B99</f>
        <v>17</v>
      </c>
      <c r="F100" s="409"/>
      <c r="G100" s="539" t="str">
        <f t="shared" si="103"/>
        <v>2259-600-730</v>
      </c>
      <c r="H100" s="411" t="s">
        <v>413</v>
      </c>
      <c r="I100" s="113">
        <f>+IFERROR(IF(K101=0,0,IF((LOOKUP(2,1/(M100:W100&lt;&gt;""),M100:W100)-K101)&lt;0,0,IF(K101=0,"",LOOKUP(2,1/(M100:W100&lt;&gt;""),M100:W100)-K101))),0)</f>
        <v>0</v>
      </c>
      <c r="J100" s="113">
        <v>0</v>
      </c>
      <c r="K100" s="114" t="s">
        <v>22</v>
      </c>
      <c r="L100" s="102" t="s">
        <v>18</v>
      </c>
      <c r="M100" s="448">
        <v>40</v>
      </c>
      <c r="N100" s="448">
        <v>38</v>
      </c>
      <c r="O100" s="448">
        <v>38</v>
      </c>
      <c r="P100" s="448">
        <v>38</v>
      </c>
      <c r="Q100" s="448">
        <v>38</v>
      </c>
      <c r="R100" s="448">
        <v>38</v>
      </c>
      <c r="S100" s="448">
        <v>38</v>
      </c>
      <c r="T100" s="448">
        <v>38</v>
      </c>
      <c r="U100" s="448">
        <v>38</v>
      </c>
      <c r="V100" s="448"/>
      <c r="W100" s="448"/>
      <c r="X100" s="160">
        <f>+IF(H100="l",IF(COUNTA(M99:W99)=AK101+0.25,AA99-K99*AK101,AA99-(K99*COUNTA(M99:W99))),IF(H100="s",0,IF(COUNTA(M99:W99)=AK101+0.25,SUMIF($C:$C,B99,$AA:$AA)-K99*AK101,SUMIF($C:$C,B99,$AA:$AA)-K99*COUNTA(M99:W99))))</f>
        <v>-288.75</v>
      </c>
      <c r="Y100" s="466"/>
      <c r="Z100" s="534"/>
      <c r="AA100" s="462">
        <f t="shared" ref="AA100:AA101" si="105">+SUM(M100:W100)-U100*0.25</f>
        <v>334.5</v>
      </c>
      <c r="AB100" s="360"/>
      <c r="AC100" s="360"/>
      <c r="AD100" s="362"/>
      <c r="AE100" s="363"/>
      <c r="AF100" s="346"/>
      <c r="AG100" s="347">
        <f t="shared" si="101"/>
        <v>0</v>
      </c>
      <c r="AH100" s="341">
        <f t="shared" si="102"/>
        <v>0</v>
      </c>
      <c r="AI100" s="341"/>
      <c r="AJ100" s="341"/>
      <c r="AK100" s="348"/>
      <c r="AL100" s="349">
        <f>+IF(AK101=7.75,SUM(M100:S100)+T100*0.75,IF(AK101=8,SUM(M100:T100),IF(AK101=7.25,SUM(M100:S100)+T100*0.25,IF(AK101=8.25,SUM(M100:T100)+U100*0.25,IF(AK101=8.75,SUM(M100:T100)+U100*0.75,0)))))</f>
        <v>334.5</v>
      </c>
      <c r="AM100" s="341">
        <f>+AL100-AA100</f>
        <v>0</v>
      </c>
      <c r="AN100" s="341"/>
      <c r="AO100" s="341"/>
      <c r="AP100" s="341"/>
      <c r="AQ100" s="438"/>
      <c r="AR100" s="434"/>
      <c r="AT100" s="390"/>
      <c r="AV100" s="390"/>
    </row>
    <row r="101" spans="2:48" s="98" customFormat="1" ht="62.25" customHeight="1" thickBot="1" x14ac:dyDescent="0.95">
      <c r="B101" s="364">
        <f>+B99</f>
        <v>17</v>
      </c>
      <c r="C101" s="410"/>
      <c r="D101" s="174" t="s">
        <v>379</v>
      </c>
      <c r="E101" s="175">
        <f>+E100+100</f>
        <v>117</v>
      </c>
      <c r="F101" s="175"/>
      <c r="G101" s="539" t="str">
        <f t="shared" si="103"/>
        <v>2259-600-730</v>
      </c>
      <c r="H101" s="117"/>
      <c r="I101" s="442"/>
      <c r="J101" s="165">
        <f>+IF(K101="","",IF(K99=0,"",(K99*J99)/(K101*60)))</f>
        <v>0.92168859649122814</v>
      </c>
      <c r="K101" s="118">
        <v>38</v>
      </c>
      <c r="L101" s="104" t="s">
        <v>19</v>
      </c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173"/>
      <c r="Y101" s="467">
        <v>19.174392307692308</v>
      </c>
      <c r="Z101" s="371">
        <f>6.1167+IF(COUNTA(M99:W99)=$AJ$4+0.25,$AJ$4-(AA99/K99),COUNTA(M99:W99)-(AA99/K99))+Y101</f>
        <v>30.024698865069357</v>
      </c>
      <c r="AA101" s="465">
        <f t="shared" si="105"/>
        <v>0</v>
      </c>
      <c r="AB101" s="367"/>
      <c r="AC101" s="367"/>
      <c r="AD101" s="368">
        <f>+IFERROR(AD99/(K99*$AQ$3),"")</f>
        <v>2.1545667447306793</v>
      </c>
      <c r="AE101" s="369"/>
      <c r="AF101" s="347"/>
      <c r="AG101" s="347">
        <f t="shared" si="101"/>
        <v>0</v>
      </c>
      <c r="AH101" s="341">
        <f t="shared" si="102"/>
        <v>0</v>
      </c>
      <c r="AI101" s="341"/>
      <c r="AJ101" s="356"/>
      <c r="AK101" s="370">
        <f>+$AJ$4</f>
        <v>8.75</v>
      </c>
      <c r="AL101" s="349">
        <f>+IF(AK101=7.75,SUM(M101:S101)+T101*0.75,IF(AK101=8,SUM(M101:T101),IF(AK101=7.25,SUM(M101:S101)+T101*0.25,IF(AK101=8.25,SUM(M101:T101)+U101*0.25,IF(AK101=8.75,SUM(M101:T101)+U101*0.75,0)))))</f>
        <v>0</v>
      </c>
      <c r="AM101" s="341">
        <f>+AL101-AA101</f>
        <v>0</v>
      </c>
      <c r="AN101" s="341"/>
      <c r="AO101" s="341"/>
      <c r="AP101" s="341"/>
      <c r="AQ101" s="369"/>
      <c r="AR101" s="434"/>
      <c r="AT101" s="390">
        <v>1.9252747252747253</v>
      </c>
      <c r="AV101" s="390"/>
    </row>
    <row r="102" spans="2:48" s="98" customFormat="1" ht="62.25" customHeight="1" thickTop="1" x14ac:dyDescent="0.9">
      <c r="B102" s="373">
        <f>+B103</f>
        <v>18</v>
      </c>
      <c r="C102" s="405"/>
      <c r="D102" s="106"/>
      <c r="E102" s="106"/>
      <c r="F102" s="106"/>
      <c r="G102" s="540" t="s">
        <v>432</v>
      </c>
      <c r="H102" s="106"/>
      <c r="I102" s="106"/>
      <c r="J102" s="107" t="s">
        <v>20</v>
      </c>
      <c r="K102" s="108" t="s">
        <v>23</v>
      </c>
      <c r="L102" s="100" t="s">
        <v>21</v>
      </c>
      <c r="M102" s="448"/>
      <c r="N102" s="448"/>
      <c r="O102" s="448"/>
      <c r="P102" s="448"/>
      <c r="Q102" s="448"/>
      <c r="R102" s="448"/>
      <c r="S102" s="448"/>
      <c r="T102" s="448"/>
      <c r="U102" s="448"/>
      <c r="V102" s="448"/>
      <c r="W102" s="448"/>
      <c r="X102" s="447" t="str">
        <f t="shared" ref="X102" si="106">IF(AQ103="","",SUM(M102:W102)-(-(AQ103-SUM(M102:W102))/$AQ$3)*SUM($M$2:$W$2))</f>
        <v/>
      </c>
      <c r="Y102" s="466">
        <v>-66</v>
      </c>
      <c r="Z102" s="533">
        <f>+X104</f>
        <v>-92</v>
      </c>
      <c r="AA102" s="447">
        <f t="shared" si="83"/>
        <v>0</v>
      </c>
      <c r="AB102" s="343">
        <f>+AC102+AA102</f>
        <v>5533</v>
      </c>
      <c r="AC102" s="343">
        <v>5533</v>
      </c>
      <c r="AD102" s="344"/>
      <c r="AE102" s="345"/>
      <c r="AF102" s="346"/>
      <c r="AG102" s="347">
        <f t="shared" si="101"/>
        <v>0</v>
      </c>
      <c r="AH102" s="341">
        <f t="shared" si="102"/>
        <v>0</v>
      </c>
      <c r="AI102" s="341"/>
      <c r="AJ102" s="341"/>
      <c r="AK102" s="348"/>
      <c r="AL102" s="349"/>
      <c r="AM102" s="341"/>
      <c r="AN102" s="341"/>
      <c r="AO102" s="341"/>
      <c r="AP102" s="341"/>
      <c r="AQ102" s="350"/>
      <c r="AR102" s="434"/>
      <c r="AT102" s="390"/>
      <c r="AV102" s="390"/>
    </row>
    <row r="103" spans="2:48" s="98" customFormat="1" ht="62.25" customHeight="1" x14ac:dyDescent="0.9">
      <c r="B103" s="374">
        <v>18</v>
      </c>
      <c r="C103" s="406">
        <f>+B103</f>
        <v>18</v>
      </c>
      <c r="D103" s="407" t="s">
        <v>431</v>
      </c>
      <c r="E103" s="111"/>
      <c r="F103" s="111" t="s">
        <v>35</v>
      </c>
      <c r="G103" s="541" t="str">
        <f t="shared" ref="G103:G109" si="107">+G102</f>
        <v>2158-755-712</v>
      </c>
      <c r="H103" s="111"/>
      <c r="I103" s="111" t="s">
        <v>33</v>
      </c>
      <c r="J103" s="113">
        <v>51.42</v>
      </c>
      <c r="K103" s="130">
        <v>52</v>
      </c>
      <c r="L103" s="101" t="s">
        <v>17</v>
      </c>
      <c r="M103" s="214">
        <v>30</v>
      </c>
      <c r="N103" s="214">
        <v>52</v>
      </c>
      <c r="O103" s="214">
        <v>45</v>
      </c>
      <c r="P103" s="214">
        <v>52</v>
      </c>
      <c r="Q103" s="214">
        <v>52</v>
      </c>
      <c r="R103" s="214">
        <v>41</v>
      </c>
      <c r="S103" s="214">
        <v>40</v>
      </c>
      <c r="T103" s="214">
        <v>30</v>
      </c>
      <c r="U103" s="214">
        <v>21</v>
      </c>
      <c r="V103" s="214"/>
      <c r="W103" s="214"/>
      <c r="X103" s="123">
        <f>+IF(H104="s",0,IF(AA103=0,0,IF(COUNTA(M103:W103)=AK105+0.25,SUMIF($C:$C,B103,$AA:$AA)/AK105,SUMIF($C:$C,B103,$AA:$AA)/(COUNTA(M103:W103)))))</f>
        <v>41.485714285714288</v>
      </c>
      <c r="Y103" s="466"/>
      <c r="Z103" s="534"/>
      <c r="AA103" s="134">
        <f t="shared" si="83"/>
        <v>363</v>
      </c>
      <c r="AB103" s="354">
        <f>+AA103+AC103</f>
        <v>5355</v>
      </c>
      <c r="AC103" s="354">
        <v>4992</v>
      </c>
      <c r="AD103" s="355">
        <f>+AB102-AB103</f>
        <v>178</v>
      </c>
      <c r="AE103" s="131">
        <f>+IF(((AA104+(AA105/2))*60)=0,"",(J103*AA103)/((AA104+(AA105/2))*60))</f>
        <v>0.7941059349074665</v>
      </c>
      <c r="AF103" s="347">
        <f>+AA104+AA105/2</f>
        <v>391.75</v>
      </c>
      <c r="AG103" s="347">
        <f t="shared" si="101"/>
        <v>391.45</v>
      </c>
      <c r="AH103" s="341">
        <f t="shared" si="102"/>
        <v>23505</v>
      </c>
      <c r="AI103" s="341">
        <f>+AA103*J103</f>
        <v>18665.46</v>
      </c>
      <c r="AJ103" s="356">
        <f>+AA103-(AF103*K103/K105)</f>
        <v>-36.431372549019613</v>
      </c>
      <c r="AK103" s="348"/>
      <c r="AL103" s="349"/>
      <c r="AM103" s="341"/>
      <c r="AN103" s="341"/>
      <c r="AO103" s="341"/>
      <c r="AP103" s="341"/>
      <c r="AQ103" s="339"/>
      <c r="AR103" s="434"/>
      <c r="AT103" s="390">
        <v>541</v>
      </c>
      <c r="AV103" s="390">
        <f t="shared" ref="AV103" si="108">+AT103-AD103</f>
        <v>363</v>
      </c>
    </row>
    <row r="104" spans="2:48" s="98" customFormat="1" ht="62.25" customHeight="1" x14ac:dyDescent="0.9">
      <c r="B104" s="357">
        <f>+B103</f>
        <v>18</v>
      </c>
      <c r="C104" s="408"/>
      <c r="D104" s="184"/>
      <c r="E104" s="111">
        <f>+B103</f>
        <v>18</v>
      </c>
      <c r="F104" s="409"/>
      <c r="G104" s="541" t="str">
        <f t="shared" si="107"/>
        <v>2158-755-712</v>
      </c>
      <c r="H104" s="411"/>
      <c r="I104" s="113">
        <f>+IFERROR(IF(K105=0,0,IF((LOOKUP(2,1/(M104:W104&lt;&gt;""),M104:W104)-K105)&lt;0,0,IF(K105=0,"",LOOKUP(2,1/(M104:W104&lt;&gt;""),M104:W104)-K105))),0)</f>
        <v>0</v>
      </c>
      <c r="J104" s="113"/>
      <c r="K104" s="114" t="s">
        <v>22</v>
      </c>
      <c r="L104" s="102" t="s">
        <v>18</v>
      </c>
      <c r="M104" s="448">
        <v>50</v>
      </c>
      <c r="N104" s="448">
        <v>50</v>
      </c>
      <c r="O104" s="448">
        <v>48</v>
      </c>
      <c r="P104" s="448">
        <v>45</v>
      </c>
      <c r="Q104" s="448">
        <v>40</v>
      </c>
      <c r="R104" s="448">
        <v>40</v>
      </c>
      <c r="S104" s="448">
        <v>40</v>
      </c>
      <c r="T104" s="448">
        <v>40</v>
      </c>
      <c r="U104" s="448">
        <v>40</v>
      </c>
      <c r="V104" s="448"/>
      <c r="W104" s="448"/>
      <c r="X104" s="160">
        <f>+IF(H104="l",IF(COUNTA(M103:W103)=AK105+0.25,AA103-K103*AK105,AA103-(K103*COUNTA(M103:W103))),IF(H104="s",0,IF(COUNTA(M103:W103)=AK105+0.25,SUMIF($C:$C,B103,$AA:$AA)-K103*AK105,SUMIF($C:$C,B103,$AA:$AA)-K103*COUNTA(M103:W103))))</f>
        <v>-92</v>
      </c>
      <c r="Y104" s="466"/>
      <c r="Z104" s="534"/>
      <c r="AA104" s="462">
        <f t="shared" ref="AA104:AA105" si="109">+SUM(M104:W104)-U104*0.25</f>
        <v>383</v>
      </c>
      <c r="AB104" s="361"/>
      <c r="AC104" s="361"/>
      <c r="AD104" s="362"/>
      <c r="AE104" s="363"/>
      <c r="AF104" s="346"/>
      <c r="AG104" s="347">
        <f t="shared" si="101"/>
        <v>0</v>
      </c>
      <c r="AH104" s="341">
        <f t="shared" si="102"/>
        <v>0</v>
      </c>
      <c r="AI104" s="341"/>
      <c r="AJ104" s="341"/>
      <c r="AK104" s="348"/>
      <c r="AL104" s="349">
        <f>+IF(AK105=7.75,SUM(M104:S104)+T104*0.75,IF(AK105=8,SUM(M104:T104),IF(AK105=7.25,SUM(M104:S104)+T104*0.25,IF(AK105=8.25,SUM(M104:T104)+U104*0.25,IF(AK105=8.75,SUM(M104:T104)+U104*0.75,0)))))</f>
        <v>383</v>
      </c>
      <c r="AM104" s="341">
        <f>+AL104-AA104</f>
        <v>0</v>
      </c>
      <c r="AN104" s="341"/>
      <c r="AO104" s="341"/>
      <c r="AP104" s="341"/>
      <c r="AQ104" s="438"/>
      <c r="AR104" s="434"/>
      <c r="AT104" s="390"/>
      <c r="AV104" s="390"/>
    </row>
    <row r="105" spans="2:48" s="98" customFormat="1" ht="62.25" customHeight="1" thickBot="1" x14ac:dyDescent="0.95">
      <c r="B105" s="375">
        <f>+B103</f>
        <v>18</v>
      </c>
      <c r="C105" s="410"/>
      <c r="D105" s="413" t="s">
        <v>308</v>
      </c>
      <c r="E105" s="175">
        <f>+E104+100</f>
        <v>118</v>
      </c>
      <c r="F105" s="175"/>
      <c r="G105" s="542" t="str">
        <f t="shared" si="107"/>
        <v>2158-755-712</v>
      </c>
      <c r="H105" s="117"/>
      <c r="I105" s="442"/>
      <c r="J105" s="165">
        <f>+IF(K105="","",IF(K103=0,"",(K103*J103)/(K105*60)))</f>
        <v>0.87380392156862752</v>
      </c>
      <c r="K105" s="118">
        <v>51</v>
      </c>
      <c r="L105" s="104" t="s">
        <v>19</v>
      </c>
      <c r="M105" s="216">
        <v>2</v>
      </c>
      <c r="N105" s="216">
        <v>2</v>
      </c>
      <c r="O105" s="216">
        <v>2</v>
      </c>
      <c r="P105" s="216">
        <v>2</v>
      </c>
      <c r="Q105" s="216">
        <v>2</v>
      </c>
      <c r="R105" s="216">
        <v>2</v>
      </c>
      <c r="S105" s="216">
        <v>2</v>
      </c>
      <c r="T105" s="216">
        <v>2</v>
      </c>
      <c r="U105" s="216">
        <v>2</v>
      </c>
      <c r="V105" s="216"/>
      <c r="W105" s="216"/>
      <c r="X105" s="173"/>
      <c r="Y105" s="467">
        <v>28.44</v>
      </c>
      <c r="Z105" s="365">
        <v>28.44</v>
      </c>
      <c r="AA105" s="465">
        <f t="shared" si="109"/>
        <v>17.5</v>
      </c>
      <c r="AB105" s="367"/>
      <c r="AC105" s="367"/>
      <c r="AD105" s="368">
        <f>+IFERROR(AD103/(K103*$AQ$3),"")</f>
        <v>0.39120879120879121</v>
      </c>
      <c r="AE105" s="369"/>
      <c r="AF105" s="347"/>
      <c r="AG105" s="347">
        <f t="shared" si="101"/>
        <v>0</v>
      </c>
      <c r="AH105" s="341">
        <f t="shared" si="102"/>
        <v>0</v>
      </c>
      <c r="AI105" s="341"/>
      <c r="AJ105" s="356"/>
      <c r="AK105" s="370">
        <f>+$AJ$4</f>
        <v>8.75</v>
      </c>
      <c r="AL105" s="349">
        <f>+IF(AK105=7.75,SUM(M105:S105)+T105*0.75,IF(AK105=8,SUM(M105:T105),IF(AK105=7.25,SUM(M105:S105)+T105*0.25,IF(AK105=8.25,SUM(M105:T105)+U105*0.25,IF(AK105=8.75,SUM(M105:T105)+U105*0.75,0)))))</f>
        <v>17.5</v>
      </c>
      <c r="AM105" s="341">
        <f>+AL105-AA105</f>
        <v>0</v>
      </c>
      <c r="AN105" s="341"/>
      <c r="AO105" s="341"/>
      <c r="AP105" s="341"/>
      <c r="AQ105" s="369"/>
      <c r="AR105" s="434"/>
      <c r="AT105" s="390">
        <v>1.189010989010989</v>
      </c>
      <c r="AV105" s="390"/>
    </row>
    <row r="106" spans="2:48" s="98" customFormat="1" ht="62.25" customHeight="1" thickTop="1" x14ac:dyDescent="0.9">
      <c r="B106" s="373">
        <f>+B107</f>
        <v>18</v>
      </c>
      <c r="C106" s="405"/>
      <c r="D106" s="106"/>
      <c r="E106" s="106"/>
      <c r="F106" s="106"/>
      <c r="G106" s="540" t="s">
        <v>481</v>
      </c>
      <c r="H106" s="106"/>
      <c r="I106" s="106"/>
      <c r="J106" s="107" t="s">
        <v>20</v>
      </c>
      <c r="K106" s="108" t="s">
        <v>23</v>
      </c>
      <c r="L106" s="100" t="s">
        <v>21</v>
      </c>
      <c r="M106" s="448"/>
      <c r="N106" s="448"/>
      <c r="O106" s="448"/>
      <c r="P106" s="448">
        <v>120</v>
      </c>
      <c r="Q106" s="448">
        <v>120</v>
      </c>
      <c r="R106" s="448">
        <v>60</v>
      </c>
      <c r="S106" s="448"/>
      <c r="T106" s="448"/>
      <c r="U106" s="448"/>
      <c r="V106" s="448"/>
      <c r="W106" s="448"/>
      <c r="X106" s="447">
        <f t="shared" ref="X106" si="110">IF(AQ107="","",SUM(M106:W106)-(-(AQ107-SUM(M106:W106))/$AQ$3)*SUM($M$2:$W$2))</f>
        <v>300</v>
      </c>
      <c r="Y106" s="466">
        <v>0</v>
      </c>
      <c r="Z106" s="533">
        <f>+X108</f>
        <v>0</v>
      </c>
      <c r="AA106" s="447">
        <f t="shared" ref="AA106:AA107" si="111">+SUM(L106:W106)</f>
        <v>300</v>
      </c>
      <c r="AB106" s="343">
        <f>+AC106+AA106</f>
        <v>480</v>
      </c>
      <c r="AC106" s="343">
        <v>180</v>
      </c>
      <c r="AD106" s="344"/>
      <c r="AE106" s="345"/>
      <c r="AF106" s="346"/>
      <c r="AG106" s="347">
        <f t="shared" si="101"/>
        <v>0</v>
      </c>
      <c r="AH106" s="341">
        <f t="shared" si="102"/>
        <v>0</v>
      </c>
      <c r="AI106" s="341"/>
      <c r="AJ106" s="341"/>
      <c r="AK106" s="348"/>
      <c r="AL106" s="349"/>
      <c r="AM106" s="341"/>
      <c r="AN106" s="341"/>
      <c r="AO106" s="341"/>
      <c r="AP106" s="341"/>
      <c r="AQ106" s="350"/>
      <c r="AR106" s="434"/>
      <c r="AT106" s="390"/>
      <c r="AV106" s="390"/>
    </row>
    <row r="107" spans="2:48" s="98" customFormat="1" ht="62.25" customHeight="1" x14ac:dyDescent="0.9">
      <c r="B107" s="374">
        <v>18</v>
      </c>
      <c r="C107" s="406">
        <f>+B107</f>
        <v>18</v>
      </c>
      <c r="D107" s="407" t="s">
        <v>480</v>
      </c>
      <c r="E107" s="111"/>
      <c r="F107" s="111" t="s">
        <v>35</v>
      </c>
      <c r="G107" s="541" t="str">
        <f t="shared" si="107"/>
        <v>2396-593-600</v>
      </c>
      <c r="H107" s="111"/>
      <c r="I107" s="111" t="s">
        <v>33</v>
      </c>
      <c r="J107" s="113">
        <v>38.82</v>
      </c>
      <c r="K107" s="130">
        <v>60</v>
      </c>
      <c r="L107" s="101" t="s">
        <v>17</v>
      </c>
      <c r="M107" s="214"/>
      <c r="N107" s="214"/>
      <c r="O107" s="214"/>
      <c r="P107" s="214"/>
      <c r="Q107" s="214"/>
      <c r="R107" s="214"/>
      <c r="S107" s="214"/>
      <c r="T107" s="214"/>
      <c r="U107" s="214"/>
      <c r="V107" s="214"/>
      <c r="W107" s="214"/>
      <c r="X107" s="123">
        <f>+IF(H108="s",0,IF(AA107=0,0,IF(COUNTA(M107:W107)=AK109+0.25,SUMIF($C:$C,B107,$AA:$AA)/AK109,SUMIF($C:$C,B107,$AA:$AA)/(COUNTA(M107:W107)))))</f>
        <v>0</v>
      </c>
      <c r="Y107" s="466"/>
      <c r="Z107" s="534"/>
      <c r="AA107" s="134">
        <f t="shared" si="111"/>
        <v>0</v>
      </c>
      <c r="AB107" s="354">
        <f>+AA107+AC107</f>
        <v>0</v>
      </c>
      <c r="AC107" s="354">
        <v>0</v>
      </c>
      <c r="AD107" s="355">
        <f>+AB106-AB107</f>
        <v>480</v>
      </c>
      <c r="AE107" s="131">
        <f>+IF(((AA108+(AA109/2))*60)=0,"",(J107*AA107)/((AA108+(AA109/2))*60))</f>
        <v>0</v>
      </c>
      <c r="AF107" s="347">
        <f>+AA108+AA109/2</f>
        <v>54.5</v>
      </c>
      <c r="AG107" s="347">
        <f t="shared" si="101"/>
        <v>54.3</v>
      </c>
      <c r="AH107" s="341">
        <f t="shared" si="102"/>
        <v>3270</v>
      </c>
      <c r="AI107" s="341">
        <f>+AA107*J107</f>
        <v>0</v>
      </c>
      <c r="AJ107" s="356">
        <f>+AA107-(AF107*K107/K109)</f>
        <v>-76.04651162790698</v>
      </c>
      <c r="AK107" s="348"/>
      <c r="AL107" s="349"/>
      <c r="AM107" s="341"/>
      <c r="AN107" s="341"/>
      <c r="AO107" s="341"/>
      <c r="AP107" s="341"/>
      <c r="AQ107" s="339">
        <f>-300+AA106</f>
        <v>0</v>
      </c>
      <c r="AR107" s="434"/>
      <c r="AT107" s="390">
        <v>180</v>
      </c>
      <c r="AV107" s="390">
        <f t="shared" ref="AV107" si="112">+AT107-AD107</f>
        <v>-300</v>
      </c>
    </row>
    <row r="108" spans="2:48" s="98" customFormat="1" ht="62.25" customHeight="1" x14ac:dyDescent="0.9">
      <c r="B108" s="357">
        <f>+B107</f>
        <v>18</v>
      </c>
      <c r="C108" s="408"/>
      <c r="D108" s="184"/>
      <c r="E108" s="111">
        <f>+B107</f>
        <v>18</v>
      </c>
      <c r="F108" s="409"/>
      <c r="G108" s="541" t="str">
        <f t="shared" si="107"/>
        <v>2396-593-600</v>
      </c>
      <c r="H108" s="411" t="s">
        <v>413</v>
      </c>
      <c r="I108" s="113">
        <f>+IFERROR(IF(K109=0,0,IF((LOOKUP(2,1/(M108:W108&lt;&gt;""),M108:W108)-K109)&lt;0,0,IF(K109=0,"",LOOKUP(2,1/(M108:W108&lt;&gt;""),M108:W108)-K109))),0)</f>
        <v>0</v>
      </c>
      <c r="J108" s="113"/>
      <c r="K108" s="114" t="s">
        <v>22</v>
      </c>
      <c r="L108" s="102" t="s">
        <v>18</v>
      </c>
      <c r="M108" s="448"/>
      <c r="N108" s="448"/>
      <c r="O108" s="448">
        <v>2</v>
      </c>
      <c r="P108" s="448">
        <v>5</v>
      </c>
      <c r="Q108" s="448">
        <v>10</v>
      </c>
      <c r="R108" s="448">
        <v>10</v>
      </c>
      <c r="S108" s="448">
        <v>10</v>
      </c>
      <c r="T108" s="448">
        <v>10</v>
      </c>
      <c r="U108" s="448">
        <v>10</v>
      </c>
      <c r="V108" s="448"/>
      <c r="W108" s="448"/>
      <c r="X108" s="160">
        <f>+IF(H108="l",IF(COUNTA(M107:W107)=AK109+0.25,AA107-K107*AK109,AA107-(K107*COUNTA(M107:W107))),IF(H108="s",0,IF(COUNTA(M107:W107)=AK109+0.25,SUMIF($C:$C,B107,$AA:$AA)-K107*AK109,SUMIF($C:$C,B107,$AA:$AA)-K107*COUNTA(M107:W107))))</f>
        <v>0</v>
      </c>
      <c r="Y108" s="466"/>
      <c r="Z108" s="534"/>
      <c r="AA108" s="462">
        <f t="shared" ref="AA108:AA109" si="113">+SUM(M108:W108)-U108*0.25</f>
        <v>54.5</v>
      </c>
      <c r="AB108" s="361"/>
      <c r="AC108" s="361"/>
      <c r="AD108" s="362"/>
      <c r="AE108" s="363"/>
      <c r="AF108" s="346"/>
      <c r="AG108" s="347">
        <f t="shared" si="101"/>
        <v>0</v>
      </c>
      <c r="AH108" s="341">
        <f t="shared" si="102"/>
        <v>0</v>
      </c>
      <c r="AI108" s="341"/>
      <c r="AJ108" s="341"/>
      <c r="AK108" s="348"/>
      <c r="AL108" s="349">
        <f>+IF(AK109=7.75,SUM(M108:S108)+T108*0.75,IF(AK109=8,SUM(M108:T108),IF(AK109=7.25,SUM(M108:S108)+T108*0.25,IF(AK109=8.25,SUM(M108:T108)+U108*0.25,IF(AK109=8.75,SUM(M108:T108)+U108*0.75,0)))))</f>
        <v>54.5</v>
      </c>
      <c r="AM108" s="341">
        <f>+AL108-AA108</f>
        <v>0</v>
      </c>
      <c r="AN108" s="341"/>
      <c r="AO108" s="341"/>
      <c r="AP108" s="341"/>
      <c r="AQ108" s="438"/>
      <c r="AR108" s="434"/>
      <c r="AT108" s="390"/>
      <c r="AV108" s="390"/>
    </row>
    <row r="109" spans="2:48" s="98" customFormat="1" ht="62.25" customHeight="1" thickBot="1" x14ac:dyDescent="0.95">
      <c r="B109" s="375">
        <f>+B107</f>
        <v>18</v>
      </c>
      <c r="C109" s="410"/>
      <c r="D109" s="413" t="s">
        <v>308</v>
      </c>
      <c r="E109" s="175">
        <f>+E108+100</f>
        <v>118</v>
      </c>
      <c r="F109" s="175"/>
      <c r="G109" s="542" t="str">
        <f t="shared" si="107"/>
        <v>2396-593-600</v>
      </c>
      <c r="H109" s="117"/>
      <c r="I109" s="442"/>
      <c r="J109" s="165">
        <f>+IF(K109="","",IF(K107=0,"",(K107*J107)/(K109*60)))</f>
        <v>0.90279069767441855</v>
      </c>
      <c r="K109" s="118">
        <v>43</v>
      </c>
      <c r="L109" s="104" t="s">
        <v>19</v>
      </c>
      <c r="M109" s="216"/>
      <c r="N109" s="216"/>
      <c r="O109" s="216"/>
      <c r="P109" s="216"/>
      <c r="Q109" s="216"/>
      <c r="R109" s="216"/>
      <c r="S109" s="216"/>
      <c r="T109" s="216"/>
      <c r="U109" s="216"/>
      <c r="V109" s="216"/>
      <c r="W109" s="216"/>
      <c r="X109" s="173"/>
      <c r="Y109" s="467">
        <v>0</v>
      </c>
      <c r="Z109" s="371">
        <f>+IF(COUNTA(M107:W107)=$AJ$4+0.25,$AJ$4-(AA107/K107),COUNTA(M107:W107)-(AA107/K107))+Y109</f>
        <v>0</v>
      </c>
      <c r="AA109" s="465">
        <f t="shared" si="113"/>
        <v>0</v>
      </c>
      <c r="AB109" s="367"/>
      <c r="AC109" s="367"/>
      <c r="AD109" s="368">
        <f>+IFERROR(AD107/(K107*$AQ$3),"")</f>
        <v>0.91428571428571426</v>
      </c>
      <c r="AE109" s="369"/>
      <c r="AF109" s="347"/>
      <c r="AG109" s="347">
        <f t="shared" si="101"/>
        <v>0</v>
      </c>
      <c r="AH109" s="341">
        <f t="shared" si="102"/>
        <v>0</v>
      </c>
      <c r="AI109" s="341"/>
      <c r="AJ109" s="356"/>
      <c r="AK109" s="370">
        <f>+$AJ$4</f>
        <v>8.75</v>
      </c>
      <c r="AL109" s="349">
        <f>+IF(AK109=7.75,SUM(M109:S109)+T109*0.75,IF(AK109=8,SUM(M109:T109),IF(AK109=7.25,SUM(M109:S109)+T109*0.25,IF(AK109=8.25,SUM(M109:T109)+U109*0.25,IF(AK109=8.75,SUM(M109:T109)+U109*0.75,0)))))</f>
        <v>0</v>
      </c>
      <c r="AM109" s="341">
        <f>+AL109-AA109</f>
        <v>0</v>
      </c>
      <c r="AN109" s="341"/>
      <c r="AO109" s="341"/>
      <c r="AP109" s="341"/>
      <c r="AQ109" s="369"/>
      <c r="AR109" s="434"/>
      <c r="AT109" s="390">
        <v>0.39560439560439559</v>
      </c>
      <c r="AV109" s="390"/>
    </row>
    <row r="110" spans="2:48" s="419" customFormat="1" ht="91.5" customHeight="1" thickTop="1" thickBot="1" x14ac:dyDescent="0.95">
      <c r="B110" s="414"/>
      <c r="C110" s="414"/>
      <c r="D110" s="415"/>
      <c r="E110" s="415"/>
      <c r="F110" s="415"/>
      <c r="G110" s="415"/>
      <c r="H110" s="415"/>
      <c r="I110" s="415"/>
      <c r="J110" s="415"/>
      <c r="K110" s="415"/>
      <c r="L110" s="416"/>
      <c r="M110" s="416"/>
      <c r="N110" s="416"/>
      <c r="O110" s="416"/>
      <c r="P110" s="416"/>
      <c r="Q110" s="416"/>
      <c r="R110" s="416"/>
      <c r="S110" s="416"/>
      <c r="T110" s="416"/>
      <c r="U110" s="416"/>
      <c r="V110" s="416"/>
      <c r="W110" s="416"/>
      <c r="X110" s="415"/>
      <c r="Y110" s="415"/>
      <c r="Z110" s="415"/>
      <c r="AA110" s="415"/>
      <c r="AB110" s="415"/>
      <c r="AC110" s="415"/>
      <c r="AD110" s="415"/>
      <c r="AE110" s="417"/>
      <c r="AF110" s="418"/>
      <c r="AG110" s="418"/>
      <c r="AK110" s="420"/>
      <c r="AL110" s="421"/>
      <c r="AR110" s="435"/>
    </row>
    <row r="111" spans="2:48" s="419" customFormat="1" ht="91.5" customHeight="1" thickTop="1" thickBot="1" x14ac:dyDescent="0.95">
      <c r="B111" s="414"/>
      <c r="C111" s="414"/>
      <c r="D111" s="415"/>
      <c r="E111" s="415"/>
      <c r="F111" s="415"/>
      <c r="G111" s="415"/>
      <c r="H111" s="415"/>
      <c r="I111" s="415"/>
      <c r="J111" s="415"/>
      <c r="K111" s="415"/>
      <c r="L111" s="378" t="s">
        <v>21</v>
      </c>
      <c r="M111" s="379">
        <f t="shared" ref="M111:W111" si="114">+SUMIF($L$6:$L$110,$L$111,M6:M110)</f>
        <v>1100</v>
      </c>
      <c r="N111" s="379">
        <f t="shared" si="114"/>
        <v>1004</v>
      </c>
      <c r="O111" s="379">
        <f t="shared" si="114"/>
        <v>548</v>
      </c>
      <c r="P111" s="379">
        <f t="shared" si="114"/>
        <v>630</v>
      </c>
      <c r="Q111" s="379">
        <f t="shared" si="114"/>
        <v>787</v>
      </c>
      <c r="R111" s="379">
        <f t="shared" si="114"/>
        <v>980</v>
      </c>
      <c r="S111" s="379">
        <f t="shared" si="114"/>
        <v>0</v>
      </c>
      <c r="T111" s="379">
        <f t="shared" si="114"/>
        <v>0</v>
      </c>
      <c r="U111" s="379">
        <f t="shared" si="114"/>
        <v>0</v>
      </c>
      <c r="V111" s="379">
        <f t="shared" si="114"/>
        <v>0</v>
      </c>
      <c r="W111" s="379">
        <f t="shared" si="114"/>
        <v>0</v>
      </c>
      <c r="X111" s="332"/>
      <c r="Y111" s="332"/>
      <c r="Z111" s="537">
        <f>+SUM(M111:W111)</f>
        <v>5049</v>
      </c>
      <c r="AA111" s="538"/>
      <c r="AB111" s="415"/>
      <c r="AC111" s="415"/>
      <c r="AD111" s="415"/>
      <c r="AE111" s="417"/>
      <c r="AF111" s="418"/>
      <c r="AG111" s="418"/>
      <c r="AK111" s="420"/>
      <c r="AR111" s="435"/>
    </row>
    <row r="112" spans="2:48" s="419" customFormat="1" ht="91.5" customHeight="1" thickTop="1" thickBot="1" x14ac:dyDescent="0.95">
      <c r="B112" s="414"/>
      <c r="C112" s="414"/>
      <c r="D112" s="415"/>
      <c r="E112" s="415"/>
      <c r="F112" s="415"/>
      <c r="G112" s="415"/>
      <c r="H112" s="415"/>
      <c r="I112" s="415"/>
      <c r="J112" s="415"/>
      <c r="K112" s="415"/>
      <c r="L112" s="380"/>
      <c r="M112" s="376"/>
      <c r="N112" s="376"/>
      <c r="O112" s="376"/>
      <c r="P112" s="376"/>
      <c r="Q112" s="376"/>
      <c r="R112" s="376"/>
      <c r="S112" s="376"/>
      <c r="T112" s="376"/>
      <c r="U112" s="376"/>
      <c r="V112" s="376"/>
      <c r="W112" s="376"/>
      <c r="X112" s="332"/>
      <c r="Y112" s="332"/>
      <c r="Z112" s="332"/>
      <c r="AA112" s="332"/>
      <c r="AB112" s="415"/>
      <c r="AC112" s="415"/>
      <c r="AD112" s="415"/>
      <c r="AE112" s="417"/>
      <c r="AF112" s="418"/>
      <c r="AG112" s="418"/>
      <c r="AK112" s="420"/>
      <c r="AR112" s="435"/>
    </row>
    <row r="113" spans="2:44" s="419" customFormat="1" ht="91.5" customHeight="1" thickTop="1" thickBot="1" x14ac:dyDescent="0.95">
      <c r="B113" s="414"/>
      <c r="C113" s="414"/>
      <c r="D113" s="415"/>
      <c r="E113" s="415"/>
      <c r="F113" s="415"/>
      <c r="G113" s="415"/>
      <c r="H113" s="415"/>
      <c r="I113" s="415"/>
      <c r="J113" s="415"/>
      <c r="K113" s="415"/>
      <c r="L113" s="378" t="s">
        <v>17</v>
      </c>
      <c r="M113" s="379">
        <f t="shared" ref="M113:W113" si="115">+SUMIF($L$6:$L$110,$L$113,M6:M110)</f>
        <v>508</v>
      </c>
      <c r="N113" s="379">
        <f t="shared" si="115"/>
        <v>552</v>
      </c>
      <c r="O113" s="379">
        <f t="shared" si="115"/>
        <v>525</v>
      </c>
      <c r="P113" s="379">
        <f t="shared" si="115"/>
        <v>536</v>
      </c>
      <c r="Q113" s="379">
        <f t="shared" si="115"/>
        <v>636</v>
      </c>
      <c r="R113" s="379">
        <f t="shared" si="115"/>
        <v>560</v>
      </c>
      <c r="S113" s="379">
        <f t="shared" si="115"/>
        <v>567</v>
      </c>
      <c r="T113" s="379">
        <f t="shared" si="115"/>
        <v>562</v>
      </c>
      <c r="U113" s="379">
        <f t="shared" si="115"/>
        <v>359</v>
      </c>
      <c r="V113" s="379">
        <f t="shared" si="115"/>
        <v>0</v>
      </c>
      <c r="W113" s="379">
        <f t="shared" si="115"/>
        <v>0</v>
      </c>
      <c r="X113" s="332"/>
      <c r="Y113" s="332"/>
      <c r="Z113" s="537">
        <f>+SUM(M113:W113)</f>
        <v>4805</v>
      </c>
      <c r="AA113" s="538"/>
      <c r="AB113" s="415"/>
      <c r="AC113" s="415"/>
      <c r="AD113" s="415"/>
      <c r="AE113" s="417"/>
      <c r="AF113" s="418"/>
      <c r="AG113" s="418"/>
      <c r="AK113" s="420"/>
      <c r="AR113" s="435"/>
    </row>
    <row r="114" spans="2:44" s="419" customFormat="1" ht="91.5" customHeight="1" thickTop="1" thickBot="1" x14ac:dyDescent="0.95">
      <c r="B114" s="414"/>
      <c r="C114" s="414"/>
      <c r="D114" s="415"/>
      <c r="E114" s="415"/>
      <c r="F114" s="415"/>
      <c r="G114" s="415"/>
      <c r="H114" s="415"/>
      <c r="I114" s="415"/>
      <c r="J114" s="415"/>
      <c r="K114" s="415"/>
      <c r="L114" s="380"/>
      <c r="M114" s="376"/>
      <c r="N114" s="376"/>
      <c r="O114" s="376"/>
      <c r="P114" s="376"/>
      <c r="Q114" s="376"/>
      <c r="R114" s="376"/>
      <c r="S114" s="376"/>
      <c r="T114" s="376"/>
      <c r="U114" s="376"/>
      <c r="V114" s="376"/>
      <c r="W114" s="376"/>
      <c r="X114" s="332"/>
      <c r="Y114" s="332"/>
      <c r="Z114" s="332"/>
      <c r="AA114" s="332"/>
      <c r="AB114" s="415"/>
      <c r="AC114" s="415"/>
      <c r="AD114" s="415"/>
      <c r="AE114" s="417"/>
      <c r="AF114" s="418"/>
      <c r="AG114" s="418"/>
      <c r="AK114" s="420"/>
      <c r="AR114" s="435"/>
    </row>
    <row r="115" spans="2:44" s="419" customFormat="1" ht="91.5" customHeight="1" thickTop="1" thickBot="1" x14ac:dyDescent="0.95">
      <c r="B115" s="414"/>
      <c r="C115" s="414"/>
      <c r="D115" s="422"/>
      <c r="E115" s="422"/>
      <c r="F115" s="422"/>
      <c r="G115" s="422"/>
      <c r="H115" s="422"/>
      <c r="I115" s="422"/>
      <c r="J115" s="423"/>
      <c r="K115" s="422"/>
      <c r="L115" s="378" t="s">
        <v>19</v>
      </c>
      <c r="M115" s="379">
        <f t="shared" ref="M115:W115" si="116">+SUMIF($L$6:$L$110,$L$115,M6:M110)</f>
        <v>8</v>
      </c>
      <c r="N115" s="379">
        <f t="shared" si="116"/>
        <v>8</v>
      </c>
      <c r="O115" s="379">
        <f t="shared" si="116"/>
        <v>8</v>
      </c>
      <c r="P115" s="379">
        <f t="shared" si="116"/>
        <v>8</v>
      </c>
      <c r="Q115" s="379">
        <f t="shared" si="116"/>
        <v>8</v>
      </c>
      <c r="R115" s="379">
        <f t="shared" si="116"/>
        <v>8</v>
      </c>
      <c r="S115" s="379">
        <f t="shared" si="116"/>
        <v>8</v>
      </c>
      <c r="T115" s="379">
        <f t="shared" si="116"/>
        <v>8</v>
      </c>
      <c r="U115" s="379">
        <f t="shared" si="116"/>
        <v>8</v>
      </c>
      <c r="V115" s="379">
        <f t="shared" si="116"/>
        <v>0</v>
      </c>
      <c r="W115" s="379">
        <f t="shared" si="116"/>
        <v>0</v>
      </c>
      <c r="X115" s="381"/>
      <c r="Y115" s="381"/>
      <c r="Z115" s="332"/>
      <c r="AA115" s="332"/>
      <c r="AB115" s="415"/>
      <c r="AC115" s="415"/>
      <c r="AD115" s="415"/>
      <c r="AE115" s="417"/>
      <c r="AF115" s="418"/>
      <c r="AG115" s="418"/>
      <c r="AK115" s="420"/>
      <c r="AR115" s="435"/>
    </row>
    <row r="116" spans="2:44" s="419" customFormat="1" ht="62.25" customHeight="1" thickTop="1" x14ac:dyDescent="0.9">
      <c r="B116" s="414"/>
      <c r="C116" s="414"/>
      <c r="D116" s="422"/>
      <c r="E116" s="422"/>
      <c r="F116" s="422"/>
      <c r="G116" s="422"/>
      <c r="H116" s="422"/>
      <c r="I116" s="424"/>
      <c r="J116" s="423"/>
      <c r="K116" s="422"/>
      <c r="L116" s="380"/>
      <c r="M116" s="382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32"/>
      <c r="Y116" s="332"/>
      <c r="Z116" s="332"/>
      <c r="AA116" s="332"/>
      <c r="AB116" s="415"/>
      <c r="AC116" s="415"/>
      <c r="AD116" s="425"/>
      <c r="AE116" s="417"/>
      <c r="AF116" s="418"/>
      <c r="AG116" s="418"/>
      <c r="AK116" s="420"/>
      <c r="AR116" s="435"/>
    </row>
    <row r="117" spans="2:44" s="98" customFormat="1" ht="62.25" customHeight="1" thickBot="1" x14ac:dyDescent="0.95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384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91"/>
      <c r="AC117" s="91"/>
      <c r="AD117" s="91"/>
      <c r="AE117" s="95"/>
      <c r="AF117" s="158"/>
      <c r="AG117" s="158"/>
      <c r="AK117" s="183"/>
      <c r="AR117" s="434"/>
    </row>
    <row r="118" spans="2:44" s="98" customFormat="1" ht="88.5" customHeight="1" thickTop="1" thickBot="1" x14ac:dyDescent="0.95">
      <c r="B118" s="94"/>
      <c r="C118" s="94"/>
      <c r="D118" s="92"/>
      <c r="E118" s="92"/>
      <c r="F118" s="92"/>
      <c r="G118" s="92"/>
      <c r="H118" s="92"/>
      <c r="I118" s="91"/>
      <c r="J118" s="93"/>
      <c r="K118" s="212" t="s">
        <v>18</v>
      </c>
      <c r="L118" s="385" t="s">
        <v>180</v>
      </c>
      <c r="M118" s="379">
        <f t="shared" ref="M118:W118" si="117">+IF(M121=0,0,SUMIFS($J$6:$J$110,$L$6:$L$110,$K$118))</f>
        <v>9</v>
      </c>
      <c r="N118" s="379">
        <f t="shared" si="117"/>
        <v>9</v>
      </c>
      <c r="O118" s="379">
        <f t="shared" si="117"/>
        <v>9</v>
      </c>
      <c r="P118" s="379">
        <f t="shared" si="117"/>
        <v>9</v>
      </c>
      <c r="Q118" s="379">
        <f t="shared" si="117"/>
        <v>9</v>
      </c>
      <c r="R118" s="379">
        <f t="shared" si="117"/>
        <v>9</v>
      </c>
      <c r="S118" s="379">
        <f t="shared" si="117"/>
        <v>9</v>
      </c>
      <c r="T118" s="379">
        <f t="shared" si="117"/>
        <v>9</v>
      </c>
      <c r="U118" s="379">
        <f t="shared" si="117"/>
        <v>9</v>
      </c>
      <c r="V118" s="379">
        <f t="shared" si="117"/>
        <v>0</v>
      </c>
      <c r="W118" s="379">
        <f t="shared" si="117"/>
        <v>0</v>
      </c>
      <c r="X118" s="383"/>
      <c r="Y118" s="383"/>
      <c r="Z118" s="340"/>
      <c r="AA118" s="340"/>
      <c r="AB118" s="91"/>
      <c r="AC118" s="91"/>
      <c r="AD118" s="91"/>
      <c r="AE118" s="95"/>
      <c r="AF118" s="158"/>
      <c r="AG118" s="158"/>
      <c r="AK118" s="183"/>
      <c r="AR118" s="434"/>
    </row>
    <row r="119" spans="2:44" s="98" customFormat="1" ht="62.25" customHeight="1" thickTop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212"/>
      <c r="L119" s="384"/>
      <c r="M119" s="386"/>
      <c r="N119" s="386"/>
      <c r="O119" s="386"/>
      <c r="P119" s="386"/>
      <c r="Q119" s="386"/>
      <c r="R119" s="386"/>
      <c r="S119" s="386"/>
      <c r="T119" s="386"/>
      <c r="U119" s="386"/>
      <c r="V119" s="386"/>
      <c r="W119" s="386"/>
      <c r="X119" s="340"/>
      <c r="Y119" s="340"/>
      <c r="Z119" s="340"/>
      <c r="AA119" s="340"/>
      <c r="AB119" s="91"/>
      <c r="AC119" s="91"/>
      <c r="AD119" s="91"/>
      <c r="AE119" s="95"/>
      <c r="AF119" s="158"/>
      <c r="AG119" s="158"/>
      <c r="AK119" s="183"/>
      <c r="AR119" s="434"/>
    </row>
    <row r="120" spans="2:44" s="98" customFormat="1" ht="62.25" customHeight="1" thickBot="1" x14ac:dyDescent="0.95">
      <c r="B120" s="94"/>
      <c r="C120" s="94"/>
      <c r="D120" s="92"/>
      <c r="E120" s="92"/>
      <c r="F120" s="92"/>
      <c r="G120" s="92"/>
      <c r="H120" s="92"/>
      <c r="I120" s="92"/>
      <c r="J120" s="93"/>
      <c r="K120" s="212"/>
      <c r="L120" s="384"/>
      <c r="M120" s="340"/>
      <c r="N120" s="340"/>
      <c r="O120" s="340"/>
      <c r="P120" s="340"/>
      <c r="Q120" s="387"/>
      <c r="R120" s="387"/>
      <c r="S120" s="387"/>
      <c r="T120" s="387"/>
      <c r="U120" s="387"/>
      <c r="V120" s="387"/>
      <c r="W120" s="387"/>
      <c r="X120" s="340"/>
      <c r="Y120" s="340"/>
      <c r="Z120" s="340"/>
      <c r="AA120" s="340"/>
      <c r="AB120" s="91"/>
      <c r="AC120" s="91"/>
      <c r="AD120" s="91"/>
      <c r="AE120" s="95"/>
      <c r="AF120" s="158"/>
      <c r="AG120" s="158"/>
      <c r="AK120" s="183"/>
      <c r="AR120" s="434"/>
    </row>
    <row r="121" spans="2:44" s="98" customFormat="1" ht="98.25" customHeight="1" thickTop="1" thickBot="1" x14ac:dyDescent="0.95">
      <c r="B121" s="94"/>
      <c r="C121" s="94"/>
      <c r="D121" s="92"/>
      <c r="E121" s="92"/>
      <c r="F121" s="92"/>
      <c r="G121" s="92"/>
      <c r="H121" s="92"/>
      <c r="I121" s="92"/>
      <c r="J121" s="93"/>
      <c r="K121" s="212"/>
      <c r="L121" s="385" t="s">
        <v>18</v>
      </c>
      <c r="M121" s="379">
        <f t="shared" ref="M121:W121" si="118">+SUMIF($L$6:$L$110,$L$121,M6:M110)</f>
        <v>647</v>
      </c>
      <c r="N121" s="379">
        <f t="shared" si="118"/>
        <v>644</v>
      </c>
      <c r="O121" s="379">
        <f t="shared" si="118"/>
        <v>644</v>
      </c>
      <c r="P121" s="379">
        <f t="shared" si="118"/>
        <v>644</v>
      </c>
      <c r="Q121" s="379">
        <f t="shared" si="118"/>
        <v>644</v>
      </c>
      <c r="R121" s="379">
        <f t="shared" si="118"/>
        <v>644</v>
      </c>
      <c r="S121" s="379">
        <f t="shared" si="118"/>
        <v>644</v>
      </c>
      <c r="T121" s="379">
        <f t="shared" si="118"/>
        <v>644</v>
      </c>
      <c r="U121" s="379">
        <f t="shared" si="118"/>
        <v>644</v>
      </c>
      <c r="V121" s="379">
        <f t="shared" si="118"/>
        <v>0</v>
      </c>
      <c r="W121" s="379">
        <f t="shared" si="118"/>
        <v>0</v>
      </c>
      <c r="X121" s="340"/>
      <c r="Y121" s="340"/>
      <c r="Z121" s="340"/>
      <c r="AA121" s="340"/>
      <c r="AB121" s="91"/>
      <c r="AC121" s="91"/>
      <c r="AD121" s="91"/>
      <c r="AE121" s="95"/>
      <c r="AF121" s="158"/>
      <c r="AG121" s="158"/>
      <c r="AK121" s="183"/>
      <c r="AR121" s="434"/>
    </row>
    <row r="122" spans="2:44" s="98" customFormat="1" ht="62.25" customHeight="1" thickTop="1" x14ac:dyDescent="0.9">
      <c r="B122" s="94"/>
      <c r="C122" s="94"/>
      <c r="D122" s="92"/>
      <c r="E122" s="92"/>
      <c r="F122" s="92"/>
      <c r="G122" s="92"/>
      <c r="H122" s="92"/>
      <c r="I122" s="92"/>
      <c r="J122" s="93"/>
      <c r="K122" s="212"/>
      <c r="L122" s="384"/>
      <c r="M122" s="388"/>
      <c r="N122" s="388"/>
      <c r="O122" s="388"/>
      <c r="P122" s="388"/>
      <c r="Q122" s="388"/>
      <c r="R122" s="388"/>
      <c r="S122" s="388"/>
      <c r="T122" s="388"/>
      <c r="U122" s="388"/>
      <c r="V122" s="388"/>
      <c r="W122" s="388"/>
      <c r="X122" s="340"/>
      <c r="Y122" s="340"/>
      <c r="Z122" s="340"/>
      <c r="AA122" s="340"/>
      <c r="AB122" s="91"/>
      <c r="AC122" s="91"/>
      <c r="AD122" s="91"/>
      <c r="AE122" s="95"/>
      <c r="AF122" s="158"/>
      <c r="AG122" s="158"/>
      <c r="AK122" s="183"/>
      <c r="AR122" s="434"/>
    </row>
    <row r="123" spans="2:44" s="98" customFormat="1" ht="62.25" customHeight="1" thickBot="1" x14ac:dyDescent="0.95">
      <c r="B123" s="94"/>
      <c r="C123" s="94"/>
      <c r="D123" s="92"/>
      <c r="E123" s="92"/>
      <c r="F123" s="92"/>
      <c r="G123" s="92"/>
      <c r="H123" s="92"/>
      <c r="I123" s="92"/>
      <c r="J123" s="93"/>
      <c r="K123" s="212"/>
      <c r="L123" s="384"/>
      <c r="M123" s="340"/>
      <c r="N123" s="340"/>
      <c r="O123" s="340"/>
      <c r="P123" s="340"/>
      <c r="Q123" s="387"/>
      <c r="R123" s="387"/>
      <c r="S123" s="387"/>
      <c r="T123" s="387"/>
      <c r="U123" s="387"/>
      <c r="V123" s="387"/>
      <c r="W123" s="387"/>
      <c r="X123" s="340"/>
      <c r="Y123" s="340"/>
      <c r="Z123" s="340"/>
      <c r="AA123" s="340"/>
      <c r="AB123" s="91"/>
      <c r="AC123" s="91"/>
      <c r="AD123" s="91"/>
      <c r="AE123" s="95"/>
      <c r="AF123" s="158"/>
      <c r="AG123" s="158"/>
      <c r="AK123" s="183"/>
      <c r="AR123" s="434"/>
    </row>
    <row r="124" spans="2:44" s="98" customFormat="1" ht="94.5" customHeight="1" thickTop="1" thickBot="1" x14ac:dyDescent="0.95">
      <c r="B124" s="94"/>
      <c r="C124" s="94"/>
      <c r="D124" s="92"/>
      <c r="E124" s="92"/>
      <c r="F124" s="92"/>
      <c r="G124" s="92"/>
      <c r="H124" s="92"/>
      <c r="I124" s="92"/>
      <c r="J124" s="93"/>
      <c r="K124" s="92"/>
      <c r="L124" s="385" t="s">
        <v>13</v>
      </c>
      <c r="M124" s="379">
        <f>+M121+M118+M115</f>
        <v>664</v>
      </c>
      <c r="N124" s="379">
        <f t="shared" ref="N124:W124" si="119">+N121+N118+N115</f>
        <v>661</v>
      </c>
      <c r="O124" s="379">
        <f t="shared" si="119"/>
        <v>661</v>
      </c>
      <c r="P124" s="379">
        <f t="shared" si="119"/>
        <v>661</v>
      </c>
      <c r="Q124" s="379">
        <f t="shared" si="119"/>
        <v>661</v>
      </c>
      <c r="R124" s="379">
        <f t="shared" si="119"/>
        <v>661</v>
      </c>
      <c r="S124" s="379">
        <f t="shared" si="119"/>
        <v>661</v>
      </c>
      <c r="T124" s="379">
        <f t="shared" si="119"/>
        <v>661</v>
      </c>
      <c r="U124" s="379">
        <f t="shared" si="119"/>
        <v>661</v>
      </c>
      <c r="V124" s="379">
        <f t="shared" si="119"/>
        <v>0</v>
      </c>
      <c r="W124" s="379">
        <f t="shared" si="119"/>
        <v>0</v>
      </c>
      <c r="X124" s="340"/>
      <c r="Y124" s="340"/>
      <c r="Z124" s="340"/>
      <c r="AA124" s="340"/>
      <c r="AB124" s="91"/>
      <c r="AC124" s="91"/>
      <c r="AD124" s="91"/>
      <c r="AE124" s="95"/>
      <c r="AF124" s="155"/>
      <c r="AG124" s="155"/>
      <c r="AK124" s="183"/>
      <c r="AR124" s="434"/>
    </row>
    <row r="125" spans="2:44" s="98" customFormat="1" ht="62.25" thickTop="1" x14ac:dyDescent="0.9">
      <c r="B125" s="94"/>
      <c r="C125" s="94"/>
      <c r="D125" s="92"/>
      <c r="E125" s="92"/>
      <c r="F125" s="92"/>
      <c r="G125" s="92"/>
      <c r="H125" s="92"/>
      <c r="I125" s="92"/>
      <c r="J125" s="93"/>
      <c r="K125" s="92"/>
      <c r="L125" s="389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  <c r="AA125" s="340"/>
      <c r="AB125" s="91"/>
      <c r="AC125" s="91"/>
      <c r="AD125" s="91"/>
      <c r="AE125" s="95"/>
      <c r="AF125" s="158"/>
      <c r="AG125" s="158"/>
      <c r="AK125" s="183"/>
      <c r="AR125" s="434"/>
    </row>
    <row r="126" spans="2:44" x14ac:dyDescent="0.9">
      <c r="J126" s="91"/>
      <c r="K126" s="91"/>
      <c r="T126" s="515"/>
      <c r="U126" s="515"/>
      <c r="V126" s="515"/>
      <c r="AF126" s="158"/>
      <c r="AG126" s="158"/>
    </row>
    <row r="127" spans="2:44" ht="105" customHeight="1" x14ac:dyDescent="0.9">
      <c r="B127" s="426"/>
      <c r="AF127" s="158"/>
      <c r="AG127" s="158"/>
    </row>
    <row r="128" spans="2:44" s="98" customFormat="1" x14ac:dyDescent="0.9">
      <c r="B128" s="94"/>
      <c r="C128" s="94"/>
      <c r="D128" s="92"/>
      <c r="E128" s="92"/>
      <c r="F128" s="92"/>
      <c r="G128" s="92"/>
      <c r="H128" s="92"/>
      <c r="I128" s="92"/>
      <c r="J128" s="93"/>
      <c r="K128" s="92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8"/>
      <c r="AG128" s="158"/>
      <c r="AK128" s="183"/>
      <c r="AR128" s="434"/>
    </row>
    <row r="129" spans="2:44" s="98" customFormat="1" x14ac:dyDescent="0.9">
      <c r="B129" s="94"/>
      <c r="C129" s="94"/>
      <c r="D129" s="92"/>
      <c r="E129" s="92"/>
      <c r="F129" s="92"/>
      <c r="G129" s="92"/>
      <c r="H129" s="92"/>
      <c r="I129" s="91"/>
      <c r="J129" s="93"/>
      <c r="K129" s="92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8"/>
      <c r="AG129" s="158"/>
      <c r="AK129" s="183"/>
      <c r="AR129" s="434"/>
    </row>
    <row r="130" spans="2:44" s="98" customFormat="1" x14ac:dyDescent="0.9">
      <c r="B130" s="94"/>
      <c r="C130" s="94"/>
      <c r="D130" s="92"/>
      <c r="E130" s="92"/>
      <c r="F130" s="92"/>
      <c r="G130" s="92"/>
      <c r="H130" s="92"/>
      <c r="I130" s="92"/>
      <c r="J130" s="93"/>
      <c r="K130" s="92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/>
      <c r="AF130" s="158"/>
      <c r="AG130" s="158"/>
      <c r="AK130" s="183"/>
      <c r="AR130" s="434"/>
    </row>
    <row r="131" spans="2:44" s="98" customFormat="1" ht="66" customHeight="1" x14ac:dyDescent="0.9">
      <c r="B131" s="94"/>
      <c r="C131" s="94"/>
      <c r="D131" s="92"/>
      <c r="E131" s="92"/>
      <c r="F131" s="92"/>
      <c r="G131" s="92"/>
      <c r="H131" s="92"/>
      <c r="I131" s="92"/>
      <c r="J131" s="93"/>
      <c r="K131" s="92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/>
      <c r="AF131" s="158"/>
      <c r="AG131" s="158"/>
      <c r="AK131" s="183"/>
      <c r="AR131" s="434"/>
    </row>
    <row r="133" spans="2:44" s="92" customFormat="1" x14ac:dyDescent="0.7">
      <c r="B133" s="94"/>
      <c r="C133" s="94"/>
      <c r="D133" s="92">
        <v>2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5"/>
      <c r="AG133" s="155"/>
      <c r="AH133" s="98"/>
      <c r="AI133" s="98"/>
      <c r="AJ133" s="98"/>
      <c r="AK133" s="183"/>
      <c r="AL133" s="91"/>
      <c r="AM133" s="91"/>
      <c r="AR133" s="243"/>
    </row>
    <row r="134" spans="2:44" s="92" customFormat="1" x14ac:dyDescent="0.7">
      <c r="B134" s="94"/>
      <c r="C134" s="94"/>
      <c r="H134" s="92">
        <v>1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5"/>
      <c r="AF134" s="155"/>
      <c r="AG134" s="155"/>
      <c r="AH134" s="98"/>
      <c r="AI134" s="98"/>
      <c r="AJ134" s="98"/>
      <c r="AK134" s="183"/>
      <c r="AL134" s="91"/>
      <c r="AM134" s="91"/>
      <c r="AR134" s="243"/>
    </row>
    <row r="135" spans="2:44" s="92" customFormat="1" x14ac:dyDescent="0.7">
      <c r="B135" s="94"/>
      <c r="C135" s="94"/>
      <c r="H135" s="92">
        <v>2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5"/>
      <c r="AF135" s="155"/>
      <c r="AG135" s="155"/>
      <c r="AH135" s="98"/>
      <c r="AI135" s="98"/>
      <c r="AJ135" s="98"/>
      <c r="AK135" s="183"/>
      <c r="AL135" s="91"/>
      <c r="AM135" s="91"/>
      <c r="AR135" s="243"/>
    </row>
    <row r="136" spans="2:44" s="92" customFormat="1" x14ac:dyDescent="0.7">
      <c r="B136" s="94"/>
      <c r="C136" s="94"/>
      <c r="H136" s="92">
        <v>3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5"/>
      <c r="AF136" s="155"/>
      <c r="AG136" s="155"/>
      <c r="AH136" s="98"/>
      <c r="AI136" s="98"/>
      <c r="AJ136" s="98"/>
      <c r="AK136" s="183"/>
      <c r="AL136" s="91"/>
      <c r="AM136" s="91"/>
      <c r="AR136" s="243"/>
    </row>
    <row r="137" spans="2:44" s="92" customFormat="1" x14ac:dyDescent="0.7">
      <c r="B137" s="94"/>
      <c r="C137" s="94"/>
      <c r="H137" s="92">
        <v>4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5"/>
      <c r="AF137" s="155"/>
      <c r="AG137" s="155"/>
      <c r="AH137" s="98"/>
      <c r="AI137" s="98"/>
      <c r="AJ137" s="98"/>
      <c r="AK137" s="183"/>
      <c r="AL137" s="91"/>
      <c r="AM137" s="91"/>
      <c r="AR137" s="243"/>
    </row>
    <row r="138" spans="2:44" s="92" customFormat="1" x14ac:dyDescent="0.7">
      <c r="B138" s="94"/>
      <c r="C138" s="94"/>
      <c r="H138" s="92">
        <v>5</v>
      </c>
      <c r="J138" s="93"/>
      <c r="L138" s="99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5"/>
      <c r="AF138" s="155"/>
      <c r="AG138" s="155"/>
      <c r="AH138" s="98"/>
      <c r="AI138" s="98"/>
      <c r="AJ138" s="98"/>
      <c r="AK138" s="183"/>
      <c r="AL138" s="91"/>
      <c r="AM138" s="91"/>
      <c r="AR138" s="243"/>
    </row>
    <row r="139" spans="2:44" s="92" customFormat="1" x14ac:dyDescent="0.7">
      <c r="B139" s="94"/>
      <c r="C139" s="94"/>
      <c r="H139" s="92">
        <v>6</v>
      </c>
      <c r="J139" s="93"/>
      <c r="L139" s="99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5"/>
      <c r="AF139" s="155"/>
      <c r="AG139" s="155"/>
      <c r="AH139" s="98"/>
      <c r="AI139" s="98"/>
      <c r="AJ139" s="98"/>
      <c r="AK139" s="183"/>
      <c r="AL139" s="91"/>
      <c r="AM139" s="91"/>
      <c r="AR139" s="243"/>
    </row>
    <row r="140" spans="2:44" s="92" customFormat="1" x14ac:dyDescent="0.7">
      <c r="B140" s="94"/>
      <c r="C140" s="94"/>
      <c r="H140" s="92">
        <v>7</v>
      </c>
      <c r="J140" s="93"/>
      <c r="L140" s="99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5"/>
      <c r="AF140" s="155"/>
      <c r="AG140" s="155"/>
      <c r="AH140" s="98"/>
      <c r="AI140" s="98"/>
      <c r="AJ140" s="98"/>
      <c r="AK140" s="183"/>
      <c r="AL140" s="91"/>
      <c r="AM140" s="91"/>
      <c r="AR140" s="243"/>
    </row>
    <row r="141" spans="2:44" s="92" customFormat="1" x14ac:dyDescent="0.7">
      <c r="B141" s="94"/>
      <c r="C141" s="94"/>
      <c r="H141" s="92">
        <v>8</v>
      </c>
      <c r="J141" s="93"/>
      <c r="L141" s="99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5"/>
      <c r="AF141" s="155"/>
      <c r="AG141" s="155"/>
      <c r="AH141" s="98"/>
      <c r="AI141" s="98"/>
      <c r="AJ141" s="98"/>
      <c r="AK141" s="183"/>
      <c r="AL141" s="91"/>
      <c r="AM141" s="91"/>
      <c r="AR141" s="243"/>
    </row>
    <row r="142" spans="2:44" s="92" customFormat="1" x14ac:dyDescent="0.7">
      <c r="B142" s="94"/>
      <c r="C142" s="94"/>
      <c r="H142" s="92">
        <v>11</v>
      </c>
      <c r="J142" s="93"/>
      <c r="L142" s="99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5"/>
      <c r="AF142" s="155"/>
      <c r="AG142" s="155"/>
      <c r="AH142" s="98"/>
      <c r="AI142" s="98"/>
      <c r="AJ142" s="98"/>
      <c r="AK142" s="183"/>
      <c r="AL142" s="91"/>
      <c r="AM142" s="91"/>
      <c r="AR142" s="243"/>
    </row>
    <row r="143" spans="2:44" s="92" customFormat="1" x14ac:dyDescent="0.7">
      <c r="B143" s="94"/>
      <c r="C143" s="94"/>
      <c r="H143" s="92">
        <v>12</v>
      </c>
      <c r="J143" s="93"/>
      <c r="L143" s="99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5"/>
      <c r="AF143" s="155"/>
      <c r="AG143" s="155"/>
      <c r="AH143" s="98"/>
      <c r="AI143" s="98"/>
      <c r="AJ143" s="98"/>
      <c r="AK143" s="183"/>
      <c r="AL143" s="91"/>
      <c r="AM143" s="91"/>
      <c r="AR143" s="243"/>
    </row>
    <row r="144" spans="2:44" s="92" customFormat="1" x14ac:dyDescent="0.7">
      <c r="B144" s="94"/>
      <c r="C144" s="94"/>
      <c r="H144" s="92">
        <v>13</v>
      </c>
      <c r="J144" s="93"/>
      <c r="L144" s="99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5"/>
      <c r="AF144" s="155"/>
      <c r="AG144" s="155"/>
      <c r="AH144" s="98"/>
      <c r="AI144" s="98"/>
      <c r="AJ144" s="98"/>
      <c r="AK144" s="183"/>
      <c r="AL144" s="91"/>
      <c r="AM144" s="91"/>
      <c r="AR144" s="243"/>
    </row>
    <row r="145" spans="2:44" s="92" customFormat="1" x14ac:dyDescent="0.7">
      <c r="B145" s="94"/>
      <c r="C145" s="94"/>
      <c r="H145" s="92">
        <v>14</v>
      </c>
      <c r="J145" s="93"/>
      <c r="L145" s="99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5"/>
      <c r="AF145" s="155"/>
      <c r="AG145" s="155"/>
      <c r="AH145" s="98"/>
      <c r="AI145" s="98"/>
      <c r="AJ145" s="98"/>
      <c r="AK145" s="183"/>
      <c r="AL145" s="91"/>
      <c r="AM145" s="91"/>
      <c r="AR145" s="243"/>
    </row>
    <row r="146" spans="2:44" s="92" customFormat="1" x14ac:dyDescent="0.7">
      <c r="B146" s="94"/>
      <c r="C146" s="94"/>
      <c r="H146" s="92">
        <v>15</v>
      </c>
      <c r="J146" s="93"/>
      <c r="L146" s="99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5"/>
      <c r="AF146" s="155"/>
      <c r="AG146" s="155"/>
      <c r="AH146" s="98"/>
      <c r="AI146" s="98"/>
      <c r="AJ146" s="98"/>
      <c r="AK146" s="183"/>
      <c r="AL146" s="91"/>
      <c r="AM146" s="91"/>
      <c r="AR146" s="243"/>
    </row>
    <row r="147" spans="2:44" s="92" customFormat="1" x14ac:dyDescent="0.7">
      <c r="B147" s="94"/>
      <c r="C147" s="94"/>
      <c r="H147" s="92">
        <v>17</v>
      </c>
      <c r="J147" s="93"/>
      <c r="L147" s="99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5"/>
      <c r="AF147" s="155"/>
      <c r="AG147" s="155"/>
      <c r="AH147" s="98"/>
      <c r="AI147" s="98"/>
      <c r="AJ147" s="98"/>
      <c r="AK147" s="183"/>
      <c r="AL147" s="91"/>
      <c r="AM147" s="91"/>
      <c r="AR147" s="243"/>
    </row>
    <row r="148" spans="2:44" s="92" customFormat="1" x14ac:dyDescent="0.7">
      <c r="B148" s="94"/>
      <c r="C148" s="94"/>
      <c r="H148" s="92">
        <v>18</v>
      </c>
      <c r="J148" s="93"/>
      <c r="L148" s="99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5"/>
      <c r="AF148" s="155"/>
      <c r="AG148" s="155"/>
      <c r="AH148" s="98"/>
      <c r="AI148" s="98"/>
      <c r="AJ148" s="98"/>
      <c r="AK148" s="183"/>
      <c r="AL148" s="91"/>
      <c r="AM148" s="91"/>
      <c r="AR148" s="243"/>
    </row>
    <row r="149" spans="2:44" s="92" customFormat="1" x14ac:dyDescent="0.7">
      <c r="B149" s="94"/>
      <c r="C149" s="94"/>
      <c r="H149" s="92">
        <v>19</v>
      </c>
      <c r="J149" s="93"/>
      <c r="L149" s="99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5"/>
      <c r="AF149" s="155"/>
      <c r="AG149" s="155"/>
      <c r="AH149" s="98"/>
      <c r="AI149" s="98"/>
      <c r="AJ149" s="98"/>
      <c r="AK149" s="183"/>
      <c r="AL149" s="91"/>
      <c r="AM149" s="91"/>
      <c r="AR149" s="243"/>
    </row>
    <row r="205" spans="2:44" s="92" customFormat="1" x14ac:dyDescent="0.7">
      <c r="B205" s="94"/>
      <c r="C205" s="94"/>
      <c r="G205" s="92">
        <v>1</v>
      </c>
      <c r="J205" s="93"/>
      <c r="L205" s="99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5"/>
      <c r="AF205" s="155"/>
      <c r="AG205" s="155"/>
      <c r="AH205" s="98"/>
      <c r="AI205" s="98"/>
      <c r="AJ205" s="98"/>
      <c r="AK205" s="183"/>
      <c r="AL205" s="91"/>
      <c r="AM205" s="91"/>
      <c r="AR205" s="243"/>
    </row>
  </sheetData>
  <sheetProtection algorithmName="SHA-512" hashValue="o0J6LQzxkLEuF6VoXxUMSpo/U2TRgvkFNab5AnEk/sedIbw4QuHXOTHNpRhWwhsfnP2OCbMVNzoDxqOb7mdzkA==" saltValue="x9QCKSHmLMsNz5Ha/P0FDQ==" spinCount="100000" sheet="1" autoFilter="0"/>
  <autoFilter ref="A5:CR109">
    <filterColumn colId="9" showButton="0"/>
  </autoFilter>
  <mergeCells count="75">
    <mergeCell ref="G106:G109"/>
    <mergeCell ref="Z106:Z108"/>
    <mergeCell ref="Z111:AA111"/>
    <mergeCell ref="Z113:AA113"/>
    <mergeCell ref="T126:V126"/>
    <mergeCell ref="G94:G97"/>
    <mergeCell ref="Z94:Z96"/>
    <mergeCell ref="G98:G101"/>
    <mergeCell ref="Z98:Z100"/>
    <mergeCell ref="G102:G105"/>
    <mergeCell ref="Z102:Z104"/>
    <mergeCell ref="AW83:BF83"/>
    <mergeCell ref="G86:G89"/>
    <mergeCell ref="Z86:Z88"/>
    <mergeCell ref="AW87:BG87"/>
    <mergeCell ref="G90:G93"/>
    <mergeCell ref="Z90:Z92"/>
    <mergeCell ref="AW91:BG91"/>
    <mergeCell ref="G74:G77"/>
    <mergeCell ref="Z74:Z76"/>
    <mergeCell ref="G78:G81"/>
    <mergeCell ref="Z78:Z80"/>
    <mergeCell ref="G82:G85"/>
    <mergeCell ref="Z82:Z84"/>
    <mergeCell ref="G70:G73"/>
    <mergeCell ref="Z70:Z72"/>
    <mergeCell ref="G50:G53"/>
    <mergeCell ref="Z50:Z52"/>
    <mergeCell ref="AW51:BF51"/>
    <mergeCell ref="G54:G57"/>
    <mergeCell ref="Z54:Z56"/>
    <mergeCell ref="G58:G61"/>
    <mergeCell ref="Z58:Z60"/>
    <mergeCell ref="AW59:BF59"/>
    <mergeCell ref="G62:G65"/>
    <mergeCell ref="Z62:Z64"/>
    <mergeCell ref="AW63:BF63"/>
    <mergeCell ref="G66:G69"/>
    <mergeCell ref="Z66:Z68"/>
    <mergeCell ref="G46:G49"/>
    <mergeCell ref="Z46:Z48"/>
    <mergeCell ref="AW47:BF47"/>
    <mergeCell ref="G34:G37"/>
    <mergeCell ref="Z34:Z36"/>
    <mergeCell ref="G38:G41"/>
    <mergeCell ref="Z38:Z40"/>
    <mergeCell ref="G42:G45"/>
    <mergeCell ref="Z42:Z44"/>
    <mergeCell ref="G30:G33"/>
    <mergeCell ref="Z30:Z32"/>
    <mergeCell ref="G14:G17"/>
    <mergeCell ref="Z14:Z16"/>
    <mergeCell ref="AW15:BF15"/>
    <mergeCell ref="G18:G21"/>
    <mergeCell ref="Z18:Z20"/>
    <mergeCell ref="AW19:BF19"/>
    <mergeCell ref="G22:G25"/>
    <mergeCell ref="Z22:Z24"/>
    <mergeCell ref="AW23:BF23"/>
    <mergeCell ref="G26:G29"/>
    <mergeCell ref="Z26:Z28"/>
    <mergeCell ref="AD1:AE1"/>
    <mergeCell ref="AD2:AE3"/>
    <mergeCell ref="H3:I3"/>
    <mergeCell ref="K3:L3"/>
    <mergeCell ref="B4:G4"/>
    <mergeCell ref="K4:L4"/>
    <mergeCell ref="AD4:AE4"/>
    <mergeCell ref="G10:G13"/>
    <mergeCell ref="Z10:Z12"/>
    <mergeCell ref="AW11:BF11"/>
    <mergeCell ref="J5:K5"/>
    <mergeCell ref="G6:G9"/>
    <mergeCell ref="Z6:Z8"/>
    <mergeCell ref="AW7:BF7"/>
  </mergeCells>
  <conditionalFormatting sqref="AD2:AE3">
    <cfRule type="cellIs" dxfId="11463" priority="822" operator="lessThan">
      <formula>0.85</formula>
    </cfRule>
  </conditionalFormatting>
  <conditionalFormatting sqref="AM1:AM5 AM110:AM1048576">
    <cfRule type="cellIs" dxfId="11462" priority="821" operator="notEqual">
      <formula>0</formula>
    </cfRule>
  </conditionalFormatting>
  <conditionalFormatting sqref="AQ110:AQ112 AQ58 AQ6 AQ46">
    <cfRule type="cellIs" dxfId="11461" priority="820" operator="lessThan">
      <formula>0</formula>
    </cfRule>
  </conditionalFormatting>
  <conditionalFormatting sqref="X110:Y110 X54:X61 X82:X105 X66:X77 X46:X49">
    <cfRule type="cellIs" dxfId="11460" priority="819" operator="lessThan">
      <formula>0</formula>
    </cfRule>
  </conditionalFormatting>
  <conditionalFormatting sqref="AM26:AM29">
    <cfRule type="cellIs" dxfId="11459" priority="817" operator="notEqual">
      <formula>0</formula>
    </cfRule>
  </conditionalFormatting>
  <conditionalFormatting sqref="I28">
    <cfRule type="cellIs" dxfId="11458" priority="816" operator="greaterThan">
      <formula>0</formula>
    </cfRule>
  </conditionalFormatting>
  <conditionalFormatting sqref="J28">
    <cfRule type="cellIs" dxfId="11457" priority="814" operator="greaterThan">
      <formula>0</formula>
    </cfRule>
  </conditionalFormatting>
  <conditionalFormatting sqref="AM74:AM77">
    <cfRule type="cellIs" dxfId="11456" priority="812" operator="notEqual">
      <formula>0</formula>
    </cfRule>
  </conditionalFormatting>
  <conditionalFormatting sqref="I76">
    <cfRule type="cellIs" dxfId="11455" priority="811" operator="greaterThan">
      <formula>0</formula>
    </cfRule>
  </conditionalFormatting>
  <conditionalFormatting sqref="AM22:AM25">
    <cfRule type="cellIs" dxfId="11454" priority="809" operator="notEqual">
      <formula>0</formula>
    </cfRule>
  </conditionalFormatting>
  <conditionalFormatting sqref="I24">
    <cfRule type="cellIs" dxfId="11453" priority="808" operator="greaterThan">
      <formula>0</formula>
    </cfRule>
  </conditionalFormatting>
  <conditionalFormatting sqref="J24">
    <cfRule type="cellIs" dxfId="11452" priority="807" operator="greaterThan">
      <formula>0</formula>
    </cfRule>
  </conditionalFormatting>
  <conditionalFormatting sqref="AM14:AM17">
    <cfRule type="cellIs" dxfId="11451" priority="802" operator="notEqual">
      <formula>0</formula>
    </cfRule>
  </conditionalFormatting>
  <conditionalFormatting sqref="I16">
    <cfRule type="cellIs" dxfId="11450" priority="801" operator="greaterThan">
      <formula>0</formula>
    </cfRule>
  </conditionalFormatting>
  <conditionalFormatting sqref="AM94:AM97">
    <cfRule type="cellIs" dxfId="11449" priority="796" operator="notEqual">
      <formula>0</formula>
    </cfRule>
  </conditionalFormatting>
  <conditionalFormatting sqref="I96">
    <cfRule type="cellIs" dxfId="11448" priority="795" operator="greaterThan">
      <formula>0</formula>
    </cfRule>
  </conditionalFormatting>
  <conditionalFormatting sqref="AM66:AM69">
    <cfRule type="cellIs" dxfId="11447" priority="793" operator="notEqual">
      <formula>0</formula>
    </cfRule>
  </conditionalFormatting>
  <conditionalFormatting sqref="I68">
    <cfRule type="cellIs" dxfId="11446" priority="792" operator="greaterThan">
      <formula>0</formula>
    </cfRule>
  </conditionalFormatting>
  <conditionalFormatting sqref="J68">
    <cfRule type="cellIs" dxfId="11445" priority="791" operator="greaterThan">
      <formula>0</formula>
    </cfRule>
  </conditionalFormatting>
  <conditionalFormatting sqref="J96">
    <cfRule type="cellIs" dxfId="11444" priority="788" operator="greaterThan">
      <formula>0</formula>
    </cfRule>
  </conditionalFormatting>
  <conditionalFormatting sqref="AM70:AM73">
    <cfRule type="cellIs" dxfId="11443" priority="785" operator="notEqual">
      <formula>0</formula>
    </cfRule>
  </conditionalFormatting>
  <conditionalFormatting sqref="I72">
    <cfRule type="cellIs" dxfId="11442" priority="784" operator="greaterThan">
      <formula>0</formula>
    </cfRule>
  </conditionalFormatting>
  <conditionalFormatting sqref="J72">
    <cfRule type="cellIs" dxfId="11441" priority="783" operator="greaterThan">
      <formula>0</formula>
    </cfRule>
  </conditionalFormatting>
  <conditionalFormatting sqref="AM82:AM85">
    <cfRule type="cellIs" dxfId="11440" priority="781" operator="notEqual">
      <formula>0</formula>
    </cfRule>
  </conditionalFormatting>
  <conditionalFormatting sqref="I84">
    <cfRule type="cellIs" dxfId="11439" priority="780" operator="greaterThan">
      <formula>0</formula>
    </cfRule>
  </conditionalFormatting>
  <conditionalFormatting sqref="AM86:AM89">
    <cfRule type="cellIs" dxfId="11438" priority="778" operator="notEqual">
      <formula>0</formula>
    </cfRule>
  </conditionalFormatting>
  <conditionalFormatting sqref="I88">
    <cfRule type="cellIs" dxfId="11437" priority="777" operator="greaterThan">
      <formula>0</formula>
    </cfRule>
  </conditionalFormatting>
  <conditionalFormatting sqref="AM102:AM105">
    <cfRule type="cellIs" dxfId="11436" priority="775" operator="notEqual">
      <formula>0</formula>
    </cfRule>
  </conditionalFormatting>
  <conditionalFormatting sqref="I104">
    <cfRule type="cellIs" dxfId="11435" priority="774" operator="greaterThan">
      <formula>0</formula>
    </cfRule>
  </conditionalFormatting>
  <conditionalFormatting sqref="J84">
    <cfRule type="cellIs" dxfId="11434" priority="773" operator="greaterThan">
      <formula>0</formula>
    </cfRule>
  </conditionalFormatting>
  <conditionalFormatting sqref="J88">
    <cfRule type="cellIs" dxfId="11433" priority="772" operator="greaterThan">
      <formula>0</formula>
    </cfRule>
  </conditionalFormatting>
  <conditionalFormatting sqref="J104">
    <cfRule type="cellIs" dxfId="11432" priority="771" operator="greaterThan">
      <formula>0</formula>
    </cfRule>
  </conditionalFormatting>
  <conditionalFormatting sqref="AM34:AM37">
    <cfRule type="cellIs" dxfId="11431" priority="769" operator="notEqual">
      <formula>0</formula>
    </cfRule>
  </conditionalFormatting>
  <conditionalFormatting sqref="I36">
    <cfRule type="cellIs" dxfId="11430" priority="768" operator="greaterThan">
      <formula>0</formula>
    </cfRule>
  </conditionalFormatting>
  <conditionalFormatting sqref="J36">
    <cfRule type="cellIs" dxfId="11429" priority="767" operator="greaterThan">
      <formula>0</formula>
    </cfRule>
  </conditionalFormatting>
  <conditionalFormatting sqref="J16">
    <cfRule type="cellIs" dxfId="11428" priority="766" operator="greaterThan">
      <formula>0</formula>
    </cfRule>
  </conditionalFormatting>
  <conditionalFormatting sqref="AM58:AM61">
    <cfRule type="cellIs" dxfId="11427" priority="764" operator="notEqual">
      <formula>0</formula>
    </cfRule>
  </conditionalFormatting>
  <conditionalFormatting sqref="I60">
    <cfRule type="cellIs" dxfId="11426" priority="763" operator="greaterThan">
      <formula>0</formula>
    </cfRule>
  </conditionalFormatting>
  <conditionalFormatting sqref="J60">
    <cfRule type="cellIs" dxfId="11425" priority="762" operator="greaterThan">
      <formula>0</formula>
    </cfRule>
  </conditionalFormatting>
  <conditionalFormatting sqref="AM46:AM49">
    <cfRule type="cellIs" dxfId="11424" priority="760" operator="notEqual">
      <formula>0</formula>
    </cfRule>
  </conditionalFormatting>
  <conditionalFormatting sqref="I48">
    <cfRule type="cellIs" dxfId="11423" priority="759" operator="greaterThan">
      <formula>0</formula>
    </cfRule>
  </conditionalFormatting>
  <conditionalFormatting sqref="AM38:AM41">
    <cfRule type="cellIs" dxfId="11422" priority="757" operator="notEqual">
      <formula>0</formula>
    </cfRule>
  </conditionalFormatting>
  <conditionalFormatting sqref="I40">
    <cfRule type="cellIs" dxfId="11421" priority="756" operator="greaterThan">
      <formula>0</formula>
    </cfRule>
  </conditionalFormatting>
  <conditionalFormatting sqref="J40">
    <cfRule type="cellIs" dxfId="11420" priority="755" operator="greaterThan">
      <formula>0</formula>
    </cfRule>
  </conditionalFormatting>
  <conditionalFormatting sqref="J76">
    <cfRule type="cellIs" dxfId="11419" priority="753" operator="greaterThan">
      <formula>0</formula>
    </cfRule>
  </conditionalFormatting>
  <conditionalFormatting sqref="AM54:AM57">
    <cfRule type="cellIs" dxfId="11418" priority="731" operator="notEqual">
      <formula>0</formula>
    </cfRule>
  </conditionalFormatting>
  <conditionalFormatting sqref="I56">
    <cfRule type="cellIs" dxfId="11417" priority="730" operator="greaterThan">
      <formula>0</formula>
    </cfRule>
  </conditionalFormatting>
  <conditionalFormatting sqref="J56">
    <cfRule type="cellIs" dxfId="11416" priority="729" operator="greaterThan">
      <formula>0</formula>
    </cfRule>
  </conditionalFormatting>
  <conditionalFormatting sqref="AQ6 AQ14 AQ22 AQ26 AQ30 AQ34 AQ38 AQ42 AQ46 AQ50 AQ54 AQ58 AQ66 AQ70 AQ74 AQ78 AQ82 AQ86 AQ90 AQ94 AQ98 AQ102">
    <cfRule type="cellIs" dxfId="11415" priority="712" operator="lessThan">
      <formula>0</formula>
    </cfRule>
  </conditionalFormatting>
  <conditionalFormatting sqref="AQ8:AQ9 AQ16:AQ17 AQ24:AQ26 AQ28:AQ30 AQ32:AQ34 AQ36:AQ38 AQ40:AQ42 AQ44:AQ45 AQ48:AQ50 AQ52:AQ54 AQ56:AQ58 AQ60:AQ61 AQ68:AQ70 AQ72:AQ74 AQ76:AQ78 AQ80:AQ82 AQ84:AQ86 AQ88:AQ90 AQ92:AQ94 AQ96:AQ98 AQ100:AQ102 AQ104:AQ105 AQ22 AQ66 AQ14">
    <cfRule type="cellIs" dxfId="11414" priority="711" operator="lessThan">
      <formula>0</formula>
    </cfRule>
  </conditionalFormatting>
  <conditionalFormatting sqref="AQ8:AQ9 AQ16:AQ17 AQ24:AQ26 AQ28:AQ30 AQ32:AQ34 AQ36:AQ38 AQ40:AQ42 AQ44:AQ45 AQ48:AQ50 AQ52:AQ54 AQ56:AQ58 AQ60:AQ61 AQ68:AQ70 AQ72:AQ74 AQ76:AQ78 AQ80:AQ82 AQ84:AQ86 AQ88:AQ90 AQ92:AQ94 AQ96:AQ98 AQ100:AQ102 AQ104:AQ105 AQ22 AQ66 AQ14">
    <cfRule type="cellIs" dxfId="11413" priority="710" operator="lessThan">
      <formula>0</formula>
    </cfRule>
  </conditionalFormatting>
  <conditionalFormatting sqref="AQ8:AQ9 AQ16:AQ17 AQ24:AQ26 AQ28:AQ30 AQ32:AQ34 AQ36:AQ38 AQ40:AQ42 AQ44:AQ45 AQ48:AQ50 AQ52:AQ54 AQ56:AQ58 AQ60:AQ61 AQ68:AQ70 AQ72:AQ74 AQ76:AQ78 AQ80:AQ82 AQ84:AQ86 AQ88:AQ90 AQ92:AQ94 AQ96:AQ98 AQ100:AQ102 AQ104:AQ105 AQ22 AQ66 AQ14">
    <cfRule type="cellIs" dxfId="11412" priority="709" operator="lessThan">
      <formula>0</formula>
    </cfRule>
  </conditionalFormatting>
  <conditionalFormatting sqref="AQ8:AQ9 AQ16:AQ17 AQ24:AQ26 AQ28:AQ30 AQ32:AQ34 AQ36:AQ38 AQ40:AQ42 AQ44:AQ45 AQ48:AQ50 AQ52:AQ54 AQ56:AQ58 AQ60:AQ61 AQ68:AQ70 AQ72:AQ74 AQ76:AQ78 AQ80:AQ82 AQ84:AQ86 AQ88:AQ90 AQ92:AQ94 AQ96:AQ98 AQ100:AQ102 AQ104:AQ105 AQ22 AQ66 AQ14">
    <cfRule type="cellIs" dxfId="11411" priority="708" operator="lessThan">
      <formula>0</formula>
    </cfRule>
  </conditionalFormatting>
  <conditionalFormatting sqref="AQ8:AQ9 AQ16:AQ17 AQ24:AQ25 AQ28:AQ29 AQ32:AQ33 AQ36:AQ37 AQ40:AQ41 AQ44:AQ45 AQ48:AQ49 AQ52:AQ53 AQ56:AQ57 AQ60:AQ61 AQ68:AQ69 AQ72:AQ73 AQ76:AQ77 AQ80:AQ81 AQ84:AQ85 AQ88:AQ89 AQ92:AQ93 AQ96:AQ97 AQ100:AQ101 AQ104:AQ105">
    <cfRule type="cellIs" dxfId="11410" priority="707" operator="lessThan">
      <formula>0</formula>
    </cfRule>
  </conditionalFormatting>
  <conditionalFormatting sqref="AQ8:AQ9 AQ16:AQ17 AQ24:AQ25 AQ28:AQ29 AQ32:AQ33 AQ36:AQ37 AQ40:AQ41 AQ44:AQ45 AQ48:AQ49 AQ52:AQ53 AQ56:AQ57 AQ60:AQ61 AQ68:AQ69 AQ72:AQ73 AQ76:AQ77 AQ80:AQ81 AQ84:AQ85 AQ88:AQ89 AQ92:AQ93 AQ96:AQ97 AQ100:AQ101 AQ104:AQ105">
    <cfRule type="cellIs" dxfId="11409" priority="706" operator="lessThan">
      <formula>0</formula>
    </cfRule>
  </conditionalFormatting>
  <conditionalFormatting sqref="AQ8:AQ9 AQ16:AQ17 AQ24:AQ25 AQ28:AQ29 AQ32:AQ33 AQ36:AQ37 AQ40:AQ41 AQ44:AQ45 AQ48:AQ49 AQ52:AQ53 AQ56:AQ57 AQ60:AQ61 AQ68:AQ69 AQ72:AQ73 AQ76:AQ77 AQ80:AQ81 AQ84:AQ85 AQ88:AQ89 AQ92:AQ93 AQ96:AQ97 AQ100:AQ101 AQ104:AQ105">
    <cfRule type="cellIs" dxfId="11408" priority="705" operator="lessThan">
      <formula>0</formula>
    </cfRule>
  </conditionalFormatting>
  <conditionalFormatting sqref="AQ8:AQ9 AQ16:AQ17 AQ24:AQ25 AQ28:AQ29 AQ32:AQ33 AQ36:AQ37 AQ40:AQ41 AQ44:AQ45 AQ48:AQ49 AQ52:AQ53 AQ56:AQ57 AQ60:AQ61 AQ68:AQ69 AQ72:AQ73 AQ76:AQ77 AQ80:AQ81 AQ84:AQ85 AQ88:AQ89 AQ92:AQ93 AQ96:AQ97 AQ100:AQ101 AQ104:AQ105">
    <cfRule type="cellIs" dxfId="11407" priority="704" operator="lessThan">
      <formula>0</formula>
    </cfRule>
  </conditionalFormatting>
  <conditionalFormatting sqref="AQ15 AQ23 AQ27 AQ35 AQ39 AQ47 AQ51 AQ55 AQ59 AQ67 AQ71 AQ75 AQ79 AQ83 AQ87 AQ91 AQ95 AQ99 AQ103 AQ7 AQ31 AQ43">
    <cfRule type="cellIs" dxfId="11406" priority="703" operator="lessThan">
      <formula>0</formula>
    </cfRule>
  </conditionalFormatting>
  <conditionalFormatting sqref="AQ15 AQ23 AQ27 AQ35 AQ39 AQ47 AQ51 AQ55 AQ59 AQ67 AQ71 AQ75 AQ79 AQ83 AQ87 AQ91 AQ95 AQ99 AQ103 AQ7 AQ31 AQ43">
    <cfRule type="cellIs" dxfId="11405" priority="702" operator="lessThan">
      <formula>0</formula>
    </cfRule>
  </conditionalFormatting>
  <conditionalFormatting sqref="AQ15 AQ23 AQ27 AQ35 AQ39 AQ47 AQ51 AQ55 AQ59 AQ67 AQ71 AQ75 AQ79 AQ83 AQ87 AQ91 AQ95 AQ99 AQ103 AQ7 AQ31 AQ43">
    <cfRule type="cellIs" dxfId="11404" priority="701" operator="lessThan">
      <formula>0</formula>
    </cfRule>
  </conditionalFormatting>
  <conditionalFormatting sqref="AQ15 AQ23 AQ27 AQ35 AQ39 AQ47 AQ51 AQ55 AQ59 AQ67 AQ71 AQ75 AQ79 AQ83 AQ87 AQ91 AQ95 AQ99 AQ103 AQ7 AQ31 AQ43">
    <cfRule type="cellIs" dxfId="11403" priority="700" operator="lessThan">
      <formula>0</formula>
    </cfRule>
  </conditionalFormatting>
  <conditionalFormatting sqref="AQ15 AQ23 AQ27 AQ35 AQ39 AQ47 AQ51 AQ55 AQ59 AQ67 AQ71 AQ75 AQ79 AQ83 AQ87 AQ91 AQ95 AQ99 AQ103 AQ7 AQ31 AQ43">
    <cfRule type="cellIs" dxfId="11402" priority="699" operator="lessThan">
      <formula>0</formula>
    </cfRule>
  </conditionalFormatting>
  <conditionalFormatting sqref="AQ15 AQ23 AQ27 AQ35 AQ39 AQ47 AQ51 AQ55 AQ59 AQ67 AQ71 AQ75 AQ79 AQ83 AQ87 AQ91 AQ95 AQ99 AQ103 AQ7 AQ31 AQ43">
    <cfRule type="cellIs" dxfId="11401" priority="698" operator="lessThan">
      <formula>0</formula>
    </cfRule>
  </conditionalFormatting>
  <conditionalFormatting sqref="AQ15 AQ23 AQ27 AQ35 AQ39 AQ47 AQ51 AQ55 AQ59 AQ67 AQ71 AQ75 AQ79 AQ83 AQ87 AQ91 AQ95 AQ99 AQ103 AQ7 AQ31 AQ43">
    <cfRule type="cellIs" dxfId="11400" priority="697" operator="lessThan">
      <formula>0</formula>
    </cfRule>
  </conditionalFormatting>
  <conditionalFormatting sqref="AQ15 AQ23 AQ27 AQ35 AQ39 AQ47 AQ51 AQ55 AQ59 AQ67 AQ71 AQ75 AQ79 AQ83 AQ87 AQ91 AQ95 AQ99 AQ103 AQ7 AQ31 AQ43">
    <cfRule type="cellIs" dxfId="11399" priority="696" operator="lessThan">
      <formula>0</formula>
    </cfRule>
  </conditionalFormatting>
  <conditionalFormatting sqref="AQ15 AQ23 AQ27 AQ35 AQ39 AQ47 AQ51 AQ55 AQ59 AQ67 AQ71 AQ75 AQ79 AQ83 AQ87 AQ91 AQ95 AQ99 AQ103 AQ7 AQ31 AQ43">
    <cfRule type="cellIs" dxfId="11398" priority="695" operator="lessThan">
      <formula>0</formula>
    </cfRule>
  </conditionalFormatting>
  <conditionalFormatting sqref="AQ15 AQ23 AQ27 AQ35 AQ39 AQ47 AQ51 AQ55 AQ59 AQ67 AQ71 AQ75 AQ79 AQ83 AQ87 AQ91 AQ95 AQ99 AQ103 AQ7 AQ31 AQ43">
    <cfRule type="cellIs" dxfId="11397" priority="694" operator="lessThan">
      <formula>0</formula>
    </cfRule>
  </conditionalFormatting>
  <conditionalFormatting sqref="AQ15 AQ23 AQ27 AQ35 AQ39 AQ47 AQ51 AQ55 AQ59 AQ67 AQ71 AQ75 AQ79 AQ83 AQ87 AQ91 AQ95 AQ99 AQ103 AQ7 AQ31 AQ43">
    <cfRule type="cellIs" dxfId="11396" priority="693" operator="lessThan">
      <formula>0</formula>
    </cfRule>
  </conditionalFormatting>
  <conditionalFormatting sqref="AQ15 AQ23 AQ27 AQ35 AQ39 AQ47 AQ51 AQ55 AQ59 AQ67 AQ71 AQ75 AQ79 AQ83 AQ87 AQ91 AQ95 AQ99 AQ103 AQ7 AQ31 AQ43">
    <cfRule type="cellIs" dxfId="11395" priority="692" operator="lessThan">
      <formula>0</formula>
    </cfRule>
  </conditionalFormatting>
  <conditionalFormatting sqref="AQ15 AQ23 AQ27 AQ35 AQ39 AQ47 AQ51 AQ55 AQ59 AQ67 AQ71 AQ75 AQ79 AQ83 AQ87 AQ91 AQ95 AQ99 AQ103 AQ7 AQ31 AQ43">
    <cfRule type="cellIs" dxfId="11394" priority="691" operator="lessThan">
      <formula>0</formula>
    </cfRule>
  </conditionalFormatting>
  <conditionalFormatting sqref="AQ15 AQ23 AQ27 AQ35 AQ39 AQ47 AQ51 AQ55 AQ59 AQ67 AQ71 AQ75 AQ79 AQ83 AQ87 AQ91 AQ95 AQ99 AQ103 AQ7 AQ31 AQ43">
    <cfRule type="cellIs" dxfId="11393" priority="690" operator="lessThan">
      <formula>0</formula>
    </cfRule>
  </conditionalFormatting>
  <conditionalFormatting sqref="AQ15 AQ23 AQ27 AQ35 AQ39 AQ47 AQ51 AQ55 AQ59 AQ67 AQ71 AQ75 AQ79 AQ83 AQ87 AQ91 AQ95 AQ99 AQ103 AQ7 AQ31 AQ43">
    <cfRule type="cellIs" dxfId="11392" priority="689" operator="lessThan">
      <formula>0</formula>
    </cfRule>
  </conditionalFormatting>
  <conditionalFormatting sqref="AQ15 AQ23 AQ27 AQ35 AQ39 AQ47 AQ51 AQ55 AQ59 AQ67 AQ71 AQ75 AQ79 AQ83 AQ87 AQ91 AQ95 AQ99 AQ103 AQ7 AQ31 AQ43">
    <cfRule type="cellIs" dxfId="11391" priority="688" operator="lessThan">
      <formula>0</formula>
    </cfRule>
  </conditionalFormatting>
  <conditionalFormatting sqref="AQ15 AQ23 AQ27 AQ35 AQ39 AQ47 AQ51 AQ55 AQ59 AQ67 AQ71 AQ75 AQ79 AQ83 AQ87 AQ91 AQ95 AQ99 AQ103 AQ7 AQ31 AQ43">
    <cfRule type="cellIs" dxfId="11390" priority="687" operator="lessThan">
      <formula>0</formula>
    </cfRule>
  </conditionalFormatting>
  <conditionalFormatting sqref="AQ15 AQ23 AQ27 AQ35 AQ39 AQ47 AQ51 AQ55 AQ59 AQ67 AQ71 AQ75 AQ79 AQ83 AQ87 AQ91 AQ95 AQ99 AQ103 AQ7 AQ31 AQ43">
    <cfRule type="cellIs" dxfId="11389" priority="686" operator="lessThan">
      <formula>0</formula>
    </cfRule>
  </conditionalFormatting>
  <conditionalFormatting sqref="AQ15 AQ23 AQ27 AQ35 AQ39 AQ47 AQ51 AQ55 AQ59 AQ67 AQ71 AQ75 AQ79 AQ83 AQ87 AQ91 AQ95 AQ99 AQ103 AQ7 AQ31 AQ43">
    <cfRule type="cellIs" dxfId="11388" priority="685" operator="lessThan">
      <formula>0</formula>
    </cfRule>
  </conditionalFormatting>
  <conditionalFormatting sqref="AQ15 AQ23 AQ27 AQ35 AQ39 AQ47 AQ51 AQ55 AQ59 AQ67 AQ71 AQ75 AQ79 AQ83 AQ87 AQ91 AQ95 AQ99 AQ103 AQ7 AQ31 AQ43">
    <cfRule type="cellIs" dxfId="11387" priority="684" operator="lessThan">
      <formula>0</formula>
    </cfRule>
  </conditionalFormatting>
  <conditionalFormatting sqref="AQ15 AQ23 AQ27 AQ35 AQ39 AQ47 AQ51 AQ55 AQ59 AQ67 AQ71 AQ75 AQ79 AQ83 AQ87 AQ91 AQ95 AQ99 AQ103 AQ7 AQ31 AQ43">
    <cfRule type="cellIs" dxfId="11386" priority="683" operator="lessThan">
      <formula>0</formula>
    </cfRule>
  </conditionalFormatting>
  <conditionalFormatting sqref="AQ15 AQ23 AQ27 AQ35 AQ39 AQ47 AQ51 AQ55 AQ59 AQ67 AQ71 AQ75 AQ79 AQ83 AQ87 AQ91 AQ95 AQ99 AQ103 AQ7 AQ31 AQ43">
    <cfRule type="cellIs" dxfId="11385" priority="682" operator="lessThan">
      <formula>0</formula>
    </cfRule>
  </conditionalFormatting>
  <conditionalFormatting sqref="AQ15 AQ23 AQ27 AQ35 AQ39 AQ47 AQ51 AQ55 AQ59 AQ67 AQ71 AQ75 AQ79 AQ83 AQ87 AQ91 AQ95 AQ99 AQ103 AQ7 AQ31 AQ43">
    <cfRule type="cellIs" dxfId="11384" priority="681" operator="lessThan">
      <formula>0</formula>
    </cfRule>
  </conditionalFormatting>
  <conditionalFormatting sqref="AQ15 AQ23 AQ27 AQ35 AQ39 AQ47 AQ51 AQ55 AQ59 AQ67 AQ71 AQ75 AQ79 AQ83 AQ87 AQ91 AQ95 AQ99 AQ103 AQ7 AQ31 AQ43">
    <cfRule type="cellIs" dxfId="11383" priority="680" operator="lessThan">
      <formula>0</formula>
    </cfRule>
  </conditionalFormatting>
  <conditionalFormatting sqref="AQ15 AQ23 AQ27 AQ35 AQ39 AQ47 AQ51 AQ55 AQ59 AQ67 AQ71 AQ75 AQ79 AQ83 AQ87 AQ91 AQ95 AQ99 AQ103 AQ7 AQ31 AQ43">
    <cfRule type="cellIs" dxfId="11382" priority="679" operator="lessThan">
      <formula>0</formula>
    </cfRule>
  </conditionalFormatting>
  <conditionalFormatting sqref="AQ15 AQ23 AQ27 AQ35 AQ39 AQ47 AQ51 AQ55 AQ59 AQ67 AQ71 AQ75 AQ79 AQ83 AQ87 AQ91 AQ95 AQ99 AQ103 AQ7 AQ31 AQ43">
    <cfRule type="cellIs" dxfId="11381" priority="678" operator="lessThan">
      <formula>0</formula>
    </cfRule>
  </conditionalFormatting>
  <conditionalFormatting sqref="AQ15 AQ23 AQ27 AQ35 AQ39 AQ47 AQ51 AQ55 AQ59 AQ67 AQ71 AQ75 AQ79 AQ83 AQ87 AQ91 AQ95 AQ99 AQ103 AQ7 AQ31 AQ43">
    <cfRule type="cellIs" dxfId="11380" priority="677" operator="lessThan">
      <formula>0</formula>
    </cfRule>
  </conditionalFormatting>
  <conditionalFormatting sqref="AQ15 AQ23 AQ27 AQ35 AQ39 AQ47 AQ51 AQ55 AQ59 AQ67 AQ71 AQ75 AQ79 AQ83 AQ87 AQ91 AQ95 AQ99 AQ103 AQ7 AQ31 AQ43">
    <cfRule type="cellIs" dxfId="11379" priority="676" operator="lessThan">
      <formula>0</formula>
    </cfRule>
  </conditionalFormatting>
  <conditionalFormatting sqref="AQ15 AQ23 AQ27 AQ35 AQ39 AQ47 AQ51 AQ55 AQ59 AQ67 AQ71 AQ75 AQ79 AQ83 AQ87 AQ91 AQ95 AQ99 AQ103 AQ7 AQ31 AQ43">
    <cfRule type="cellIs" dxfId="11378" priority="675" operator="lessThan">
      <formula>0</formula>
    </cfRule>
  </conditionalFormatting>
  <conditionalFormatting sqref="AQ15 AQ23 AQ27 AQ35 AQ39 AQ47 AQ51 AQ55 AQ59 AQ67 AQ71 AQ75 AQ79 AQ83 AQ87 AQ91 AQ95 AQ99 AQ103 AQ7 AQ31 AQ43">
    <cfRule type="cellIs" dxfId="11377" priority="674" operator="lessThan">
      <formula>0</formula>
    </cfRule>
  </conditionalFormatting>
  <conditionalFormatting sqref="AQ15 AQ23 AQ27 AQ35 AQ39 AQ47 AQ51 AQ55 AQ59 AQ67 AQ71 AQ75 AQ79 AQ83 AQ87 AQ91 AQ95 AQ99 AQ103 AQ7 AQ31 AQ43">
    <cfRule type="cellIs" dxfId="11376" priority="673" operator="lessThan">
      <formula>0</formula>
    </cfRule>
  </conditionalFormatting>
  <conditionalFormatting sqref="AQ15 AQ23 AQ27 AQ35 AQ39 AQ47 AQ51 AQ55 AQ59 AQ67 AQ71 AQ75 AQ79 AQ83 AQ87 AQ91 AQ95 AQ99 AQ103 AQ7 AQ31 AQ43">
    <cfRule type="cellIs" dxfId="11375" priority="672" operator="lessThan">
      <formula>0</formula>
    </cfRule>
  </conditionalFormatting>
  <conditionalFormatting sqref="AQ6">
    <cfRule type="cellIs" dxfId="11374" priority="671" operator="lessThan">
      <formula>0</formula>
    </cfRule>
  </conditionalFormatting>
  <conditionalFormatting sqref="AQ6 AQ8:AQ9">
    <cfRule type="cellIs" dxfId="11373" priority="670" operator="lessThan">
      <formula>0</formula>
    </cfRule>
  </conditionalFormatting>
  <conditionalFormatting sqref="AM6:AM9">
    <cfRule type="cellIs" dxfId="11372" priority="669" operator="notEqual">
      <formula>0</formula>
    </cfRule>
  </conditionalFormatting>
  <conditionalFormatting sqref="I8">
    <cfRule type="cellIs" dxfId="11371" priority="668" operator="greaterThan">
      <formula>0</formula>
    </cfRule>
  </conditionalFormatting>
  <conditionalFormatting sqref="AQ6 AQ8:AQ9">
    <cfRule type="cellIs" dxfId="11370" priority="667" operator="lessThan">
      <formula>0</formula>
    </cfRule>
  </conditionalFormatting>
  <conditionalFormatting sqref="AQ6 AQ8:AQ9">
    <cfRule type="cellIs" dxfId="11369" priority="666" operator="lessThan">
      <formula>0</formula>
    </cfRule>
  </conditionalFormatting>
  <conditionalFormatting sqref="AQ6 AQ8:AQ9">
    <cfRule type="cellIs" dxfId="11368" priority="665" operator="lessThan">
      <formula>0</formula>
    </cfRule>
  </conditionalFormatting>
  <conditionalFormatting sqref="J8">
    <cfRule type="cellIs" dxfId="11367" priority="664" operator="greaterThan">
      <formula>0</formula>
    </cfRule>
  </conditionalFormatting>
  <conditionalFormatting sqref="AQ8:AQ9">
    <cfRule type="cellIs" dxfId="11366" priority="663" operator="lessThan">
      <formula>0</formula>
    </cfRule>
  </conditionalFormatting>
  <conditionalFormatting sqref="AQ8:AQ9">
    <cfRule type="cellIs" dxfId="11365" priority="662" operator="lessThan">
      <formula>0</formula>
    </cfRule>
  </conditionalFormatting>
  <conditionalFormatting sqref="AQ8:AQ9">
    <cfRule type="cellIs" dxfId="11364" priority="661" operator="lessThan">
      <formula>0</formula>
    </cfRule>
  </conditionalFormatting>
  <conditionalFormatting sqref="AQ8:AQ9">
    <cfRule type="cellIs" dxfId="11363" priority="660" operator="lessThan">
      <formula>0</formula>
    </cfRule>
  </conditionalFormatting>
  <conditionalFormatting sqref="AQ7">
    <cfRule type="cellIs" dxfId="11362" priority="659" operator="lessThan">
      <formula>0</formula>
    </cfRule>
  </conditionalFormatting>
  <conditionalFormatting sqref="AQ7">
    <cfRule type="cellIs" dxfId="11361" priority="658" operator="lessThan">
      <formula>0</formula>
    </cfRule>
  </conditionalFormatting>
  <conditionalFormatting sqref="AQ7">
    <cfRule type="cellIs" dxfId="11360" priority="657" operator="lessThan">
      <formula>0</formula>
    </cfRule>
  </conditionalFormatting>
  <conditionalFormatting sqref="AQ7">
    <cfRule type="cellIs" dxfId="11359" priority="656" operator="lessThan">
      <formula>0</formula>
    </cfRule>
  </conditionalFormatting>
  <conditionalFormatting sqref="AQ7">
    <cfRule type="cellIs" dxfId="11358" priority="655" operator="lessThan">
      <formula>0</formula>
    </cfRule>
  </conditionalFormatting>
  <conditionalFormatting sqref="AQ7">
    <cfRule type="cellIs" dxfId="11357" priority="654" operator="lessThan">
      <formula>0</formula>
    </cfRule>
  </conditionalFormatting>
  <conditionalFormatting sqref="AQ7">
    <cfRule type="cellIs" dxfId="11356" priority="653" operator="lessThan">
      <formula>0</formula>
    </cfRule>
  </conditionalFormatting>
  <conditionalFormatting sqref="AQ7">
    <cfRule type="cellIs" dxfId="11355" priority="652" operator="lessThan">
      <formula>0</formula>
    </cfRule>
  </conditionalFormatting>
  <conditionalFormatting sqref="AQ7">
    <cfRule type="cellIs" dxfId="11354" priority="651" operator="lessThan">
      <formula>0</formula>
    </cfRule>
  </conditionalFormatting>
  <conditionalFormatting sqref="AQ7">
    <cfRule type="cellIs" dxfId="11353" priority="650" operator="lessThan">
      <formula>0</formula>
    </cfRule>
  </conditionalFormatting>
  <conditionalFormatting sqref="AQ7">
    <cfRule type="cellIs" dxfId="11352" priority="649" operator="lessThan">
      <formula>0</formula>
    </cfRule>
  </conditionalFormatting>
  <conditionalFormatting sqref="AQ7">
    <cfRule type="cellIs" dxfId="11351" priority="648" operator="lessThan">
      <formula>0</formula>
    </cfRule>
  </conditionalFormatting>
  <conditionalFormatting sqref="AQ7">
    <cfRule type="cellIs" dxfId="11350" priority="647" operator="lessThan">
      <formula>0</formula>
    </cfRule>
  </conditionalFormatting>
  <conditionalFormatting sqref="AQ7">
    <cfRule type="cellIs" dxfId="11349" priority="646" operator="lessThan">
      <formula>0</formula>
    </cfRule>
  </conditionalFormatting>
  <conditionalFormatting sqref="AQ7">
    <cfRule type="cellIs" dxfId="11348" priority="645" operator="lessThan">
      <formula>0</formula>
    </cfRule>
  </conditionalFormatting>
  <conditionalFormatting sqref="AQ7">
    <cfRule type="cellIs" dxfId="11347" priority="644" operator="lessThan">
      <formula>0</formula>
    </cfRule>
  </conditionalFormatting>
  <conditionalFormatting sqref="AQ7">
    <cfRule type="cellIs" dxfId="11346" priority="628" operator="lessThan">
      <formula>0</formula>
    </cfRule>
  </conditionalFormatting>
  <conditionalFormatting sqref="AQ7">
    <cfRule type="cellIs" dxfId="11345" priority="643" operator="lessThan">
      <formula>0</formula>
    </cfRule>
  </conditionalFormatting>
  <conditionalFormatting sqref="AQ7">
    <cfRule type="cellIs" dxfId="11344" priority="642" operator="lessThan">
      <formula>0</formula>
    </cfRule>
  </conditionalFormatting>
  <conditionalFormatting sqref="AQ7">
    <cfRule type="cellIs" dxfId="11343" priority="641" operator="lessThan">
      <formula>0</formula>
    </cfRule>
  </conditionalFormatting>
  <conditionalFormatting sqref="AQ7">
    <cfRule type="cellIs" dxfId="11342" priority="640" operator="lessThan">
      <formula>0</formula>
    </cfRule>
  </conditionalFormatting>
  <conditionalFormatting sqref="AQ7">
    <cfRule type="cellIs" dxfId="11341" priority="639" operator="lessThan">
      <formula>0</formula>
    </cfRule>
  </conditionalFormatting>
  <conditionalFormatting sqref="AQ7">
    <cfRule type="cellIs" dxfId="11340" priority="638" operator="lessThan">
      <formula>0</formula>
    </cfRule>
  </conditionalFormatting>
  <conditionalFormatting sqref="AQ7">
    <cfRule type="cellIs" dxfId="11339" priority="637" operator="lessThan">
      <formula>0</formula>
    </cfRule>
  </conditionalFormatting>
  <conditionalFormatting sqref="AQ7">
    <cfRule type="cellIs" dxfId="11338" priority="636" operator="lessThan">
      <formula>0</formula>
    </cfRule>
  </conditionalFormatting>
  <conditionalFormatting sqref="AQ7">
    <cfRule type="cellIs" dxfId="11337" priority="635" operator="lessThan">
      <formula>0</formula>
    </cfRule>
  </conditionalFormatting>
  <conditionalFormatting sqref="AQ7">
    <cfRule type="cellIs" dxfId="11336" priority="634" operator="lessThan">
      <formula>0</formula>
    </cfRule>
  </conditionalFormatting>
  <conditionalFormatting sqref="AQ7">
    <cfRule type="cellIs" dxfId="11335" priority="633" operator="lessThan">
      <formula>0</formula>
    </cfRule>
  </conditionalFormatting>
  <conditionalFormatting sqref="AQ7">
    <cfRule type="cellIs" dxfId="11334" priority="632" operator="lessThan">
      <formula>0</formula>
    </cfRule>
  </conditionalFormatting>
  <conditionalFormatting sqref="AQ7">
    <cfRule type="cellIs" dxfId="11333" priority="631" operator="lessThan">
      <formula>0</formula>
    </cfRule>
  </conditionalFormatting>
  <conditionalFormatting sqref="AQ7">
    <cfRule type="cellIs" dxfId="11332" priority="630" operator="lessThan">
      <formula>0</formula>
    </cfRule>
  </conditionalFormatting>
  <conditionalFormatting sqref="AQ7">
    <cfRule type="cellIs" dxfId="11331" priority="629" operator="lessThan">
      <formula>0</formula>
    </cfRule>
  </conditionalFormatting>
  <conditionalFormatting sqref="AM30:AM33">
    <cfRule type="cellIs" dxfId="11330" priority="625" operator="notEqual">
      <formula>0</formula>
    </cfRule>
  </conditionalFormatting>
  <conditionalFormatting sqref="I32">
    <cfRule type="cellIs" dxfId="11329" priority="624" operator="greaterThan">
      <formula>0</formula>
    </cfRule>
  </conditionalFormatting>
  <conditionalFormatting sqref="J32">
    <cfRule type="cellIs" dxfId="11328" priority="623" operator="greaterThan">
      <formula>0</formula>
    </cfRule>
  </conditionalFormatting>
  <conditionalFormatting sqref="AQ30">
    <cfRule type="cellIs" dxfId="11327" priority="622" operator="lessThan">
      <formula>0</formula>
    </cfRule>
  </conditionalFormatting>
  <conditionalFormatting sqref="AQ30 AQ32:AQ33">
    <cfRule type="cellIs" dxfId="11326" priority="621" operator="lessThan">
      <formula>0</formula>
    </cfRule>
  </conditionalFormatting>
  <conditionalFormatting sqref="AQ30 AQ32:AQ33">
    <cfRule type="cellIs" dxfId="11325" priority="620" operator="lessThan">
      <formula>0</formula>
    </cfRule>
  </conditionalFormatting>
  <conditionalFormatting sqref="AQ30 AQ32:AQ33">
    <cfRule type="cellIs" dxfId="11324" priority="619" operator="lessThan">
      <formula>0</formula>
    </cfRule>
  </conditionalFormatting>
  <conditionalFormatting sqref="AQ30 AQ32:AQ33">
    <cfRule type="cellIs" dxfId="11323" priority="618" operator="lessThan">
      <formula>0</formula>
    </cfRule>
  </conditionalFormatting>
  <conditionalFormatting sqref="AQ32:AQ33">
    <cfRule type="cellIs" dxfId="11322" priority="617" operator="lessThan">
      <formula>0</formula>
    </cfRule>
  </conditionalFormatting>
  <conditionalFormatting sqref="AQ32:AQ33">
    <cfRule type="cellIs" dxfId="11321" priority="616" operator="lessThan">
      <formula>0</formula>
    </cfRule>
  </conditionalFormatting>
  <conditionalFormatting sqref="AQ32:AQ33">
    <cfRule type="cellIs" dxfId="11320" priority="615" operator="lessThan">
      <formula>0</formula>
    </cfRule>
  </conditionalFormatting>
  <conditionalFormatting sqref="AQ32:AQ33">
    <cfRule type="cellIs" dxfId="11319" priority="614" operator="lessThan">
      <formula>0</formula>
    </cfRule>
  </conditionalFormatting>
  <conditionalFormatting sqref="AQ31">
    <cfRule type="cellIs" dxfId="11318" priority="613" operator="lessThan">
      <formula>0</formula>
    </cfRule>
  </conditionalFormatting>
  <conditionalFormatting sqref="AQ31">
    <cfRule type="cellIs" dxfId="11317" priority="612" operator="lessThan">
      <formula>0</formula>
    </cfRule>
  </conditionalFormatting>
  <conditionalFormatting sqref="AQ31">
    <cfRule type="cellIs" dxfId="11316" priority="611" operator="lessThan">
      <formula>0</formula>
    </cfRule>
  </conditionalFormatting>
  <conditionalFormatting sqref="AQ31">
    <cfRule type="cellIs" dxfId="11315" priority="610" operator="lessThan">
      <formula>0</formula>
    </cfRule>
  </conditionalFormatting>
  <conditionalFormatting sqref="AQ31">
    <cfRule type="cellIs" dxfId="11314" priority="609" operator="lessThan">
      <formula>0</formula>
    </cfRule>
  </conditionalFormatting>
  <conditionalFormatting sqref="AQ31">
    <cfRule type="cellIs" dxfId="11313" priority="608" operator="lessThan">
      <formula>0</formula>
    </cfRule>
  </conditionalFormatting>
  <conditionalFormatting sqref="AQ31">
    <cfRule type="cellIs" dxfId="11312" priority="607" operator="lessThan">
      <formula>0</formula>
    </cfRule>
  </conditionalFormatting>
  <conditionalFormatting sqref="AQ31">
    <cfRule type="cellIs" dxfId="11311" priority="606" operator="lessThan">
      <formula>0</formula>
    </cfRule>
  </conditionalFormatting>
  <conditionalFormatting sqref="AQ31">
    <cfRule type="cellIs" dxfId="11310" priority="605" operator="lessThan">
      <formula>0</formula>
    </cfRule>
  </conditionalFormatting>
  <conditionalFormatting sqref="AQ31">
    <cfRule type="cellIs" dxfId="11309" priority="604" operator="lessThan">
      <formula>0</formula>
    </cfRule>
  </conditionalFormatting>
  <conditionalFormatting sqref="AQ31">
    <cfRule type="cellIs" dxfId="11308" priority="603" operator="lessThan">
      <formula>0</formula>
    </cfRule>
  </conditionalFormatting>
  <conditionalFormatting sqref="AQ31">
    <cfRule type="cellIs" dxfId="11307" priority="602" operator="lessThan">
      <formula>0</formula>
    </cfRule>
  </conditionalFormatting>
  <conditionalFormatting sqref="AQ31">
    <cfRule type="cellIs" dxfId="11306" priority="601" operator="lessThan">
      <formula>0</formula>
    </cfRule>
  </conditionalFormatting>
  <conditionalFormatting sqref="AQ31">
    <cfRule type="cellIs" dxfId="11305" priority="600" operator="lessThan">
      <formula>0</formula>
    </cfRule>
  </conditionalFormatting>
  <conditionalFormatting sqref="AQ31">
    <cfRule type="cellIs" dxfId="11304" priority="599" operator="lessThan">
      <formula>0</formula>
    </cfRule>
  </conditionalFormatting>
  <conditionalFormatting sqref="AQ31">
    <cfRule type="cellIs" dxfId="11303" priority="598" operator="lessThan">
      <formula>0</formula>
    </cfRule>
  </conditionalFormatting>
  <conditionalFormatting sqref="AQ31">
    <cfRule type="cellIs" dxfId="11302" priority="597" operator="lessThan">
      <formula>0</formula>
    </cfRule>
  </conditionalFormatting>
  <conditionalFormatting sqref="AQ31">
    <cfRule type="cellIs" dxfId="11301" priority="596" operator="lessThan">
      <formula>0</formula>
    </cfRule>
  </conditionalFormatting>
  <conditionalFormatting sqref="AQ31">
    <cfRule type="cellIs" dxfId="11300" priority="595" operator="lessThan">
      <formula>0</formula>
    </cfRule>
  </conditionalFormatting>
  <conditionalFormatting sqref="AQ31">
    <cfRule type="cellIs" dxfId="11299" priority="594" operator="lessThan">
      <formula>0</formula>
    </cfRule>
  </conditionalFormatting>
  <conditionalFormatting sqref="AQ31">
    <cfRule type="cellIs" dxfId="11298" priority="593" operator="lessThan">
      <formula>0</formula>
    </cfRule>
  </conditionalFormatting>
  <conditionalFormatting sqref="AQ31">
    <cfRule type="cellIs" dxfId="11297" priority="592" operator="lessThan">
      <formula>0</formula>
    </cfRule>
  </conditionalFormatting>
  <conditionalFormatting sqref="AQ31">
    <cfRule type="cellIs" dxfId="11296" priority="591" operator="lessThan">
      <formula>0</formula>
    </cfRule>
  </conditionalFormatting>
  <conditionalFormatting sqref="AQ31">
    <cfRule type="cellIs" dxfId="11295" priority="590" operator="lessThan">
      <formula>0</formula>
    </cfRule>
  </conditionalFormatting>
  <conditionalFormatting sqref="AQ31">
    <cfRule type="cellIs" dxfId="11294" priority="589" operator="lessThan">
      <formula>0</formula>
    </cfRule>
  </conditionalFormatting>
  <conditionalFormatting sqref="AQ31">
    <cfRule type="cellIs" dxfId="11293" priority="588" operator="lessThan">
      <formula>0</formula>
    </cfRule>
  </conditionalFormatting>
  <conditionalFormatting sqref="AQ31">
    <cfRule type="cellIs" dxfId="11292" priority="587" operator="lessThan">
      <formula>0</formula>
    </cfRule>
  </conditionalFormatting>
  <conditionalFormatting sqref="AQ31">
    <cfRule type="cellIs" dxfId="11291" priority="586" operator="lessThan">
      <formula>0</formula>
    </cfRule>
  </conditionalFormatting>
  <conditionalFormatting sqref="AQ31">
    <cfRule type="cellIs" dxfId="11290" priority="585" operator="lessThan">
      <formula>0</formula>
    </cfRule>
  </conditionalFormatting>
  <conditionalFormatting sqref="AQ31">
    <cfRule type="cellIs" dxfId="11289" priority="584" operator="lessThan">
      <formula>0</formula>
    </cfRule>
  </conditionalFormatting>
  <conditionalFormatting sqref="AQ31">
    <cfRule type="cellIs" dxfId="11288" priority="583" operator="lessThan">
      <formula>0</formula>
    </cfRule>
  </conditionalFormatting>
  <conditionalFormatting sqref="AQ31">
    <cfRule type="cellIs" dxfId="11287" priority="582" operator="lessThan">
      <formula>0</formula>
    </cfRule>
  </conditionalFormatting>
  <conditionalFormatting sqref="AM98:AM101">
    <cfRule type="cellIs" dxfId="11286" priority="580" operator="notEqual">
      <formula>0</formula>
    </cfRule>
  </conditionalFormatting>
  <conditionalFormatting sqref="I100">
    <cfRule type="cellIs" dxfId="11285" priority="579" operator="greaterThan">
      <formula>0</formula>
    </cfRule>
  </conditionalFormatting>
  <conditionalFormatting sqref="AQ98">
    <cfRule type="cellIs" dxfId="11284" priority="577" operator="lessThan">
      <formula>0</formula>
    </cfRule>
  </conditionalFormatting>
  <conditionalFormatting sqref="AQ98 AQ100:AQ101">
    <cfRule type="cellIs" dxfId="11283" priority="576" operator="lessThan">
      <formula>0</formula>
    </cfRule>
  </conditionalFormatting>
  <conditionalFormatting sqref="AQ98 AQ100:AQ101">
    <cfRule type="cellIs" dxfId="11282" priority="575" operator="lessThan">
      <formula>0</formula>
    </cfRule>
  </conditionalFormatting>
  <conditionalFormatting sqref="AQ98 AQ100:AQ101">
    <cfRule type="cellIs" dxfId="11281" priority="574" operator="lessThan">
      <formula>0</formula>
    </cfRule>
  </conditionalFormatting>
  <conditionalFormatting sqref="AQ98 AQ100:AQ101">
    <cfRule type="cellIs" dxfId="11280" priority="573" operator="lessThan">
      <formula>0</formula>
    </cfRule>
  </conditionalFormatting>
  <conditionalFormatting sqref="AQ100:AQ101">
    <cfRule type="cellIs" dxfId="11279" priority="572" operator="lessThan">
      <formula>0</formula>
    </cfRule>
  </conditionalFormatting>
  <conditionalFormatting sqref="AQ100:AQ101">
    <cfRule type="cellIs" dxfId="11278" priority="571" operator="lessThan">
      <formula>0</formula>
    </cfRule>
  </conditionalFormatting>
  <conditionalFormatting sqref="AQ100:AQ101">
    <cfRule type="cellIs" dxfId="11277" priority="570" operator="lessThan">
      <formula>0</formula>
    </cfRule>
  </conditionalFormatting>
  <conditionalFormatting sqref="AQ100:AQ101">
    <cfRule type="cellIs" dxfId="11276" priority="569" operator="lessThan">
      <formula>0</formula>
    </cfRule>
  </conditionalFormatting>
  <conditionalFormatting sqref="AQ99">
    <cfRule type="cellIs" dxfId="11275" priority="568" operator="lessThan">
      <formula>0</formula>
    </cfRule>
  </conditionalFormatting>
  <conditionalFormatting sqref="AQ99">
    <cfRule type="cellIs" dxfId="11274" priority="567" operator="lessThan">
      <formula>0</formula>
    </cfRule>
  </conditionalFormatting>
  <conditionalFormatting sqref="AQ99">
    <cfRule type="cellIs" dxfId="11273" priority="566" operator="lessThan">
      <formula>0</formula>
    </cfRule>
  </conditionalFormatting>
  <conditionalFormatting sqref="AQ99">
    <cfRule type="cellIs" dxfId="11272" priority="565" operator="lessThan">
      <formula>0</formula>
    </cfRule>
  </conditionalFormatting>
  <conditionalFormatting sqref="AQ99">
    <cfRule type="cellIs" dxfId="11271" priority="564" operator="lessThan">
      <formula>0</formula>
    </cfRule>
  </conditionalFormatting>
  <conditionalFormatting sqref="AQ99">
    <cfRule type="cellIs" dxfId="11270" priority="563" operator="lessThan">
      <formula>0</formula>
    </cfRule>
  </conditionalFormatting>
  <conditionalFormatting sqref="AQ99">
    <cfRule type="cellIs" dxfId="11269" priority="562" operator="lessThan">
      <formula>0</formula>
    </cfRule>
  </conditionalFormatting>
  <conditionalFormatting sqref="AQ99">
    <cfRule type="cellIs" dxfId="11268" priority="561" operator="lessThan">
      <formula>0</formula>
    </cfRule>
  </conditionalFormatting>
  <conditionalFormatting sqref="AQ99">
    <cfRule type="cellIs" dxfId="11267" priority="560" operator="lessThan">
      <formula>0</formula>
    </cfRule>
  </conditionalFormatting>
  <conditionalFormatting sqref="AQ99">
    <cfRule type="cellIs" dxfId="11266" priority="559" operator="lessThan">
      <formula>0</formula>
    </cfRule>
  </conditionalFormatting>
  <conditionalFormatting sqref="AQ99">
    <cfRule type="cellIs" dxfId="11265" priority="558" operator="lessThan">
      <formula>0</formula>
    </cfRule>
  </conditionalFormatting>
  <conditionalFormatting sqref="AQ99">
    <cfRule type="cellIs" dxfId="11264" priority="557" operator="lessThan">
      <formula>0</formula>
    </cfRule>
  </conditionalFormatting>
  <conditionalFormatting sqref="AQ99">
    <cfRule type="cellIs" dxfId="11263" priority="556" operator="lessThan">
      <formula>0</formula>
    </cfRule>
  </conditionalFormatting>
  <conditionalFormatting sqref="AQ99">
    <cfRule type="cellIs" dxfId="11262" priority="555" operator="lessThan">
      <formula>0</formula>
    </cfRule>
  </conditionalFormatting>
  <conditionalFormatting sqref="AQ99">
    <cfRule type="cellIs" dxfId="11261" priority="554" operator="lessThan">
      <formula>0</formula>
    </cfRule>
  </conditionalFormatting>
  <conditionalFormatting sqref="AQ99">
    <cfRule type="cellIs" dxfId="11260" priority="553" operator="lessThan">
      <formula>0</formula>
    </cfRule>
  </conditionalFormatting>
  <conditionalFormatting sqref="AQ99">
    <cfRule type="cellIs" dxfId="11259" priority="552" operator="lessThan">
      <formula>0</formula>
    </cfRule>
  </conditionalFormatting>
  <conditionalFormatting sqref="AQ99">
    <cfRule type="cellIs" dxfId="11258" priority="551" operator="lessThan">
      <formula>0</formula>
    </cfRule>
  </conditionalFormatting>
  <conditionalFormatting sqref="AQ99">
    <cfRule type="cellIs" dxfId="11257" priority="550" operator="lessThan">
      <formula>0</formula>
    </cfRule>
  </conditionalFormatting>
  <conditionalFormatting sqref="AQ99">
    <cfRule type="cellIs" dxfId="11256" priority="549" operator="lessThan">
      <formula>0</formula>
    </cfRule>
  </conditionalFormatting>
  <conditionalFormatting sqref="AQ99">
    <cfRule type="cellIs" dxfId="11255" priority="548" operator="lessThan">
      <formula>0</formula>
    </cfRule>
  </conditionalFormatting>
  <conditionalFormatting sqref="AQ99">
    <cfRule type="cellIs" dxfId="11254" priority="547" operator="lessThan">
      <formula>0</formula>
    </cfRule>
  </conditionalFormatting>
  <conditionalFormatting sqref="AQ99">
    <cfRule type="cellIs" dxfId="11253" priority="546" operator="lessThan">
      <formula>0</formula>
    </cfRule>
  </conditionalFormatting>
  <conditionalFormatting sqref="AQ99">
    <cfRule type="cellIs" dxfId="11252" priority="545" operator="lessThan">
      <formula>0</formula>
    </cfRule>
  </conditionalFormatting>
  <conditionalFormatting sqref="AQ99">
    <cfRule type="cellIs" dxfId="11251" priority="544" operator="lessThan">
      <formula>0</formula>
    </cfRule>
  </conditionalFormatting>
  <conditionalFormatting sqref="AQ99">
    <cfRule type="cellIs" dxfId="11250" priority="543" operator="lessThan">
      <formula>0</formula>
    </cfRule>
  </conditionalFormatting>
  <conditionalFormatting sqref="AQ99">
    <cfRule type="cellIs" dxfId="11249" priority="542" operator="lessThan">
      <formula>0</formula>
    </cfRule>
  </conditionalFormatting>
  <conditionalFormatting sqref="AQ99">
    <cfRule type="cellIs" dxfId="11248" priority="541" operator="lessThan">
      <formula>0</formula>
    </cfRule>
  </conditionalFormatting>
  <conditionalFormatting sqref="AQ99">
    <cfRule type="cellIs" dxfId="11247" priority="540" operator="lessThan">
      <formula>0</formula>
    </cfRule>
  </conditionalFormatting>
  <conditionalFormatting sqref="AQ99">
    <cfRule type="cellIs" dxfId="11246" priority="539" operator="lessThan">
      <formula>0</formula>
    </cfRule>
  </conditionalFormatting>
  <conditionalFormatting sqref="AQ99">
    <cfRule type="cellIs" dxfId="11245" priority="538" operator="lessThan">
      <formula>0</formula>
    </cfRule>
  </conditionalFormatting>
  <conditionalFormatting sqref="AQ99">
    <cfRule type="cellIs" dxfId="11244" priority="537" operator="lessThan">
      <formula>0</formula>
    </cfRule>
  </conditionalFormatting>
  <conditionalFormatting sqref="AM90:AM93">
    <cfRule type="cellIs" dxfId="11243" priority="531" operator="notEqual">
      <formula>0</formula>
    </cfRule>
  </conditionalFormatting>
  <conditionalFormatting sqref="I92">
    <cfRule type="cellIs" dxfId="11242" priority="530" operator="greaterThan">
      <formula>0</formula>
    </cfRule>
  </conditionalFormatting>
  <conditionalFormatting sqref="J92">
    <cfRule type="cellIs" dxfId="11241" priority="529" operator="greaterThan">
      <formula>0</formula>
    </cfRule>
  </conditionalFormatting>
  <conditionalFormatting sqref="AQ90">
    <cfRule type="cellIs" dxfId="11240" priority="528" operator="lessThan">
      <formula>0</formula>
    </cfRule>
  </conditionalFormatting>
  <conditionalFormatting sqref="AQ90 AQ92:AQ93">
    <cfRule type="cellIs" dxfId="11239" priority="527" operator="lessThan">
      <formula>0</formula>
    </cfRule>
  </conditionalFormatting>
  <conditionalFormatting sqref="AQ90 AQ92:AQ93">
    <cfRule type="cellIs" dxfId="11238" priority="526" operator="lessThan">
      <formula>0</formula>
    </cfRule>
  </conditionalFormatting>
  <conditionalFormatting sqref="AQ90 AQ92:AQ93">
    <cfRule type="cellIs" dxfId="11237" priority="525" operator="lessThan">
      <formula>0</formula>
    </cfRule>
  </conditionalFormatting>
  <conditionalFormatting sqref="AQ90 AQ92:AQ93">
    <cfRule type="cellIs" dxfId="11236" priority="524" operator="lessThan">
      <formula>0</formula>
    </cfRule>
  </conditionalFormatting>
  <conditionalFormatting sqref="AQ92:AQ93">
    <cfRule type="cellIs" dxfId="11235" priority="523" operator="lessThan">
      <formula>0</formula>
    </cfRule>
  </conditionalFormatting>
  <conditionalFormatting sqref="AQ92:AQ93">
    <cfRule type="cellIs" dxfId="11234" priority="522" operator="lessThan">
      <formula>0</formula>
    </cfRule>
  </conditionalFormatting>
  <conditionalFormatting sqref="AQ92:AQ93">
    <cfRule type="cellIs" dxfId="11233" priority="521" operator="lessThan">
      <formula>0</formula>
    </cfRule>
  </conditionalFormatting>
  <conditionalFormatting sqref="AQ92:AQ93">
    <cfRule type="cellIs" dxfId="11232" priority="520" operator="lessThan">
      <formula>0</formula>
    </cfRule>
  </conditionalFormatting>
  <conditionalFormatting sqref="AQ91">
    <cfRule type="cellIs" dxfId="11231" priority="519" operator="lessThan">
      <formula>0</formula>
    </cfRule>
  </conditionalFormatting>
  <conditionalFormatting sqref="AQ91">
    <cfRule type="cellIs" dxfId="11230" priority="518" operator="lessThan">
      <formula>0</formula>
    </cfRule>
  </conditionalFormatting>
  <conditionalFormatting sqref="AQ91">
    <cfRule type="cellIs" dxfId="11229" priority="517" operator="lessThan">
      <formula>0</formula>
    </cfRule>
  </conditionalFormatting>
  <conditionalFormatting sqref="AQ91">
    <cfRule type="cellIs" dxfId="11228" priority="516" operator="lessThan">
      <formula>0</formula>
    </cfRule>
  </conditionalFormatting>
  <conditionalFormatting sqref="AQ91">
    <cfRule type="cellIs" dxfId="11227" priority="515" operator="lessThan">
      <formula>0</formula>
    </cfRule>
  </conditionalFormatting>
  <conditionalFormatting sqref="AQ91">
    <cfRule type="cellIs" dxfId="11226" priority="514" operator="lessThan">
      <formula>0</formula>
    </cfRule>
  </conditionalFormatting>
  <conditionalFormatting sqref="AQ91">
    <cfRule type="cellIs" dxfId="11225" priority="513" operator="lessThan">
      <formula>0</formula>
    </cfRule>
  </conditionalFormatting>
  <conditionalFormatting sqref="AQ91">
    <cfRule type="cellIs" dxfId="11224" priority="512" operator="lessThan">
      <formula>0</formula>
    </cfRule>
  </conditionalFormatting>
  <conditionalFormatting sqref="AQ91">
    <cfRule type="cellIs" dxfId="11223" priority="511" operator="lessThan">
      <formula>0</formula>
    </cfRule>
  </conditionalFormatting>
  <conditionalFormatting sqref="AQ91">
    <cfRule type="cellIs" dxfId="11222" priority="510" operator="lessThan">
      <formula>0</formula>
    </cfRule>
  </conditionalFormatting>
  <conditionalFormatting sqref="AQ91">
    <cfRule type="cellIs" dxfId="11221" priority="509" operator="lessThan">
      <formula>0</formula>
    </cfRule>
  </conditionalFormatting>
  <conditionalFormatting sqref="AQ91">
    <cfRule type="cellIs" dxfId="11220" priority="508" operator="lessThan">
      <formula>0</formula>
    </cfRule>
  </conditionalFormatting>
  <conditionalFormatting sqref="AQ91">
    <cfRule type="cellIs" dxfId="11219" priority="507" operator="lessThan">
      <formula>0</formula>
    </cfRule>
  </conditionalFormatting>
  <conditionalFormatting sqref="AQ91">
    <cfRule type="cellIs" dxfId="11218" priority="506" operator="lessThan">
      <formula>0</formula>
    </cfRule>
  </conditionalFormatting>
  <conditionalFormatting sqref="AQ91">
    <cfRule type="cellIs" dxfId="11217" priority="505" operator="lessThan">
      <formula>0</formula>
    </cfRule>
  </conditionalFormatting>
  <conditionalFormatting sqref="AQ91">
    <cfRule type="cellIs" dxfId="11216" priority="504" operator="lessThan">
      <formula>0</formula>
    </cfRule>
  </conditionalFormatting>
  <conditionalFormatting sqref="AQ91">
    <cfRule type="cellIs" dxfId="11215" priority="503" operator="lessThan">
      <formula>0</formula>
    </cfRule>
  </conditionalFormatting>
  <conditionalFormatting sqref="AQ91">
    <cfRule type="cellIs" dxfId="11214" priority="502" operator="lessThan">
      <formula>0</formula>
    </cfRule>
  </conditionalFormatting>
  <conditionalFormatting sqref="AQ91">
    <cfRule type="cellIs" dxfId="11213" priority="501" operator="lessThan">
      <formula>0</formula>
    </cfRule>
  </conditionalFormatting>
  <conditionalFormatting sqref="AQ91">
    <cfRule type="cellIs" dxfId="11212" priority="500" operator="lessThan">
      <formula>0</formula>
    </cfRule>
  </conditionalFormatting>
  <conditionalFormatting sqref="AQ91">
    <cfRule type="cellIs" dxfId="11211" priority="499" operator="lessThan">
      <formula>0</formula>
    </cfRule>
  </conditionalFormatting>
  <conditionalFormatting sqref="AQ91">
    <cfRule type="cellIs" dxfId="11210" priority="498" operator="lessThan">
      <formula>0</formula>
    </cfRule>
  </conditionalFormatting>
  <conditionalFormatting sqref="AQ91">
    <cfRule type="cellIs" dxfId="11209" priority="497" operator="lessThan">
      <formula>0</formula>
    </cfRule>
  </conditionalFormatting>
  <conditionalFormatting sqref="AQ91">
    <cfRule type="cellIs" dxfId="11208" priority="496" operator="lessThan">
      <formula>0</formula>
    </cfRule>
  </conditionalFormatting>
  <conditionalFormatting sqref="AQ91">
    <cfRule type="cellIs" dxfId="11207" priority="495" operator="lessThan">
      <formula>0</formula>
    </cfRule>
  </conditionalFormatting>
  <conditionalFormatting sqref="AQ91">
    <cfRule type="cellIs" dxfId="11206" priority="494" operator="lessThan">
      <formula>0</formula>
    </cfRule>
  </conditionalFormatting>
  <conditionalFormatting sqref="AQ91">
    <cfRule type="cellIs" dxfId="11205" priority="493" operator="lessThan">
      <formula>0</formula>
    </cfRule>
  </conditionalFormatting>
  <conditionalFormatting sqref="AQ91">
    <cfRule type="cellIs" dxfId="11204" priority="492" operator="lessThan">
      <formula>0</formula>
    </cfRule>
  </conditionalFormatting>
  <conditionalFormatting sqref="AQ91">
    <cfRule type="cellIs" dxfId="11203" priority="491" operator="lessThan">
      <formula>0</formula>
    </cfRule>
  </conditionalFormatting>
  <conditionalFormatting sqref="AQ91">
    <cfRule type="cellIs" dxfId="11202" priority="490" operator="lessThan">
      <formula>0</formula>
    </cfRule>
  </conditionalFormatting>
  <conditionalFormatting sqref="AQ91">
    <cfRule type="cellIs" dxfId="11201" priority="489" operator="lessThan">
      <formula>0</formula>
    </cfRule>
  </conditionalFormatting>
  <conditionalFormatting sqref="AQ91">
    <cfRule type="cellIs" dxfId="11200" priority="488" operator="lessThan">
      <formula>0</formula>
    </cfRule>
  </conditionalFormatting>
  <conditionalFormatting sqref="Y59 Y7 Y15 Y23 Y27 Y31 Y35 Y39 Y47 Y55 Y67 Y71 Y75 Y83 Y87 Y91 Y95 Y99 Y103">
    <cfRule type="iconSet" priority="486">
      <iconSet>
        <cfvo type="percent" val="0"/>
        <cfvo type="percent" val="&quot;$I$6&quot;"/>
        <cfvo type="percent" val="#REF!"/>
      </iconSet>
    </cfRule>
  </conditionalFormatting>
  <conditionalFormatting sqref="Y8 Y16 Y24 Y28 Y32 Y36 Y40 Y48 Y56 Y60 Y68 Y72 Y76 Y84 Y88 Y92 Y96 Y100 Y104">
    <cfRule type="cellIs" dxfId="11199" priority="485" operator="lessThan">
      <formula>0</formula>
    </cfRule>
  </conditionalFormatting>
  <conditionalFormatting sqref="Y6:Y8 Y14:Y16 Y22:Y24 Y26:Y28 Y30:Y32 Y34:Y36 Y38:Y40 Y46:Y48 Y54:Y56 Y58:Y60 Y66:Y68 Y70:Y72 Y74:Y76 Y82:Y84 Y86:Y88 Y90:Y92 Y94:Y96 Y98:Y100 Y102:Y104">
    <cfRule type="cellIs" dxfId="11198" priority="484" operator="lessThan">
      <formula>0</formula>
    </cfRule>
  </conditionalFormatting>
  <conditionalFormatting sqref="Y9 Y17 Y25 Y29 Y33 Y37 Y41 Y49 Y57 Y61 Y69 Y73 Y77 Y85 Y89 Y93 Y97 Y101 Y105">
    <cfRule type="cellIs" dxfId="11197" priority="483" operator="lessThan">
      <formula>0</formula>
    </cfRule>
  </conditionalFormatting>
  <conditionalFormatting sqref="X59 X7 X15 X23 X27 X31 X35 X39 X47 X55 X67 X71 X75 X83 X87 X91 X95 X99 X103">
    <cfRule type="iconSet" priority="479">
      <iconSet>
        <cfvo type="percent" val="0"/>
        <cfvo type="percent" val="&quot;$I$6&quot;"/>
        <cfvo type="percent" val="#REF!"/>
      </iconSet>
    </cfRule>
  </conditionalFormatting>
  <conditionalFormatting sqref="X8 X16 X24 X28 X32 X36 X40 X48 X56 X60 X68 X72 X76 X84 X88 X92 X96 X100 X104">
    <cfRule type="cellIs" dxfId="11196" priority="478" operator="lessThan">
      <formula>0</formula>
    </cfRule>
  </conditionalFormatting>
  <conditionalFormatting sqref="X6:X9 X22:X41 X14:X17">
    <cfRule type="cellIs" dxfId="11195" priority="477" operator="lessThan">
      <formula>0</formula>
    </cfRule>
  </conditionalFormatting>
  <conditionalFormatting sqref="J48">
    <cfRule type="cellIs" dxfId="11194" priority="476" operator="greaterThan">
      <formula>0</formula>
    </cfRule>
  </conditionalFormatting>
  <conditionalFormatting sqref="AM42:AM45">
    <cfRule type="cellIs" dxfId="11193" priority="474" operator="notEqual">
      <formula>0</formula>
    </cfRule>
  </conditionalFormatting>
  <conditionalFormatting sqref="I44">
    <cfRule type="cellIs" dxfId="11192" priority="473" operator="greaterThan">
      <formula>0</formula>
    </cfRule>
  </conditionalFormatting>
  <conditionalFormatting sqref="AQ42">
    <cfRule type="cellIs" dxfId="11191" priority="472" operator="lessThan">
      <formula>0</formula>
    </cfRule>
  </conditionalFormatting>
  <conditionalFormatting sqref="AQ42 AQ44:AQ45">
    <cfRule type="cellIs" dxfId="11190" priority="471" operator="lessThan">
      <formula>0</formula>
    </cfRule>
  </conditionalFormatting>
  <conditionalFormatting sqref="AQ42 AQ44:AQ45">
    <cfRule type="cellIs" dxfId="11189" priority="470" operator="lessThan">
      <formula>0</formula>
    </cfRule>
  </conditionalFormatting>
  <conditionalFormatting sqref="AQ42 AQ44:AQ45">
    <cfRule type="cellIs" dxfId="11188" priority="469" operator="lessThan">
      <formula>0</formula>
    </cfRule>
  </conditionalFormatting>
  <conditionalFormatting sqref="AQ42 AQ44:AQ45">
    <cfRule type="cellIs" dxfId="11187" priority="468" operator="lessThan">
      <formula>0</formula>
    </cfRule>
  </conditionalFormatting>
  <conditionalFormatting sqref="AQ44:AQ45">
    <cfRule type="cellIs" dxfId="11186" priority="467" operator="lessThan">
      <formula>0</formula>
    </cfRule>
  </conditionalFormatting>
  <conditionalFormatting sqref="AQ44:AQ45">
    <cfRule type="cellIs" dxfId="11185" priority="466" operator="lessThan">
      <formula>0</formula>
    </cfRule>
  </conditionalFormatting>
  <conditionalFormatting sqref="AQ44:AQ45">
    <cfRule type="cellIs" dxfId="11184" priority="465" operator="lessThan">
      <formula>0</formula>
    </cfRule>
  </conditionalFormatting>
  <conditionalFormatting sqref="AQ44:AQ45">
    <cfRule type="cellIs" dxfId="11183" priority="464" operator="lessThan">
      <formula>0</formula>
    </cfRule>
  </conditionalFormatting>
  <conditionalFormatting sqref="AQ43">
    <cfRule type="cellIs" dxfId="11182" priority="463" operator="lessThan">
      <formula>0</formula>
    </cfRule>
  </conditionalFormatting>
  <conditionalFormatting sqref="AQ43">
    <cfRule type="cellIs" dxfId="11181" priority="462" operator="lessThan">
      <formula>0</formula>
    </cfRule>
  </conditionalFormatting>
  <conditionalFormatting sqref="AQ43">
    <cfRule type="cellIs" dxfId="11180" priority="461" operator="lessThan">
      <formula>0</formula>
    </cfRule>
  </conditionalFormatting>
  <conditionalFormatting sqref="AQ43">
    <cfRule type="cellIs" dxfId="11179" priority="460" operator="lessThan">
      <formula>0</formula>
    </cfRule>
  </conditionalFormatting>
  <conditionalFormatting sqref="AQ43">
    <cfRule type="cellIs" dxfId="11178" priority="459" operator="lessThan">
      <formula>0</formula>
    </cfRule>
  </conditionalFormatting>
  <conditionalFormatting sqref="AQ43">
    <cfRule type="cellIs" dxfId="11177" priority="458" operator="lessThan">
      <formula>0</formula>
    </cfRule>
  </conditionalFormatting>
  <conditionalFormatting sqref="AQ43">
    <cfRule type="cellIs" dxfId="11176" priority="457" operator="lessThan">
      <formula>0</formula>
    </cfRule>
  </conditionalFormatting>
  <conditionalFormatting sqref="AQ43">
    <cfRule type="cellIs" dxfId="11175" priority="456" operator="lessThan">
      <formula>0</formula>
    </cfRule>
  </conditionalFormatting>
  <conditionalFormatting sqref="AQ43">
    <cfRule type="cellIs" dxfId="11174" priority="455" operator="lessThan">
      <formula>0</formula>
    </cfRule>
  </conditionalFormatting>
  <conditionalFormatting sqref="AQ43">
    <cfRule type="cellIs" dxfId="11173" priority="454" operator="lessThan">
      <formula>0</formula>
    </cfRule>
  </conditionalFormatting>
  <conditionalFormatting sqref="AQ43">
    <cfRule type="cellIs" dxfId="11172" priority="453" operator="lessThan">
      <formula>0</formula>
    </cfRule>
  </conditionalFormatting>
  <conditionalFormatting sqref="AQ43">
    <cfRule type="cellIs" dxfId="11171" priority="452" operator="lessThan">
      <formula>0</formula>
    </cfRule>
  </conditionalFormatting>
  <conditionalFormatting sqref="AQ43">
    <cfRule type="cellIs" dxfId="11170" priority="451" operator="lessThan">
      <formula>0</formula>
    </cfRule>
  </conditionalFormatting>
  <conditionalFormatting sqref="AQ43">
    <cfRule type="cellIs" dxfId="11169" priority="450" operator="lessThan">
      <formula>0</formula>
    </cfRule>
  </conditionalFormatting>
  <conditionalFormatting sqref="AQ43">
    <cfRule type="cellIs" dxfId="11168" priority="449" operator="lessThan">
      <formula>0</formula>
    </cfRule>
  </conditionalFormatting>
  <conditionalFormatting sqref="AQ43">
    <cfRule type="cellIs" dxfId="11167" priority="448" operator="lessThan">
      <formula>0</formula>
    </cfRule>
  </conditionalFormatting>
  <conditionalFormatting sqref="AQ43">
    <cfRule type="cellIs" dxfId="11166" priority="447" operator="lessThan">
      <formula>0</formula>
    </cfRule>
  </conditionalFormatting>
  <conditionalFormatting sqref="AQ43">
    <cfRule type="cellIs" dxfId="11165" priority="446" operator="lessThan">
      <formula>0</formula>
    </cfRule>
  </conditionalFormatting>
  <conditionalFormatting sqref="AQ43">
    <cfRule type="cellIs" dxfId="11164" priority="445" operator="lessThan">
      <formula>0</formula>
    </cfRule>
  </conditionalFormatting>
  <conditionalFormatting sqref="AQ43">
    <cfRule type="cellIs" dxfId="11163" priority="444" operator="lessThan">
      <formula>0</formula>
    </cfRule>
  </conditionalFormatting>
  <conditionalFormatting sqref="AQ43">
    <cfRule type="cellIs" dxfId="11162" priority="443" operator="lessThan">
      <formula>0</formula>
    </cfRule>
  </conditionalFormatting>
  <conditionalFormatting sqref="AQ43">
    <cfRule type="cellIs" dxfId="11161" priority="442" operator="lessThan">
      <formula>0</formula>
    </cfRule>
  </conditionalFormatting>
  <conditionalFormatting sqref="AQ43">
    <cfRule type="cellIs" dxfId="11160" priority="441" operator="lessThan">
      <formula>0</formula>
    </cfRule>
  </conditionalFormatting>
  <conditionalFormatting sqref="AQ43">
    <cfRule type="cellIs" dxfId="11159" priority="440" operator="lessThan">
      <formula>0</formula>
    </cfRule>
  </conditionalFormatting>
  <conditionalFormatting sqref="AQ43">
    <cfRule type="cellIs" dxfId="11158" priority="439" operator="lessThan">
      <formula>0</formula>
    </cfRule>
  </conditionalFormatting>
  <conditionalFormatting sqref="AQ43">
    <cfRule type="cellIs" dxfId="11157" priority="438" operator="lessThan">
      <formula>0</formula>
    </cfRule>
  </conditionalFormatting>
  <conditionalFormatting sqref="AQ43">
    <cfRule type="cellIs" dxfId="11156" priority="437" operator="lessThan">
      <formula>0</formula>
    </cfRule>
  </conditionalFormatting>
  <conditionalFormatting sqref="AQ43">
    <cfRule type="cellIs" dxfId="11155" priority="436" operator="lessThan">
      <formula>0</formula>
    </cfRule>
  </conditionalFormatting>
  <conditionalFormatting sqref="AQ43">
    <cfRule type="cellIs" dxfId="11154" priority="435" operator="lessThan">
      <formula>0</formula>
    </cfRule>
  </conditionalFormatting>
  <conditionalFormatting sqref="AQ43">
    <cfRule type="cellIs" dxfId="11153" priority="434" operator="lessThan">
      <formula>0</formula>
    </cfRule>
  </conditionalFormatting>
  <conditionalFormatting sqref="AQ43">
    <cfRule type="cellIs" dxfId="11152" priority="433" operator="lessThan">
      <formula>0</formula>
    </cfRule>
  </conditionalFormatting>
  <conditionalFormatting sqref="AQ43">
    <cfRule type="cellIs" dxfId="11151" priority="432" operator="lessThan">
      <formula>0</formula>
    </cfRule>
  </conditionalFormatting>
  <conditionalFormatting sqref="Y43">
    <cfRule type="iconSet" priority="431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11150" priority="430" operator="lessThan">
      <formula>0</formula>
    </cfRule>
  </conditionalFormatting>
  <conditionalFormatting sqref="Y42:Y44">
    <cfRule type="cellIs" dxfId="11149" priority="429" operator="lessThan">
      <formula>0</formula>
    </cfRule>
  </conditionalFormatting>
  <conditionalFormatting sqref="Y45">
    <cfRule type="cellIs" dxfId="11148" priority="428" operator="lessThan">
      <formula>0</formula>
    </cfRule>
  </conditionalFormatting>
  <conditionalFormatting sqref="X43">
    <cfRule type="iconSet" priority="427">
      <iconSet>
        <cfvo type="percent" val="0"/>
        <cfvo type="percent" val="&quot;$I$6&quot;"/>
        <cfvo type="percent" val="#REF!"/>
      </iconSet>
    </cfRule>
  </conditionalFormatting>
  <conditionalFormatting sqref="X44">
    <cfRule type="cellIs" dxfId="11147" priority="426" operator="lessThan">
      <formula>0</formula>
    </cfRule>
  </conditionalFormatting>
  <conditionalFormatting sqref="X42:X45">
    <cfRule type="cellIs" dxfId="11146" priority="425" operator="lessThan">
      <formula>0</formula>
    </cfRule>
  </conditionalFormatting>
  <conditionalFormatting sqref="AM50:AM53">
    <cfRule type="cellIs" dxfId="11145" priority="423" operator="notEqual">
      <formula>0</formula>
    </cfRule>
  </conditionalFormatting>
  <conditionalFormatting sqref="I52">
    <cfRule type="cellIs" dxfId="11144" priority="422" operator="greaterThan">
      <formula>0</formula>
    </cfRule>
  </conditionalFormatting>
  <conditionalFormatting sqref="AQ50">
    <cfRule type="cellIs" dxfId="11143" priority="421" operator="lessThan">
      <formula>0</formula>
    </cfRule>
  </conditionalFormatting>
  <conditionalFormatting sqref="AQ50 AQ52:AQ53">
    <cfRule type="cellIs" dxfId="11142" priority="420" operator="lessThan">
      <formula>0</formula>
    </cfRule>
  </conditionalFormatting>
  <conditionalFormatting sqref="AQ50 AQ52:AQ53">
    <cfRule type="cellIs" dxfId="11141" priority="419" operator="lessThan">
      <formula>0</formula>
    </cfRule>
  </conditionalFormatting>
  <conditionalFormatting sqref="AQ50 AQ52:AQ53">
    <cfRule type="cellIs" dxfId="11140" priority="418" operator="lessThan">
      <formula>0</formula>
    </cfRule>
  </conditionalFormatting>
  <conditionalFormatting sqref="AQ50 AQ52:AQ53">
    <cfRule type="cellIs" dxfId="11139" priority="417" operator="lessThan">
      <formula>0</formula>
    </cfRule>
  </conditionalFormatting>
  <conditionalFormatting sqref="AQ52:AQ53">
    <cfRule type="cellIs" dxfId="11138" priority="416" operator="lessThan">
      <formula>0</formula>
    </cfRule>
  </conditionalFormatting>
  <conditionalFormatting sqref="AQ52:AQ53">
    <cfRule type="cellIs" dxfId="11137" priority="415" operator="lessThan">
      <formula>0</formula>
    </cfRule>
  </conditionalFormatting>
  <conditionalFormatting sqref="AQ52:AQ53">
    <cfRule type="cellIs" dxfId="11136" priority="414" operator="lessThan">
      <formula>0</formula>
    </cfRule>
  </conditionalFormatting>
  <conditionalFormatting sqref="AQ52:AQ53">
    <cfRule type="cellIs" dxfId="11135" priority="413" operator="lessThan">
      <formula>0</formula>
    </cfRule>
  </conditionalFormatting>
  <conditionalFormatting sqref="AQ51">
    <cfRule type="cellIs" dxfId="11134" priority="412" operator="lessThan">
      <formula>0</formula>
    </cfRule>
  </conditionalFormatting>
  <conditionalFormatting sqref="AQ51">
    <cfRule type="cellIs" dxfId="11133" priority="411" operator="lessThan">
      <formula>0</formula>
    </cfRule>
  </conditionalFormatting>
  <conditionalFormatting sqref="AQ51">
    <cfRule type="cellIs" dxfId="11132" priority="410" operator="lessThan">
      <formula>0</formula>
    </cfRule>
  </conditionalFormatting>
  <conditionalFormatting sqref="AQ51">
    <cfRule type="cellIs" dxfId="11131" priority="409" operator="lessThan">
      <formula>0</formula>
    </cfRule>
  </conditionalFormatting>
  <conditionalFormatting sqref="AQ51">
    <cfRule type="cellIs" dxfId="11130" priority="408" operator="lessThan">
      <formula>0</formula>
    </cfRule>
  </conditionalFormatting>
  <conditionalFormatting sqref="AQ51">
    <cfRule type="cellIs" dxfId="11129" priority="407" operator="lessThan">
      <formula>0</formula>
    </cfRule>
  </conditionalFormatting>
  <conditionalFormatting sqref="AQ51">
    <cfRule type="cellIs" dxfId="11128" priority="406" operator="lessThan">
      <formula>0</formula>
    </cfRule>
  </conditionalFormatting>
  <conditionalFormatting sqref="AQ51">
    <cfRule type="cellIs" dxfId="11127" priority="405" operator="lessThan">
      <formula>0</formula>
    </cfRule>
  </conditionalFormatting>
  <conditionalFormatting sqref="AQ51">
    <cfRule type="cellIs" dxfId="11126" priority="404" operator="lessThan">
      <formula>0</formula>
    </cfRule>
  </conditionalFormatting>
  <conditionalFormatting sqref="AQ51">
    <cfRule type="cellIs" dxfId="11125" priority="403" operator="lessThan">
      <formula>0</formula>
    </cfRule>
  </conditionalFormatting>
  <conditionalFormatting sqref="AQ51">
    <cfRule type="cellIs" dxfId="11124" priority="402" operator="lessThan">
      <formula>0</formula>
    </cfRule>
  </conditionalFormatting>
  <conditionalFormatting sqref="AQ51">
    <cfRule type="cellIs" dxfId="11123" priority="401" operator="lessThan">
      <formula>0</formula>
    </cfRule>
  </conditionalFormatting>
  <conditionalFormatting sqref="AQ51">
    <cfRule type="cellIs" dxfId="11122" priority="400" operator="lessThan">
      <formula>0</formula>
    </cfRule>
  </conditionalFormatting>
  <conditionalFormatting sqref="AQ51">
    <cfRule type="cellIs" dxfId="11121" priority="399" operator="lessThan">
      <formula>0</formula>
    </cfRule>
  </conditionalFormatting>
  <conditionalFormatting sqref="AQ51">
    <cfRule type="cellIs" dxfId="11120" priority="398" operator="lessThan">
      <formula>0</formula>
    </cfRule>
  </conditionalFormatting>
  <conditionalFormatting sqref="AQ51">
    <cfRule type="cellIs" dxfId="11119" priority="397" operator="lessThan">
      <formula>0</formula>
    </cfRule>
  </conditionalFormatting>
  <conditionalFormatting sqref="AQ51">
    <cfRule type="cellIs" dxfId="11118" priority="396" operator="lessThan">
      <formula>0</formula>
    </cfRule>
  </conditionalFormatting>
  <conditionalFormatting sqref="AQ51">
    <cfRule type="cellIs" dxfId="11117" priority="395" operator="lessThan">
      <formula>0</formula>
    </cfRule>
  </conditionalFormatting>
  <conditionalFormatting sqref="AQ51">
    <cfRule type="cellIs" dxfId="11116" priority="394" operator="lessThan">
      <formula>0</formula>
    </cfRule>
  </conditionalFormatting>
  <conditionalFormatting sqref="AQ51">
    <cfRule type="cellIs" dxfId="11115" priority="393" operator="lessThan">
      <formula>0</formula>
    </cfRule>
  </conditionalFormatting>
  <conditionalFormatting sqref="AQ51">
    <cfRule type="cellIs" dxfId="11114" priority="392" operator="lessThan">
      <formula>0</formula>
    </cfRule>
  </conditionalFormatting>
  <conditionalFormatting sqref="AQ51">
    <cfRule type="cellIs" dxfId="11113" priority="391" operator="lessThan">
      <formula>0</formula>
    </cfRule>
  </conditionalFormatting>
  <conditionalFormatting sqref="AQ51">
    <cfRule type="cellIs" dxfId="11112" priority="390" operator="lessThan">
      <formula>0</formula>
    </cfRule>
  </conditionalFormatting>
  <conditionalFormatting sqref="AQ51">
    <cfRule type="cellIs" dxfId="11111" priority="389" operator="lessThan">
      <formula>0</formula>
    </cfRule>
  </conditionalFormatting>
  <conditionalFormatting sqref="AQ51">
    <cfRule type="cellIs" dxfId="11110" priority="388" operator="lessThan">
      <formula>0</formula>
    </cfRule>
  </conditionalFormatting>
  <conditionalFormatting sqref="AQ51">
    <cfRule type="cellIs" dxfId="11109" priority="387" operator="lessThan">
      <formula>0</formula>
    </cfRule>
  </conditionalFormatting>
  <conditionalFormatting sqref="AQ51">
    <cfRule type="cellIs" dxfId="11108" priority="386" operator="lessThan">
      <formula>0</formula>
    </cfRule>
  </conditionalFormatting>
  <conditionalFormatting sqref="AQ51">
    <cfRule type="cellIs" dxfId="11107" priority="385" operator="lessThan">
      <formula>0</formula>
    </cfRule>
  </conditionalFormatting>
  <conditionalFormatting sqref="AQ51">
    <cfRule type="cellIs" dxfId="11106" priority="384" operator="lessThan">
      <formula>0</formula>
    </cfRule>
  </conditionalFormatting>
  <conditionalFormatting sqref="AQ51">
    <cfRule type="cellIs" dxfId="11105" priority="383" operator="lessThan">
      <formula>0</formula>
    </cfRule>
  </conditionalFormatting>
  <conditionalFormatting sqref="AQ51">
    <cfRule type="cellIs" dxfId="11104" priority="382" operator="lessThan">
      <formula>0</formula>
    </cfRule>
  </conditionalFormatting>
  <conditionalFormatting sqref="AQ51">
    <cfRule type="cellIs" dxfId="11103" priority="381" operator="lessThan">
      <formula>0</formula>
    </cfRule>
  </conditionalFormatting>
  <conditionalFormatting sqref="Y51">
    <cfRule type="iconSet" priority="380">
      <iconSet>
        <cfvo type="percent" val="0"/>
        <cfvo type="percent" val="&quot;$I$6&quot;"/>
        <cfvo type="percent" val="#REF!"/>
      </iconSet>
    </cfRule>
  </conditionalFormatting>
  <conditionalFormatting sqref="Y52">
    <cfRule type="cellIs" dxfId="11102" priority="379" operator="lessThan">
      <formula>0</formula>
    </cfRule>
  </conditionalFormatting>
  <conditionalFormatting sqref="Y50:Y52">
    <cfRule type="cellIs" dxfId="11101" priority="378" operator="lessThan">
      <formula>0</formula>
    </cfRule>
  </conditionalFormatting>
  <conditionalFormatting sqref="Y53">
    <cfRule type="cellIs" dxfId="11100" priority="377" operator="lessThan">
      <formula>0</formula>
    </cfRule>
  </conditionalFormatting>
  <conditionalFormatting sqref="X51">
    <cfRule type="iconSet" priority="376">
      <iconSet>
        <cfvo type="percent" val="0"/>
        <cfvo type="percent" val="&quot;$I$6&quot;"/>
        <cfvo type="percent" val="#REF!"/>
      </iconSet>
    </cfRule>
  </conditionalFormatting>
  <conditionalFormatting sqref="X52">
    <cfRule type="cellIs" dxfId="11099" priority="375" operator="lessThan">
      <formula>0</formula>
    </cfRule>
  </conditionalFormatting>
  <conditionalFormatting sqref="X50:X53">
    <cfRule type="cellIs" dxfId="11098" priority="374" operator="lessThan">
      <formula>0</formula>
    </cfRule>
  </conditionalFormatting>
  <conditionalFormatting sqref="X78:X81">
    <cfRule type="cellIs" dxfId="11097" priority="373" operator="lessThan">
      <formula>0</formula>
    </cfRule>
  </conditionalFormatting>
  <conditionalFormatting sqref="AM78:AM81">
    <cfRule type="cellIs" dxfId="11096" priority="371" operator="notEqual">
      <formula>0</formula>
    </cfRule>
  </conditionalFormatting>
  <conditionalFormatting sqref="I80">
    <cfRule type="cellIs" dxfId="11095" priority="370" operator="greaterThan">
      <formula>0</formula>
    </cfRule>
  </conditionalFormatting>
  <conditionalFormatting sqref="J80">
    <cfRule type="cellIs" dxfId="11094" priority="369" operator="greaterThan">
      <formula>0</formula>
    </cfRule>
  </conditionalFormatting>
  <conditionalFormatting sqref="AQ78">
    <cfRule type="cellIs" dxfId="11093" priority="368" operator="lessThan">
      <formula>0</formula>
    </cfRule>
  </conditionalFormatting>
  <conditionalFormatting sqref="AQ78 AQ80:AQ81">
    <cfRule type="cellIs" dxfId="11092" priority="367" operator="lessThan">
      <formula>0</formula>
    </cfRule>
  </conditionalFormatting>
  <conditionalFormatting sqref="AQ78 AQ80:AQ81">
    <cfRule type="cellIs" dxfId="11091" priority="366" operator="lessThan">
      <formula>0</formula>
    </cfRule>
  </conditionalFormatting>
  <conditionalFormatting sqref="AQ78 AQ80:AQ81">
    <cfRule type="cellIs" dxfId="11090" priority="365" operator="lessThan">
      <formula>0</formula>
    </cfRule>
  </conditionalFormatting>
  <conditionalFormatting sqref="AQ78 AQ80:AQ81">
    <cfRule type="cellIs" dxfId="11089" priority="364" operator="lessThan">
      <formula>0</formula>
    </cfRule>
  </conditionalFormatting>
  <conditionalFormatting sqref="AQ80:AQ81">
    <cfRule type="cellIs" dxfId="11088" priority="363" operator="lessThan">
      <formula>0</formula>
    </cfRule>
  </conditionalFormatting>
  <conditionalFormatting sqref="AQ80:AQ81">
    <cfRule type="cellIs" dxfId="11087" priority="362" operator="lessThan">
      <formula>0</formula>
    </cfRule>
  </conditionalFormatting>
  <conditionalFormatting sqref="AQ80:AQ81">
    <cfRule type="cellIs" dxfId="11086" priority="361" operator="lessThan">
      <formula>0</formula>
    </cfRule>
  </conditionalFormatting>
  <conditionalFormatting sqref="AQ80:AQ81">
    <cfRule type="cellIs" dxfId="11085" priority="360" operator="lessThan">
      <formula>0</formula>
    </cfRule>
  </conditionalFormatting>
  <conditionalFormatting sqref="AQ79">
    <cfRule type="cellIs" dxfId="11084" priority="359" operator="lessThan">
      <formula>0</formula>
    </cfRule>
  </conditionalFormatting>
  <conditionalFormatting sqref="AQ79">
    <cfRule type="cellIs" dxfId="11083" priority="358" operator="lessThan">
      <formula>0</formula>
    </cfRule>
  </conditionalFormatting>
  <conditionalFormatting sqref="AQ79">
    <cfRule type="cellIs" dxfId="11082" priority="357" operator="lessThan">
      <formula>0</formula>
    </cfRule>
  </conditionalFormatting>
  <conditionalFormatting sqref="AQ79">
    <cfRule type="cellIs" dxfId="11081" priority="356" operator="lessThan">
      <formula>0</formula>
    </cfRule>
  </conditionalFormatting>
  <conditionalFormatting sqref="AQ79">
    <cfRule type="cellIs" dxfId="11080" priority="355" operator="lessThan">
      <formula>0</formula>
    </cfRule>
  </conditionalFormatting>
  <conditionalFormatting sqref="AQ79">
    <cfRule type="cellIs" dxfId="11079" priority="354" operator="lessThan">
      <formula>0</formula>
    </cfRule>
  </conditionalFormatting>
  <conditionalFormatting sqref="AQ79">
    <cfRule type="cellIs" dxfId="11078" priority="353" operator="lessThan">
      <formula>0</formula>
    </cfRule>
  </conditionalFormatting>
  <conditionalFormatting sqref="AQ79">
    <cfRule type="cellIs" dxfId="11077" priority="352" operator="lessThan">
      <formula>0</formula>
    </cfRule>
  </conditionalFormatting>
  <conditionalFormatting sqref="AQ79">
    <cfRule type="cellIs" dxfId="11076" priority="351" operator="lessThan">
      <formula>0</formula>
    </cfRule>
  </conditionalFormatting>
  <conditionalFormatting sqref="AQ79">
    <cfRule type="cellIs" dxfId="11075" priority="350" operator="lessThan">
      <formula>0</formula>
    </cfRule>
  </conditionalFormatting>
  <conditionalFormatting sqref="AQ79">
    <cfRule type="cellIs" dxfId="11074" priority="349" operator="lessThan">
      <formula>0</formula>
    </cfRule>
  </conditionalFormatting>
  <conditionalFormatting sqref="AQ79">
    <cfRule type="cellIs" dxfId="11073" priority="348" operator="lessThan">
      <formula>0</formula>
    </cfRule>
  </conditionalFormatting>
  <conditionalFormatting sqref="AQ79">
    <cfRule type="cellIs" dxfId="11072" priority="347" operator="lessThan">
      <formula>0</formula>
    </cfRule>
  </conditionalFormatting>
  <conditionalFormatting sqref="AQ79">
    <cfRule type="cellIs" dxfId="11071" priority="346" operator="lessThan">
      <formula>0</formula>
    </cfRule>
  </conditionalFormatting>
  <conditionalFormatting sqref="AQ79">
    <cfRule type="cellIs" dxfId="11070" priority="345" operator="lessThan">
      <formula>0</formula>
    </cfRule>
  </conditionalFormatting>
  <conditionalFormatting sqref="AQ79">
    <cfRule type="cellIs" dxfId="11069" priority="344" operator="lessThan">
      <formula>0</formula>
    </cfRule>
  </conditionalFormatting>
  <conditionalFormatting sqref="AQ79">
    <cfRule type="cellIs" dxfId="11068" priority="343" operator="lessThan">
      <formula>0</formula>
    </cfRule>
  </conditionalFormatting>
  <conditionalFormatting sqref="AQ79">
    <cfRule type="cellIs" dxfId="11067" priority="342" operator="lessThan">
      <formula>0</formula>
    </cfRule>
  </conditionalFormatting>
  <conditionalFormatting sqref="AQ79">
    <cfRule type="cellIs" dxfId="11066" priority="341" operator="lessThan">
      <formula>0</formula>
    </cfRule>
  </conditionalFormatting>
  <conditionalFormatting sqref="AQ79">
    <cfRule type="cellIs" dxfId="11065" priority="340" operator="lessThan">
      <formula>0</formula>
    </cfRule>
  </conditionalFormatting>
  <conditionalFormatting sqref="AQ79">
    <cfRule type="cellIs" dxfId="11064" priority="339" operator="lessThan">
      <formula>0</formula>
    </cfRule>
  </conditionalFormatting>
  <conditionalFormatting sqref="AQ79">
    <cfRule type="cellIs" dxfId="11063" priority="338" operator="lessThan">
      <formula>0</formula>
    </cfRule>
  </conditionalFormatting>
  <conditionalFormatting sqref="AQ79">
    <cfRule type="cellIs" dxfId="11062" priority="337" operator="lessThan">
      <formula>0</formula>
    </cfRule>
  </conditionalFormatting>
  <conditionalFormatting sqref="AQ79">
    <cfRule type="cellIs" dxfId="11061" priority="336" operator="lessThan">
      <formula>0</formula>
    </cfRule>
  </conditionalFormatting>
  <conditionalFormatting sqref="AQ79">
    <cfRule type="cellIs" dxfId="11060" priority="335" operator="lessThan">
      <formula>0</formula>
    </cfRule>
  </conditionalFormatting>
  <conditionalFormatting sqref="AQ79">
    <cfRule type="cellIs" dxfId="11059" priority="334" operator="lessThan">
      <formula>0</formula>
    </cfRule>
  </conditionalFormatting>
  <conditionalFormatting sqref="AQ79">
    <cfRule type="cellIs" dxfId="11058" priority="333" operator="lessThan">
      <formula>0</formula>
    </cfRule>
  </conditionalFormatting>
  <conditionalFormatting sqref="AQ79">
    <cfRule type="cellIs" dxfId="11057" priority="332" operator="lessThan">
      <formula>0</formula>
    </cfRule>
  </conditionalFormatting>
  <conditionalFormatting sqref="AQ79">
    <cfRule type="cellIs" dxfId="11056" priority="331" operator="lessThan">
      <formula>0</formula>
    </cfRule>
  </conditionalFormatting>
  <conditionalFormatting sqref="AQ79">
    <cfRule type="cellIs" dxfId="11055" priority="330" operator="lessThan">
      <formula>0</formula>
    </cfRule>
  </conditionalFormatting>
  <conditionalFormatting sqref="AQ79">
    <cfRule type="cellIs" dxfId="11054" priority="329" operator="lessThan">
      <formula>0</formula>
    </cfRule>
  </conditionalFormatting>
  <conditionalFormatting sqref="AQ79">
    <cfRule type="cellIs" dxfId="11053" priority="328" operator="lessThan">
      <formula>0</formula>
    </cfRule>
  </conditionalFormatting>
  <conditionalFormatting sqref="Y79">
    <cfRule type="iconSet" priority="327">
      <iconSet>
        <cfvo type="percent" val="0"/>
        <cfvo type="percent" val="&quot;$I$6&quot;"/>
        <cfvo type="percent" val="#REF!"/>
      </iconSet>
    </cfRule>
  </conditionalFormatting>
  <conditionalFormatting sqref="Y80">
    <cfRule type="cellIs" dxfId="11052" priority="326" operator="lessThan">
      <formula>0</formula>
    </cfRule>
  </conditionalFormatting>
  <conditionalFormatting sqref="Y78:Y80">
    <cfRule type="cellIs" dxfId="11051" priority="325" operator="lessThan">
      <formula>0</formula>
    </cfRule>
  </conditionalFormatting>
  <conditionalFormatting sqref="Y81">
    <cfRule type="cellIs" dxfId="11050" priority="324" operator="lessThan">
      <formula>0</formula>
    </cfRule>
  </conditionalFormatting>
  <conditionalFormatting sqref="X79">
    <cfRule type="iconSet" priority="323">
      <iconSet>
        <cfvo type="percent" val="0"/>
        <cfvo type="percent" val="&quot;$I$6&quot;"/>
        <cfvo type="percent" val="#REF!"/>
      </iconSet>
    </cfRule>
  </conditionalFormatting>
  <conditionalFormatting sqref="X80">
    <cfRule type="cellIs" dxfId="11049" priority="322" operator="lessThan">
      <formula>0</formula>
    </cfRule>
  </conditionalFormatting>
  <conditionalFormatting sqref="AM18:AM21">
    <cfRule type="cellIs" dxfId="11048" priority="320" operator="notEqual">
      <formula>0</formula>
    </cfRule>
  </conditionalFormatting>
  <conditionalFormatting sqref="I20">
    <cfRule type="cellIs" dxfId="11047" priority="319" operator="greaterThan">
      <formula>0</formula>
    </cfRule>
  </conditionalFormatting>
  <conditionalFormatting sqref="AQ18">
    <cfRule type="cellIs" dxfId="11046" priority="317" operator="lessThan">
      <formula>0</formula>
    </cfRule>
  </conditionalFormatting>
  <conditionalFormatting sqref="AQ18 AQ20:AQ21">
    <cfRule type="cellIs" dxfId="11045" priority="316" operator="lessThan">
      <formula>0</formula>
    </cfRule>
  </conditionalFormatting>
  <conditionalFormatting sqref="AQ18 AQ20:AQ21">
    <cfRule type="cellIs" dxfId="11044" priority="315" operator="lessThan">
      <formula>0</formula>
    </cfRule>
  </conditionalFormatting>
  <conditionalFormatting sqref="AQ18 AQ20:AQ21">
    <cfRule type="cellIs" dxfId="11043" priority="314" operator="lessThan">
      <formula>0</formula>
    </cfRule>
  </conditionalFormatting>
  <conditionalFormatting sqref="AQ18 AQ20:AQ21">
    <cfRule type="cellIs" dxfId="11042" priority="313" operator="lessThan">
      <formula>0</formula>
    </cfRule>
  </conditionalFormatting>
  <conditionalFormatting sqref="AQ20:AQ21">
    <cfRule type="cellIs" dxfId="11041" priority="312" operator="lessThan">
      <formula>0</formula>
    </cfRule>
  </conditionalFormatting>
  <conditionalFormatting sqref="AQ20:AQ21">
    <cfRule type="cellIs" dxfId="11040" priority="311" operator="lessThan">
      <formula>0</formula>
    </cfRule>
  </conditionalFormatting>
  <conditionalFormatting sqref="AQ20:AQ21">
    <cfRule type="cellIs" dxfId="11039" priority="310" operator="lessThan">
      <formula>0</formula>
    </cfRule>
  </conditionalFormatting>
  <conditionalFormatting sqref="AQ20:AQ21">
    <cfRule type="cellIs" dxfId="11038" priority="309" operator="lessThan">
      <formula>0</formula>
    </cfRule>
  </conditionalFormatting>
  <conditionalFormatting sqref="AQ19">
    <cfRule type="cellIs" dxfId="11037" priority="308" operator="lessThan">
      <formula>0</formula>
    </cfRule>
  </conditionalFormatting>
  <conditionalFormatting sqref="AQ19">
    <cfRule type="cellIs" dxfId="11036" priority="307" operator="lessThan">
      <formula>0</formula>
    </cfRule>
  </conditionalFormatting>
  <conditionalFormatting sqref="AQ19">
    <cfRule type="cellIs" dxfId="11035" priority="306" operator="lessThan">
      <formula>0</formula>
    </cfRule>
  </conditionalFormatting>
  <conditionalFormatting sqref="AQ19">
    <cfRule type="cellIs" dxfId="11034" priority="305" operator="lessThan">
      <formula>0</formula>
    </cfRule>
  </conditionalFormatting>
  <conditionalFormatting sqref="AQ19">
    <cfRule type="cellIs" dxfId="11033" priority="304" operator="lessThan">
      <formula>0</formula>
    </cfRule>
  </conditionalFormatting>
  <conditionalFormatting sqref="AQ19">
    <cfRule type="cellIs" dxfId="11032" priority="303" operator="lessThan">
      <formula>0</formula>
    </cfRule>
  </conditionalFormatting>
  <conditionalFormatting sqref="AQ19">
    <cfRule type="cellIs" dxfId="11031" priority="302" operator="lessThan">
      <formula>0</formula>
    </cfRule>
  </conditionalFormatting>
  <conditionalFormatting sqref="AQ19">
    <cfRule type="cellIs" dxfId="11030" priority="301" operator="lessThan">
      <formula>0</formula>
    </cfRule>
  </conditionalFormatting>
  <conditionalFormatting sqref="AQ19">
    <cfRule type="cellIs" dxfId="11029" priority="300" operator="lessThan">
      <formula>0</formula>
    </cfRule>
  </conditionalFormatting>
  <conditionalFormatting sqref="AQ19">
    <cfRule type="cellIs" dxfId="11028" priority="299" operator="lessThan">
      <formula>0</formula>
    </cfRule>
  </conditionalFormatting>
  <conditionalFormatting sqref="AQ19">
    <cfRule type="cellIs" dxfId="11027" priority="298" operator="lessThan">
      <formula>0</formula>
    </cfRule>
  </conditionalFormatting>
  <conditionalFormatting sqref="AQ19">
    <cfRule type="cellIs" dxfId="11026" priority="297" operator="lessThan">
      <formula>0</formula>
    </cfRule>
  </conditionalFormatting>
  <conditionalFormatting sqref="AQ19">
    <cfRule type="cellIs" dxfId="11025" priority="296" operator="lessThan">
      <formula>0</formula>
    </cfRule>
  </conditionalFormatting>
  <conditionalFormatting sqref="AQ19">
    <cfRule type="cellIs" dxfId="11024" priority="295" operator="lessThan">
      <formula>0</formula>
    </cfRule>
  </conditionalFormatting>
  <conditionalFormatting sqref="AQ19">
    <cfRule type="cellIs" dxfId="11023" priority="294" operator="lessThan">
      <formula>0</formula>
    </cfRule>
  </conditionalFormatting>
  <conditionalFormatting sqref="AQ19">
    <cfRule type="cellIs" dxfId="11022" priority="293" operator="lessThan">
      <formula>0</formula>
    </cfRule>
  </conditionalFormatting>
  <conditionalFormatting sqref="AQ19">
    <cfRule type="cellIs" dxfId="11021" priority="292" operator="lessThan">
      <formula>0</formula>
    </cfRule>
  </conditionalFormatting>
  <conditionalFormatting sqref="AQ19">
    <cfRule type="cellIs" dxfId="11020" priority="291" operator="lessThan">
      <formula>0</formula>
    </cfRule>
  </conditionalFormatting>
  <conditionalFormatting sqref="AQ19">
    <cfRule type="cellIs" dxfId="11019" priority="290" operator="lessThan">
      <formula>0</formula>
    </cfRule>
  </conditionalFormatting>
  <conditionalFormatting sqref="AQ19">
    <cfRule type="cellIs" dxfId="11018" priority="289" operator="lessThan">
      <formula>0</formula>
    </cfRule>
  </conditionalFormatting>
  <conditionalFormatting sqref="AQ19">
    <cfRule type="cellIs" dxfId="11017" priority="288" operator="lessThan">
      <formula>0</formula>
    </cfRule>
  </conditionalFormatting>
  <conditionalFormatting sqref="AQ19">
    <cfRule type="cellIs" dxfId="11016" priority="287" operator="lessThan">
      <formula>0</formula>
    </cfRule>
  </conditionalFormatting>
  <conditionalFormatting sqref="AQ19">
    <cfRule type="cellIs" dxfId="11015" priority="286" operator="lessThan">
      <formula>0</formula>
    </cfRule>
  </conditionalFormatting>
  <conditionalFormatting sqref="AQ19">
    <cfRule type="cellIs" dxfId="11014" priority="285" operator="lessThan">
      <formula>0</formula>
    </cfRule>
  </conditionalFormatting>
  <conditionalFormatting sqref="AQ19">
    <cfRule type="cellIs" dxfId="11013" priority="284" operator="lessThan">
      <formula>0</formula>
    </cfRule>
  </conditionalFormatting>
  <conditionalFormatting sqref="AQ19">
    <cfRule type="cellIs" dxfId="11012" priority="283" operator="lessThan">
      <formula>0</formula>
    </cfRule>
  </conditionalFormatting>
  <conditionalFormatting sqref="AQ19">
    <cfRule type="cellIs" dxfId="11011" priority="282" operator="lessThan">
      <formula>0</formula>
    </cfRule>
  </conditionalFormatting>
  <conditionalFormatting sqref="AQ19">
    <cfRule type="cellIs" dxfId="11010" priority="281" operator="lessThan">
      <formula>0</formula>
    </cfRule>
  </conditionalFormatting>
  <conditionalFormatting sqref="AQ19">
    <cfRule type="cellIs" dxfId="11009" priority="280" operator="lessThan">
      <formula>0</formula>
    </cfRule>
  </conditionalFormatting>
  <conditionalFormatting sqref="AQ19">
    <cfRule type="cellIs" dxfId="11008" priority="279" operator="lessThan">
      <formula>0</formula>
    </cfRule>
  </conditionalFormatting>
  <conditionalFormatting sqref="AQ19">
    <cfRule type="cellIs" dxfId="11007" priority="278" operator="lessThan">
      <formula>0</formula>
    </cfRule>
  </conditionalFormatting>
  <conditionalFormatting sqref="AQ19">
    <cfRule type="cellIs" dxfId="11006" priority="277" operator="lessThan">
      <formula>0</formula>
    </cfRule>
  </conditionalFormatting>
  <conditionalFormatting sqref="Y19">
    <cfRule type="iconSet" priority="276">
      <iconSet>
        <cfvo type="percent" val="0"/>
        <cfvo type="percent" val="&quot;$I$6&quot;"/>
        <cfvo type="percent" val="#REF!"/>
      </iconSet>
    </cfRule>
  </conditionalFormatting>
  <conditionalFormatting sqref="Y20">
    <cfRule type="cellIs" dxfId="11005" priority="275" operator="lessThan">
      <formula>0</formula>
    </cfRule>
  </conditionalFormatting>
  <conditionalFormatting sqref="Y18:Y20">
    <cfRule type="cellIs" dxfId="11004" priority="274" operator="lessThan">
      <formula>0</formula>
    </cfRule>
  </conditionalFormatting>
  <conditionalFormatting sqref="Y21">
    <cfRule type="cellIs" dxfId="11003" priority="273" operator="lessThan">
      <formula>0</formula>
    </cfRule>
  </conditionalFormatting>
  <conditionalFormatting sqref="X19">
    <cfRule type="iconSet" priority="272">
      <iconSet>
        <cfvo type="percent" val="0"/>
        <cfvo type="percent" val="&quot;$I$6&quot;"/>
        <cfvo type="percent" val="#REF!"/>
      </iconSet>
    </cfRule>
  </conditionalFormatting>
  <conditionalFormatting sqref="X20">
    <cfRule type="cellIs" dxfId="11002" priority="271" operator="lessThan">
      <formula>0</formula>
    </cfRule>
  </conditionalFormatting>
  <conditionalFormatting sqref="X18:X21">
    <cfRule type="cellIs" dxfId="11001" priority="270" operator="lessThan">
      <formula>0</formula>
    </cfRule>
  </conditionalFormatting>
  <conditionalFormatting sqref="AQ31">
    <cfRule type="cellIs" dxfId="11000" priority="269" operator="lessThan">
      <formula>0</formula>
    </cfRule>
  </conditionalFormatting>
  <conditionalFormatting sqref="AQ31">
    <cfRule type="cellIs" dxfId="10999" priority="268" operator="lessThan">
      <formula>0</formula>
    </cfRule>
  </conditionalFormatting>
  <conditionalFormatting sqref="AQ31">
    <cfRule type="cellIs" dxfId="10998" priority="267" operator="lessThan">
      <formula>0</formula>
    </cfRule>
  </conditionalFormatting>
  <conditionalFormatting sqref="AQ31">
    <cfRule type="cellIs" dxfId="10997" priority="266" operator="lessThan">
      <formula>0</formula>
    </cfRule>
  </conditionalFormatting>
  <conditionalFormatting sqref="AQ31">
    <cfRule type="cellIs" dxfId="10996" priority="265" operator="lessThan">
      <formula>0</formula>
    </cfRule>
  </conditionalFormatting>
  <conditionalFormatting sqref="AQ31">
    <cfRule type="cellIs" dxfId="10995" priority="264" operator="lessThan">
      <formula>0</formula>
    </cfRule>
  </conditionalFormatting>
  <conditionalFormatting sqref="AQ31">
    <cfRule type="cellIs" dxfId="10994" priority="263" operator="lessThan">
      <formula>0</formula>
    </cfRule>
  </conditionalFormatting>
  <conditionalFormatting sqref="AQ31">
    <cfRule type="cellIs" dxfId="10993" priority="262" operator="lessThan">
      <formula>0</formula>
    </cfRule>
  </conditionalFormatting>
  <conditionalFormatting sqref="AQ31">
    <cfRule type="cellIs" dxfId="10992" priority="261" operator="lessThan">
      <formula>0</formula>
    </cfRule>
  </conditionalFormatting>
  <conditionalFormatting sqref="AQ31">
    <cfRule type="cellIs" dxfId="10991" priority="260" operator="lessThan">
      <formula>0</formula>
    </cfRule>
  </conditionalFormatting>
  <conditionalFormatting sqref="AQ31">
    <cfRule type="cellIs" dxfId="10990" priority="259" operator="lessThan">
      <formula>0</formula>
    </cfRule>
  </conditionalFormatting>
  <conditionalFormatting sqref="AQ31">
    <cfRule type="cellIs" dxfId="10989" priority="258" operator="lessThan">
      <formula>0</formula>
    </cfRule>
  </conditionalFormatting>
  <conditionalFormatting sqref="AQ31">
    <cfRule type="cellIs" dxfId="10988" priority="257" operator="lessThan">
      <formula>0</formula>
    </cfRule>
  </conditionalFormatting>
  <conditionalFormatting sqref="AQ31">
    <cfRule type="cellIs" dxfId="10987" priority="256" operator="lessThan">
      <formula>0</formula>
    </cfRule>
  </conditionalFormatting>
  <conditionalFormatting sqref="AQ31">
    <cfRule type="cellIs" dxfId="10986" priority="255" operator="lessThan">
      <formula>0</formula>
    </cfRule>
  </conditionalFormatting>
  <conditionalFormatting sqref="AQ31">
    <cfRule type="cellIs" dxfId="10985" priority="254" operator="lessThan">
      <formula>0</formula>
    </cfRule>
  </conditionalFormatting>
  <conditionalFormatting sqref="AQ31">
    <cfRule type="cellIs" dxfId="10984" priority="238" operator="lessThan">
      <formula>0</formula>
    </cfRule>
  </conditionalFormatting>
  <conditionalFormatting sqref="AQ31">
    <cfRule type="cellIs" dxfId="10983" priority="253" operator="lessThan">
      <formula>0</formula>
    </cfRule>
  </conditionalFormatting>
  <conditionalFormatting sqref="AQ31">
    <cfRule type="cellIs" dxfId="10982" priority="252" operator="lessThan">
      <formula>0</formula>
    </cfRule>
  </conditionalFormatting>
  <conditionalFormatting sqref="AQ31">
    <cfRule type="cellIs" dxfId="10981" priority="251" operator="lessThan">
      <formula>0</formula>
    </cfRule>
  </conditionalFormatting>
  <conditionalFormatting sqref="AQ31">
    <cfRule type="cellIs" dxfId="10980" priority="250" operator="lessThan">
      <formula>0</formula>
    </cfRule>
  </conditionalFormatting>
  <conditionalFormatting sqref="AQ31">
    <cfRule type="cellIs" dxfId="10979" priority="249" operator="lessThan">
      <formula>0</formula>
    </cfRule>
  </conditionalFormatting>
  <conditionalFormatting sqref="AQ31">
    <cfRule type="cellIs" dxfId="10978" priority="248" operator="lessThan">
      <formula>0</formula>
    </cfRule>
  </conditionalFormatting>
  <conditionalFormatting sqref="AQ31">
    <cfRule type="cellIs" dxfId="10977" priority="247" operator="lessThan">
      <formula>0</formula>
    </cfRule>
  </conditionalFormatting>
  <conditionalFormatting sqref="AQ31">
    <cfRule type="cellIs" dxfId="10976" priority="246" operator="lessThan">
      <formula>0</formula>
    </cfRule>
  </conditionalFormatting>
  <conditionalFormatting sqref="AQ31">
    <cfRule type="cellIs" dxfId="10975" priority="245" operator="lessThan">
      <formula>0</formula>
    </cfRule>
  </conditionalFormatting>
  <conditionalFormatting sqref="AQ31">
    <cfRule type="cellIs" dxfId="10974" priority="244" operator="lessThan">
      <formula>0</formula>
    </cfRule>
  </conditionalFormatting>
  <conditionalFormatting sqref="AQ31">
    <cfRule type="cellIs" dxfId="10973" priority="243" operator="lessThan">
      <formula>0</formula>
    </cfRule>
  </conditionalFormatting>
  <conditionalFormatting sqref="AQ31">
    <cfRule type="cellIs" dxfId="10972" priority="242" operator="lessThan">
      <formula>0</formula>
    </cfRule>
  </conditionalFormatting>
  <conditionalFormatting sqref="AQ31">
    <cfRule type="cellIs" dxfId="10971" priority="241" operator="lessThan">
      <formula>0</formula>
    </cfRule>
  </conditionalFormatting>
  <conditionalFormatting sqref="AQ31">
    <cfRule type="cellIs" dxfId="10970" priority="240" operator="lessThan">
      <formula>0</formula>
    </cfRule>
  </conditionalFormatting>
  <conditionalFormatting sqref="AQ31">
    <cfRule type="cellIs" dxfId="10969" priority="239" operator="lessThan">
      <formula>0</formula>
    </cfRule>
  </conditionalFormatting>
  <conditionalFormatting sqref="X106:X109">
    <cfRule type="cellIs" dxfId="10968" priority="237" operator="lessThan">
      <formula>0</formula>
    </cfRule>
  </conditionalFormatting>
  <conditionalFormatting sqref="AM106:AM109">
    <cfRule type="cellIs" dxfId="10967" priority="235" operator="notEqual">
      <formula>0</formula>
    </cfRule>
  </conditionalFormatting>
  <conditionalFormatting sqref="I108">
    <cfRule type="cellIs" dxfId="10966" priority="234" operator="greaterThan">
      <formula>0</formula>
    </cfRule>
  </conditionalFormatting>
  <conditionalFormatting sqref="J108">
    <cfRule type="cellIs" dxfId="10965" priority="233" operator="greaterThan">
      <formula>0</formula>
    </cfRule>
  </conditionalFormatting>
  <conditionalFormatting sqref="AQ106">
    <cfRule type="cellIs" dxfId="10964" priority="232" operator="lessThan">
      <formula>0</formula>
    </cfRule>
  </conditionalFormatting>
  <conditionalFormatting sqref="AQ106 AQ108:AQ109">
    <cfRule type="cellIs" dxfId="10963" priority="231" operator="lessThan">
      <formula>0</formula>
    </cfRule>
  </conditionalFormatting>
  <conditionalFormatting sqref="AQ106 AQ108:AQ109">
    <cfRule type="cellIs" dxfId="10962" priority="230" operator="lessThan">
      <formula>0</formula>
    </cfRule>
  </conditionalFormatting>
  <conditionalFormatting sqref="AQ106 AQ108:AQ109">
    <cfRule type="cellIs" dxfId="10961" priority="229" operator="lessThan">
      <formula>0</formula>
    </cfRule>
  </conditionalFormatting>
  <conditionalFormatting sqref="AQ106 AQ108:AQ109">
    <cfRule type="cellIs" dxfId="10960" priority="228" operator="lessThan">
      <formula>0</formula>
    </cfRule>
  </conditionalFormatting>
  <conditionalFormatting sqref="AQ108:AQ109">
    <cfRule type="cellIs" dxfId="10959" priority="227" operator="lessThan">
      <formula>0</formula>
    </cfRule>
  </conditionalFormatting>
  <conditionalFormatting sqref="AQ108:AQ109">
    <cfRule type="cellIs" dxfId="10958" priority="226" operator="lessThan">
      <formula>0</formula>
    </cfRule>
  </conditionalFormatting>
  <conditionalFormatting sqref="AQ108:AQ109">
    <cfRule type="cellIs" dxfId="10957" priority="225" operator="lessThan">
      <formula>0</formula>
    </cfRule>
  </conditionalFormatting>
  <conditionalFormatting sqref="AQ108:AQ109">
    <cfRule type="cellIs" dxfId="10956" priority="224" operator="lessThan">
      <formula>0</formula>
    </cfRule>
  </conditionalFormatting>
  <conditionalFormatting sqref="AQ107">
    <cfRule type="cellIs" dxfId="10955" priority="223" operator="lessThan">
      <formula>0</formula>
    </cfRule>
  </conditionalFormatting>
  <conditionalFormatting sqref="AQ107">
    <cfRule type="cellIs" dxfId="10954" priority="222" operator="lessThan">
      <formula>0</formula>
    </cfRule>
  </conditionalFormatting>
  <conditionalFormatting sqref="AQ107">
    <cfRule type="cellIs" dxfId="10953" priority="221" operator="lessThan">
      <formula>0</formula>
    </cfRule>
  </conditionalFormatting>
  <conditionalFormatting sqref="AQ107">
    <cfRule type="cellIs" dxfId="10952" priority="220" operator="lessThan">
      <formula>0</formula>
    </cfRule>
  </conditionalFormatting>
  <conditionalFormatting sqref="AQ107">
    <cfRule type="cellIs" dxfId="10951" priority="219" operator="lessThan">
      <formula>0</formula>
    </cfRule>
  </conditionalFormatting>
  <conditionalFormatting sqref="AQ107">
    <cfRule type="cellIs" dxfId="10950" priority="218" operator="lessThan">
      <formula>0</formula>
    </cfRule>
  </conditionalFormatting>
  <conditionalFormatting sqref="AQ107">
    <cfRule type="cellIs" dxfId="10949" priority="217" operator="lessThan">
      <formula>0</formula>
    </cfRule>
  </conditionalFormatting>
  <conditionalFormatting sqref="AQ107">
    <cfRule type="cellIs" dxfId="10948" priority="216" operator="lessThan">
      <formula>0</formula>
    </cfRule>
  </conditionalFormatting>
  <conditionalFormatting sqref="AQ107">
    <cfRule type="cellIs" dxfId="10947" priority="215" operator="lessThan">
      <formula>0</formula>
    </cfRule>
  </conditionalFormatting>
  <conditionalFormatting sqref="AQ107">
    <cfRule type="cellIs" dxfId="10946" priority="214" operator="lessThan">
      <formula>0</formula>
    </cfRule>
  </conditionalFormatting>
  <conditionalFormatting sqref="AQ107">
    <cfRule type="cellIs" dxfId="10945" priority="213" operator="lessThan">
      <formula>0</formula>
    </cfRule>
  </conditionalFormatting>
  <conditionalFormatting sqref="AQ107">
    <cfRule type="cellIs" dxfId="10944" priority="212" operator="lessThan">
      <formula>0</formula>
    </cfRule>
  </conditionalFormatting>
  <conditionalFormatting sqref="AQ107">
    <cfRule type="cellIs" dxfId="10943" priority="211" operator="lessThan">
      <formula>0</formula>
    </cfRule>
  </conditionalFormatting>
  <conditionalFormatting sqref="AQ107">
    <cfRule type="cellIs" dxfId="10942" priority="210" operator="lessThan">
      <formula>0</formula>
    </cfRule>
  </conditionalFormatting>
  <conditionalFormatting sqref="AQ107">
    <cfRule type="cellIs" dxfId="10941" priority="209" operator="lessThan">
      <formula>0</formula>
    </cfRule>
  </conditionalFormatting>
  <conditionalFormatting sqref="AQ107">
    <cfRule type="cellIs" dxfId="10940" priority="208" operator="lessThan">
      <formula>0</formula>
    </cfRule>
  </conditionalFormatting>
  <conditionalFormatting sqref="AQ107">
    <cfRule type="cellIs" dxfId="10939" priority="207" operator="lessThan">
      <formula>0</formula>
    </cfRule>
  </conditionalFormatting>
  <conditionalFormatting sqref="AQ107">
    <cfRule type="cellIs" dxfId="10938" priority="206" operator="lessThan">
      <formula>0</formula>
    </cfRule>
  </conditionalFormatting>
  <conditionalFormatting sqref="AQ107">
    <cfRule type="cellIs" dxfId="10937" priority="205" operator="lessThan">
      <formula>0</formula>
    </cfRule>
  </conditionalFormatting>
  <conditionalFormatting sqref="AQ107">
    <cfRule type="cellIs" dxfId="10936" priority="204" operator="lessThan">
      <formula>0</formula>
    </cfRule>
  </conditionalFormatting>
  <conditionalFormatting sqref="AQ107">
    <cfRule type="cellIs" dxfId="10935" priority="203" operator="lessThan">
      <formula>0</formula>
    </cfRule>
  </conditionalFormatting>
  <conditionalFormatting sqref="AQ107">
    <cfRule type="cellIs" dxfId="10934" priority="202" operator="lessThan">
      <formula>0</formula>
    </cfRule>
  </conditionalFormatting>
  <conditionalFormatting sqref="AQ107">
    <cfRule type="cellIs" dxfId="10933" priority="201" operator="lessThan">
      <formula>0</formula>
    </cfRule>
  </conditionalFormatting>
  <conditionalFormatting sqref="AQ107">
    <cfRule type="cellIs" dxfId="10932" priority="200" operator="lessThan">
      <formula>0</formula>
    </cfRule>
  </conditionalFormatting>
  <conditionalFormatting sqref="AQ107">
    <cfRule type="cellIs" dxfId="10931" priority="199" operator="lessThan">
      <formula>0</formula>
    </cfRule>
  </conditionalFormatting>
  <conditionalFormatting sqref="AQ107">
    <cfRule type="cellIs" dxfId="10930" priority="198" operator="lessThan">
      <formula>0</formula>
    </cfRule>
  </conditionalFormatting>
  <conditionalFormatting sqref="AQ107">
    <cfRule type="cellIs" dxfId="10929" priority="197" operator="lessThan">
      <formula>0</formula>
    </cfRule>
  </conditionalFormatting>
  <conditionalFormatting sqref="AQ107">
    <cfRule type="cellIs" dxfId="10928" priority="196" operator="lessThan">
      <formula>0</formula>
    </cfRule>
  </conditionalFormatting>
  <conditionalFormatting sqref="AQ107">
    <cfRule type="cellIs" dxfId="10927" priority="195" operator="lessThan">
      <formula>0</formula>
    </cfRule>
  </conditionalFormatting>
  <conditionalFormatting sqref="AQ107">
    <cfRule type="cellIs" dxfId="10926" priority="194" operator="lessThan">
      <formula>0</formula>
    </cfRule>
  </conditionalFormatting>
  <conditionalFormatting sqref="AQ107">
    <cfRule type="cellIs" dxfId="10925" priority="193" operator="lessThan">
      <formula>0</formula>
    </cfRule>
  </conditionalFormatting>
  <conditionalFormatting sqref="AQ107">
    <cfRule type="cellIs" dxfId="10924" priority="192" operator="lessThan">
      <formula>0</formula>
    </cfRule>
  </conditionalFormatting>
  <conditionalFormatting sqref="Y107">
    <cfRule type="iconSet" priority="191">
      <iconSet>
        <cfvo type="percent" val="0"/>
        <cfvo type="percent" val="&quot;$I$6&quot;"/>
        <cfvo type="percent" val="#REF!"/>
      </iconSet>
    </cfRule>
  </conditionalFormatting>
  <conditionalFormatting sqref="Y108">
    <cfRule type="cellIs" dxfId="10923" priority="190" operator="lessThan">
      <formula>0</formula>
    </cfRule>
  </conditionalFormatting>
  <conditionalFormatting sqref="Y106:Y108">
    <cfRule type="cellIs" dxfId="10922" priority="189" operator="lessThan">
      <formula>0</formula>
    </cfRule>
  </conditionalFormatting>
  <conditionalFormatting sqref="Y109">
    <cfRule type="cellIs" dxfId="10921" priority="188" operator="lessThan">
      <formula>0</formula>
    </cfRule>
  </conditionalFormatting>
  <conditionalFormatting sqref="X107">
    <cfRule type="iconSet" priority="187">
      <iconSet>
        <cfvo type="percent" val="0"/>
        <cfvo type="percent" val="&quot;$I$6&quot;"/>
        <cfvo type="percent" val="#REF!"/>
      </iconSet>
    </cfRule>
  </conditionalFormatting>
  <conditionalFormatting sqref="X108">
    <cfRule type="cellIs" dxfId="10920" priority="186" operator="lessThan">
      <formula>0</formula>
    </cfRule>
  </conditionalFormatting>
  <conditionalFormatting sqref="AQ62">
    <cfRule type="cellIs" dxfId="10919" priority="183" operator="lessThan">
      <formula>0</formula>
    </cfRule>
  </conditionalFormatting>
  <conditionalFormatting sqref="X62:X65">
    <cfRule type="cellIs" dxfId="10918" priority="182" operator="lessThan">
      <formula>0</formula>
    </cfRule>
  </conditionalFormatting>
  <conditionalFormatting sqref="AM62:AM65">
    <cfRule type="cellIs" dxfId="10917" priority="180" operator="notEqual">
      <formula>0</formula>
    </cfRule>
  </conditionalFormatting>
  <conditionalFormatting sqref="I64">
    <cfRule type="cellIs" dxfId="10916" priority="179" operator="greaterThan">
      <formula>0</formula>
    </cfRule>
  </conditionalFormatting>
  <conditionalFormatting sqref="J64">
    <cfRule type="cellIs" dxfId="10915" priority="178" operator="greaterThan">
      <formula>0</formula>
    </cfRule>
  </conditionalFormatting>
  <conditionalFormatting sqref="AQ62">
    <cfRule type="cellIs" dxfId="10914" priority="177" operator="lessThan">
      <formula>0</formula>
    </cfRule>
  </conditionalFormatting>
  <conditionalFormatting sqref="AQ62 AQ64:AQ65">
    <cfRule type="cellIs" dxfId="10913" priority="176" operator="lessThan">
      <formula>0</formula>
    </cfRule>
  </conditionalFormatting>
  <conditionalFormatting sqref="AQ62 AQ64:AQ65">
    <cfRule type="cellIs" dxfId="10912" priority="175" operator="lessThan">
      <formula>0</formula>
    </cfRule>
  </conditionalFormatting>
  <conditionalFormatting sqref="AQ62 AQ64:AQ65">
    <cfRule type="cellIs" dxfId="10911" priority="174" operator="lessThan">
      <formula>0</formula>
    </cfRule>
  </conditionalFormatting>
  <conditionalFormatting sqref="AQ62 AQ64:AQ65">
    <cfRule type="cellIs" dxfId="10910" priority="173" operator="lessThan">
      <formula>0</formula>
    </cfRule>
  </conditionalFormatting>
  <conditionalFormatting sqref="AQ64:AQ65">
    <cfRule type="cellIs" dxfId="10909" priority="172" operator="lessThan">
      <formula>0</formula>
    </cfRule>
  </conditionalFormatting>
  <conditionalFormatting sqref="AQ64:AQ65">
    <cfRule type="cellIs" dxfId="10908" priority="171" operator="lessThan">
      <formula>0</formula>
    </cfRule>
  </conditionalFormatting>
  <conditionalFormatting sqref="AQ64:AQ65">
    <cfRule type="cellIs" dxfId="10907" priority="170" operator="lessThan">
      <formula>0</formula>
    </cfRule>
  </conditionalFormatting>
  <conditionalFormatting sqref="AQ64:AQ65">
    <cfRule type="cellIs" dxfId="10906" priority="169" operator="lessThan">
      <formula>0</formula>
    </cfRule>
  </conditionalFormatting>
  <conditionalFormatting sqref="AQ63">
    <cfRule type="cellIs" dxfId="10905" priority="168" operator="lessThan">
      <formula>0</formula>
    </cfRule>
  </conditionalFormatting>
  <conditionalFormatting sqref="AQ63">
    <cfRule type="cellIs" dxfId="10904" priority="167" operator="lessThan">
      <formula>0</formula>
    </cfRule>
  </conditionalFormatting>
  <conditionalFormatting sqref="AQ63">
    <cfRule type="cellIs" dxfId="10903" priority="166" operator="lessThan">
      <formula>0</formula>
    </cfRule>
  </conditionalFormatting>
  <conditionalFormatting sqref="AQ63">
    <cfRule type="cellIs" dxfId="10902" priority="165" operator="lessThan">
      <formula>0</formula>
    </cfRule>
  </conditionalFormatting>
  <conditionalFormatting sqref="AQ63">
    <cfRule type="cellIs" dxfId="10901" priority="164" operator="lessThan">
      <formula>0</formula>
    </cfRule>
  </conditionalFormatting>
  <conditionalFormatting sqref="AQ63">
    <cfRule type="cellIs" dxfId="10900" priority="163" operator="lessThan">
      <formula>0</formula>
    </cfRule>
  </conditionalFormatting>
  <conditionalFormatting sqref="AQ63">
    <cfRule type="cellIs" dxfId="10899" priority="162" operator="lessThan">
      <formula>0</formula>
    </cfRule>
  </conditionalFormatting>
  <conditionalFormatting sqref="AQ63">
    <cfRule type="cellIs" dxfId="10898" priority="161" operator="lessThan">
      <formula>0</formula>
    </cfRule>
  </conditionalFormatting>
  <conditionalFormatting sqref="AQ63">
    <cfRule type="cellIs" dxfId="10897" priority="160" operator="lessThan">
      <formula>0</formula>
    </cfRule>
  </conditionalFormatting>
  <conditionalFormatting sqref="AQ63">
    <cfRule type="cellIs" dxfId="10896" priority="159" operator="lessThan">
      <formula>0</formula>
    </cfRule>
  </conditionalFormatting>
  <conditionalFormatting sqref="AQ63">
    <cfRule type="cellIs" dxfId="10895" priority="158" operator="lessThan">
      <formula>0</formula>
    </cfRule>
  </conditionalFormatting>
  <conditionalFormatting sqref="AQ63">
    <cfRule type="cellIs" dxfId="10894" priority="157" operator="lessThan">
      <formula>0</formula>
    </cfRule>
  </conditionalFormatting>
  <conditionalFormatting sqref="AQ63">
    <cfRule type="cellIs" dxfId="10893" priority="156" operator="lessThan">
      <formula>0</formula>
    </cfRule>
  </conditionalFormatting>
  <conditionalFormatting sqref="AQ63">
    <cfRule type="cellIs" dxfId="10892" priority="155" operator="lessThan">
      <formula>0</formula>
    </cfRule>
  </conditionalFormatting>
  <conditionalFormatting sqref="AQ63">
    <cfRule type="cellIs" dxfId="10891" priority="154" operator="lessThan">
      <formula>0</formula>
    </cfRule>
  </conditionalFormatting>
  <conditionalFormatting sqref="AQ63">
    <cfRule type="cellIs" dxfId="10890" priority="153" operator="lessThan">
      <formula>0</formula>
    </cfRule>
  </conditionalFormatting>
  <conditionalFormatting sqref="AQ63">
    <cfRule type="cellIs" dxfId="10889" priority="152" operator="lessThan">
      <formula>0</formula>
    </cfRule>
  </conditionalFormatting>
  <conditionalFormatting sqref="AQ63">
    <cfRule type="cellIs" dxfId="10888" priority="151" operator="lessThan">
      <formula>0</formula>
    </cfRule>
  </conditionalFormatting>
  <conditionalFormatting sqref="AQ63">
    <cfRule type="cellIs" dxfId="10887" priority="150" operator="lessThan">
      <formula>0</formula>
    </cfRule>
  </conditionalFormatting>
  <conditionalFormatting sqref="AQ63">
    <cfRule type="cellIs" dxfId="10886" priority="149" operator="lessThan">
      <formula>0</formula>
    </cfRule>
  </conditionalFormatting>
  <conditionalFormatting sqref="AQ63">
    <cfRule type="cellIs" dxfId="10885" priority="148" operator="lessThan">
      <formula>0</formula>
    </cfRule>
  </conditionalFormatting>
  <conditionalFormatting sqref="AQ63">
    <cfRule type="cellIs" dxfId="10884" priority="147" operator="lessThan">
      <formula>0</formula>
    </cfRule>
  </conditionalFormatting>
  <conditionalFormatting sqref="AQ63">
    <cfRule type="cellIs" dxfId="10883" priority="146" operator="lessThan">
      <formula>0</formula>
    </cfRule>
  </conditionalFormatting>
  <conditionalFormatting sqref="AQ63">
    <cfRule type="cellIs" dxfId="10882" priority="145" operator="lessThan">
      <formula>0</formula>
    </cfRule>
  </conditionalFormatting>
  <conditionalFormatting sqref="AQ63">
    <cfRule type="cellIs" dxfId="10881" priority="144" operator="lessThan">
      <formula>0</formula>
    </cfRule>
  </conditionalFormatting>
  <conditionalFormatting sqref="AQ63">
    <cfRule type="cellIs" dxfId="10880" priority="143" operator="lessThan">
      <formula>0</formula>
    </cfRule>
  </conditionalFormatting>
  <conditionalFormatting sqref="AQ63">
    <cfRule type="cellIs" dxfId="10879" priority="142" operator="lessThan">
      <formula>0</formula>
    </cfRule>
  </conditionalFormatting>
  <conditionalFormatting sqref="AQ63">
    <cfRule type="cellIs" dxfId="10878" priority="141" operator="lessThan">
      <formula>0</formula>
    </cfRule>
  </conditionalFormatting>
  <conditionalFormatting sqref="AQ63">
    <cfRule type="cellIs" dxfId="10877" priority="140" operator="lessThan">
      <formula>0</formula>
    </cfRule>
  </conditionalFormatting>
  <conditionalFormatting sqref="AQ63">
    <cfRule type="cellIs" dxfId="10876" priority="139" operator="lessThan">
      <formula>0</formula>
    </cfRule>
  </conditionalFormatting>
  <conditionalFormatting sqref="AQ63">
    <cfRule type="cellIs" dxfId="10875" priority="138" operator="lessThan">
      <formula>0</formula>
    </cfRule>
  </conditionalFormatting>
  <conditionalFormatting sqref="AQ63">
    <cfRule type="cellIs" dxfId="10874" priority="137" operator="lessThan">
      <formula>0</formula>
    </cfRule>
  </conditionalFormatting>
  <conditionalFormatting sqref="Y63">
    <cfRule type="iconSet" priority="136">
      <iconSet>
        <cfvo type="percent" val="0"/>
        <cfvo type="percent" val="&quot;$I$6&quot;"/>
        <cfvo type="percent" val="#REF!"/>
      </iconSet>
    </cfRule>
  </conditionalFormatting>
  <conditionalFormatting sqref="Y64">
    <cfRule type="cellIs" dxfId="10873" priority="135" operator="lessThan">
      <formula>0</formula>
    </cfRule>
  </conditionalFormatting>
  <conditionalFormatting sqref="Y62:Y64">
    <cfRule type="cellIs" dxfId="10872" priority="134" operator="lessThan">
      <formula>0</formula>
    </cfRule>
  </conditionalFormatting>
  <conditionalFormatting sqref="Y65">
    <cfRule type="cellIs" dxfId="10871" priority="133" operator="lessThan">
      <formula>0</formula>
    </cfRule>
  </conditionalFormatting>
  <conditionalFormatting sqref="X63">
    <cfRule type="iconSet" priority="132">
      <iconSet>
        <cfvo type="percent" val="0"/>
        <cfvo type="percent" val="&quot;$I$6&quot;"/>
        <cfvo type="percent" val="#REF!"/>
      </iconSet>
    </cfRule>
  </conditionalFormatting>
  <conditionalFormatting sqref="X64">
    <cfRule type="cellIs" dxfId="10870" priority="131" operator="lessThan">
      <formula>0</formula>
    </cfRule>
  </conditionalFormatting>
  <conditionalFormatting sqref="AQ43">
    <cfRule type="cellIs" dxfId="10869" priority="130" operator="lessThan">
      <formula>0</formula>
    </cfRule>
  </conditionalFormatting>
  <conditionalFormatting sqref="AQ43">
    <cfRule type="cellIs" dxfId="10868" priority="129" operator="lessThan">
      <formula>0</formula>
    </cfRule>
  </conditionalFormatting>
  <conditionalFormatting sqref="AQ43">
    <cfRule type="cellIs" dxfId="10867" priority="128" operator="lessThan">
      <formula>0</formula>
    </cfRule>
  </conditionalFormatting>
  <conditionalFormatting sqref="AQ43">
    <cfRule type="cellIs" dxfId="10866" priority="127" operator="lessThan">
      <formula>0</formula>
    </cfRule>
  </conditionalFormatting>
  <conditionalFormatting sqref="AQ43">
    <cfRule type="cellIs" dxfId="10865" priority="126" operator="lessThan">
      <formula>0</formula>
    </cfRule>
  </conditionalFormatting>
  <conditionalFormatting sqref="AQ43">
    <cfRule type="cellIs" dxfId="10864" priority="125" operator="lessThan">
      <formula>0</formula>
    </cfRule>
  </conditionalFormatting>
  <conditionalFormatting sqref="AQ43">
    <cfRule type="cellIs" dxfId="10863" priority="124" operator="lessThan">
      <formula>0</formula>
    </cfRule>
  </conditionalFormatting>
  <conditionalFormatting sqref="AQ43">
    <cfRule type="cellIs" dxfId="10862" priority="123" operator="lessThan">
      <formula>0</formula>
    </cfRule>
  </conditionalFormatting>
  <conditionalFormatting sqref="AQ43">
    <cfRule type="cellIs" dxfId="10861" priority="122" operator="lessThan">
      <formula>0</formula>
    </cfRule>
  </conditionalFormatting>
  <conditionalFormatting sqref="AQ43">
    <cfRule type="cellIs" dxfId="10860" priority="121" operator="lessThan">
      <formula>0</formula>
    </cfRule>
  </conditionalFormatting>
  <conditionalFormatting sqref="AQ43">
    <cfRule type="cellIs" dxfId="10859" priority="120" operator="lessThan">
      <formula>0</formula>
    </cfRule>
  </conditionalFormatting>
  <conditionalFormatting sqref="AQ43">
    <cfRule type="cellIs" dxfId="10858" priority="119" operator="lessThan">
      <formula>0</formula>
    </cfRule>
  </conditionalFormatting>
  <conditionalFormatting sqref="AQ43">
    <cfRule type="cellIs" dxfId="10857" priority="118" operator="lessThan">
      <formula>0</formula>
    </cfRule>
  </conditionalFormatting>
  <conditionalFormatting sqref="AQ43">
    <cfRule type="cellIs" dxfId="10856" priority="117" operator="lessThan">
      <formula>0</formula>
    </cfRule>
  </conditionalFormatting>
  <conditionalFormatting sqref="AQ43">
    <cfRule type="cellIs" dxfId="10855" priority="116" operator="lessThan">
      <formula>0</formula>
    </cfRule>
  </conditionalFormatting>
  <conditionalFormatting sqref="AQ43">
    <cfRule type="cellIs" dxfId="10854" priority="115" operator="lessThan">
      <formula>0</formula>
    </cfRule>
  </conditionalFormatting>
  <conditionalFormatting sqref="AQ43">
    <cfRule type="cellIs" dxfId="10853" priority="99" operator="lessThan">
      <formula>0</formula>
    </cfRule>
  </conditionalFormatting>
  <conditionalFormatting sqref="AQ43">
    <cfRule type="cellIs" dxfId="10852" priority="114" operator="lessThan">
      <formula>0</formula>
    </cfRule>
  </conditionalFormatting>
  <conditionalFormatting sqref="AQ43">
    <cfRule type="cellIs" dxfId="10851" priority="113" operator="lessThan">
      <formula>0</formula>
    </cfRule>
  </conditionalFormatting>
  <conditionalFormatting sqref="AQ43">
    <cfRule type="cellIs" dxfId="10850" priority="112" operator="lessThan">
      <formula>0</formula>
    </cfRule>
  </conditionalFormatting>
  <conditionalFormatting sqref="AQ43">
    <cfRule type="cellIs" dxfId="10849" priority="111" operator="lessThan">
      <formula>0</formula>
    </cfRule>
  </conditionalFormatting>
  <conditionalFormatting sqref="AQ43">
    <cfRule type="cellIs" dxfId="10848" priority="110" operator="lessThan">
      <formula>0</formula>
    </cfRule>
  </conditionalFormatting>
  <conditionalFormatting sqref="AQ43">
    <cfRule type="cellIs" dxfId="10847" priority="109" operator="lessThan">
      <formula>0</formula>
    </cfRule>
  </conditionalFormatting>
  <conditionalFormatting sqref="AQ43">
    <cfRule type="cellIs" dxfId="10846" priority="108" operator="lessThan">
      <formula>0</formula>
    </cfRule>
  </conditionalFormatting>
  <conditionalFormatting sqref="AQ43">
    <cfRule type="cellIs" dxfId="10845" priority="107" operator="lessThan">
      <formula>0</formula>
    </cfRule>
  </conditionalFormatting>
  <conditionalFormatting sqref="AQ43">
    <cfRule type="cellIs" dxfId="10844" priority="106" operator="lessThan">
      <formula>0</formula>
    </cfRule>
  </conditionalFormatting>
  <conditionalFormatting sqref="AQ43">
    <cfRule type="cellIs" dxfId="10843" priority="105" operator="lessThan">
      <formula>0</formula>
    </cfRule>
  </conditionalFormatting>
  <conditionalFormatting sqref="AQ43">
    <cfRule type="cellIs" dxfId="10842" priority="104" operator="lessThan">
      <formula>0</formula>
    </cfRule>
  </conditionalFormatting>
  <conditionalFormatting sqref="AQ43">
    <cfRule type="cellIs" dxfId="10841" priority="103" operator="lessThan">
      <formula>0</formula>
    </cfRule>
  </conditionalFormatting>
  <conditionalFormatting sqref="AQ43">
    <cfRule type="cellIs" dxfId="10840" priority="102" operator="lessThan">
      <formula>0</formula>
    </cfRule>
  </conditionalFormatting>
  <conditionalFormatting sqref="AQ43">
    <cfRule type="cellIs" dxfId="10839" priority="101" operator="lessThan">
      <formula>0</formula>
    </cfRule>
  </conditionalFormatting>
  <conditionalFormatting sqref="AQ43">
    <cfRule type="cellIs" dxfId="10838" priority="100" operator="lessThan">
      <formula>0</formula>
    </cfRule>
  </conditionalFormatting>
  <conditionalFormatting sqref="AQ10">
    <cfRule type="cellIs" dxfId="10837" priority="98" operator="lessThan">
      <formula>0</formula>
    </cfRule>
  </conditionalFormatting>
  <conditionalFormatting sqref="AQ10">
    <cfRule type="cellIs" dxfId="10836" priority="97" operator="lessThan">
      <formula>0</formula>
    </cfRule>
  </conditionalFormatting>
  <conditionalFormatting sqref="AQ12:AQ13">
    <cfRule type="cellIs" dxfId="10835" priority="96" operator="lessThan">
      <formula>0</formula>
    </cfRule>
  </conditionalFormatting>
  <conditionalFormatting sqref="AQ12:AQ13">
    <cfRule type="cellIs" dxfId="10834" priority="95" operator="lessThan">
      <formula>0</formula>
    </cfRule>
  </conditionalFormatting>
  <conditionalFormatting sqref="AQ12:AQ13">
    <cfRule type="cellIs" dxfId="10833" priority="94" operator="lessThan">
      <formula>0</formula>
    </cfRule>
  </conditionalFormatting>
  <conditionalFormatting sqref="AQ12:AQ13">
    <cfRule type="cellIs" dxfId="10832" priority="93" operator="lessThan">
      <formula>0</formula>
    </cfRule>
  </conditionalFormatting>
  <conditionalFormatting sqref="AQ12:AQ13">
    <cfRule type="cellIs" dxfId="10831" priority="92" operator="lessThan">
      <formula>0</formula>
    </cfRule>
  </conditionalFormatting>
  <conditionalFormatting sqref="AQ12:AQ13">
    <cfRule type="cellIs" dxfId="10830" priority="91" operator="lessThan">
      <formula>0</formula>
    </cfRule>
  </conditionalFormatting>
  <conditionalFormatting sqref="AQ12:AQ13">
    <cfRule type="cellIs" dxfId="10829" priority="90" operator="lessThan">
      <formula>0</formula>
    </cfRule>
  </conditionalFormatting>
  <conditionalFormatting sqref="AQ12:AQ13">
    <cfRule type="cellIs" dxfId="10828" priority="89" operator="lessThan">
      <formula>0</formula>
    </cfRule>
  </conditionalFormatting>
  <conditionalFormatting sqref="AQ11">
    <cfRule type="cellIs" dxfId="10827" priority="88" operator="lessThan">
      <formula>0</formula>
    </cfRule>
  </conditionalFormatting>
  <conditionalFormatting sqref="AQ11">
    <cfRule type="cellIs" dxfId="10826" priority="87" operator="lessThan">
      <formula>0</formula>
    </cfRule>
  </conditionalFormatting>
  <conditionalFormatting sqref="AQ11">
    <cfRule type="cellIs" dxfId="10825" priority="86" operator="lessThan">
      <formula>0</formula>
    </cfRule>
  </conditionalFormatting>
  <conditionalFormatting sqref="AQ11">
    <cfRule type="cellIs" dxfId="10824" priority="85" operator="lessThan">
      <formula>0</formula>
    </cfRule>
  </conditionalFormatting>
  <conditionalFormatting sqref="AQ11">
    <cfRule type="cellIs" dxfId="10823" priority="84" operator="lessThan">
      <formula>0</formula>
    </cfRule>
  </conditionalFormatting>
  <conditionalFormatting sqref="AQ11">
    <cfRule type="cellIs" dxfId="10822" priority="83" operator="lessThan">
      <formula>0</formula>
    </cfRule>
  </conditionalFormatting>
  <conditionalFormatting sqref="AQ11">
    <cfRule type="cellIs" dxfId="10821" priority="82" operator="lessThan">
      <formula>0</formula>
    </cfRule>
  </conditionalFormatting>
  <conditionalFormatting sqref="AQ11">
    <cfRule type="cellIs" dxfId="10820" priority="81" operator="lessThan">
      <formula>0</formula>
    </cfRule>
  </conditionalFormatting>
  <conditionalFormatting sqref="AQ11">
    <cfRule type="cellIs" dxfId="10819" priority="80" operator="lessThan">
      <formula>0</formula>
    </cfRule>
  </conditionalFormatting>
  <conditionalFormatting sqref="AQ11">
    <cfRule type="cellIs" dxfId="10818" priority="79" operator="lessThan">
      <formula>0</formula>
    </cfRule>
  </conditionalFormatting>
  <conditionalFormatting sqref="AQ11">
    <cfRule type="cellIs" dxfId="10817" priority="78" operator="lessThan">
      <formula>0</formula>
    </cfRule>
  </conditionalFormatting>
  <conditionalFormatting sqref="AQ11">
    <cfRule type="cellIs" dxfId="10816" priority="77" operator="lessThan">
      <formula>0</formula>
    </cfRule>
  </conditionalFormatting>
  <conditionalFormatting sqref="AQ11">
    <cfRule type="cellIs" dxfId="10815" priority="76" operator="lessThan">
      <formula>0</formula>
    </cfRule>
  </conditionalFormatting>
  <conditionalFormatting sqref="AQ11">
    <cfRule type="cellIs" dxfId="10814" priority="75" operator="lessThan">
      <formula>0</formula>
    </cfRule>
  </conditionalFormatting>
  <conditionalFormatting sqref="AQ11">
    <cfRule type="cellIs" dxfId="10813" priority="74" operator="lessThan">
      <formula>0</formula>
    </cfRule>
  </conditionalFormatting>
  <conditionalFormatting sqref="AQ11">
    <cfRule type="cellIs" dxfId="10812" priority="73" operator="lessThan">
      <formula>0</formula>
    </cfRule>
  </conditionalFormatting>
  <conditionalFormatting sqref="AQ11">
    <cfRule type="cellIs" dxfId="10811" priority="72" operator="lessThan">
      <formula>0</formula>
    </cfRule>
  </conditionalFormatting>
  <conditionalFormatting sqref="AQ11">
    <cfRule type="cellIs" dxfId="10810" priority="71" operator="lessThan">
      <formula>0</formula>
    </cfRule>
  </conditionalFormatting>
  <conditionalFormatting sqref="AQ11">
    <cfRule type="cellIs" dxfId="10809" priority="70" operator="lessThan">
      <formula>0</formula>
    </cfRule>
  </conditionalFormatting>
  <conditionalFormatting sqref="AQ11">
    <cfRule type="cellIs" dxfId="10808" priority="69" operator="lessThan">
      <formula>0</formula>
    </cfRule>
  </conditionalFormatting>
  <conditionalFormatting sqref="AQ11">
    <cfRule type="cellIs" dxfId="10807" priority="68" operator="lessThan">
      <formula>0</formula>
    </cfRule>
  </conditionalFormatting>
  <conditionalFormatting sqref="AQ11">
    <cfRule type="cellIs" dxfId="10806" priority="67" operator="lessThan">
      <formula>0</formula>
    </cfRule>
  </conditionalFormatting>
  <conditionalFormatting sqref="AQ11">
    <cfRule type="cellIs" dxfId="10805" priority="66" operator="lessThan">
      <formula>0</formula>
    </cfRule>
  </conditionalFormatting>
  <conditionalFormatting sqref="AQ11">
    <cfRule type="cellIs" dxfId="10804" priority="65" operator="lessThan">
      <formula>0</formula>
    </cfRule>
  </conditionalFormatting>
  <conditionalFormatting sqref="AQ11">
    <cfRule type="cellIs" dxfId="10803" priority="64" operator="lessThan">
      <formula>0</formula>
    </cfRule>
  </conditionalFormatting>
  <conditionalFormatting sqref="AQ11">
    <cfRule type="cellIs" dxfId="10802" priority="63" operator="lessThan">
      <formula>0</formula>
    </cfRule>
  </conditionalFormatting>
  <conditionalFormatting sqref="AQ11">
    <cfRule type="cellIs" dxfId="10801" priority="62" operator="lessThan">
      <formula>0</formula>
    </cfRule>
  </conditionalFormatting>
  <conditionalFormatting sqref="AQ11">
    <cfRule type="cellIs" dxfId="10800" priority="61" operator="lessThan">
      <formula>0</formula>
    </cfRule>
  </conditionalFormatting>
  <conditionalFormatting sqref="AQ11">
    <cfRule type="cellIs" dxfId="10799" priority="60" operator="lessThan">
      <formula>0</formula>
    </cfRule>
  </conditionalFormatting>
  <conditionalFormatting sqref="AQ11">
    <cfRule type="cellIs" dxfId="10798" priority="59" operator="lessThan">
      <formula>0</formula>
    </cfRule>
  </conditionalFormatting>
  <conditionalFormatting sqref="AQ11">
    <cfRule type="cellIs" dxfId="10797" priority="58" operator="lessThan">
      <formula>0</formula>
    </cfRule>
  </conditionalFormatting>
  <conditionalFormatting sqref="AQ11">
    <cfRule type="cellIs" dxfId="10796" priority="57" operator="lessThan">
      <formula>0</formula>
    </cfRule>
  </conditionalFormatting>
  <conditionalFormatting sqref="AQ10">
    <cfRule type="cellIs" dxfId="10795" priority="56" operator="lessThan">
      <formula>0</formula>
    </cfRule>
  </conditionalFormatting>
  <conditionalFormatting sqref="AQ10 AQ12:AQ13">
    <cfRule type="cellIs" dxfId="10794" priority="55" operator="lessThan">
      <formula>0</formula>
    </cfRule>
  </conditionalFormatting>
  <conditionalFormatting sqref="AM10:AM13">
    <cfRule type="cellIs" dxfId="10793" priority="54" operator="notEqual">
      <formula>0</formula>
    </cfRule>
  </conditionalFormatting>
  <conditionalFormatting sqref="I12">
    <cfRule type="cellIs" dxfId="10792" priority="53" operator="greaterThan">
      <formula>0</formula>
    </cfRule>
  </conditionalFormatting>
  <conditionalFormatting sqref="AQ10 AQ12:AQ13">
    <cfRule type="cellIs" dxfId="10791" priority="52" operator="lessThan">
      <formula>0</formula>
    </cfRule>
  </conditionalFormatting>
  <conditionalFormatting sqref="AQ10 AQ12:AQ13">
    <cfRule type="cellIs" dxfId="10790" priority="51" operator="lessThan">
      <formula>0</formula>
    </cfRule>
  </conditionalFormatting>
  <conditionalFormatting sqref="AQ10 AQ12:AQ13">
    <cfRule type="cellIs" dxfId="10789" priority="50" operator="lessThan">
      <formula>0</formula>
    </cfRule>
  </conditionalFormatting>
  <conditionalFormatting sqref="J12">
    <cfRule type="cellIs" dxfId="10788" priority="49" operator="greaterThan">
      <formula>0</formula>
    </cfRule>
  </conditionalFormatting>
  <conditionalFormatting sqref="AQ12:AQ13">
    <cfRule type="cellIs" dxfId="10787" priority="48" operator="lessThan">
      <formula>0</formula>
    </cfRule>
  </conditionalFormatting>
  <conditionalFormatting sqref="AQ12:AQ13">
    <cfRule type="cellIs" dxfId="10786" priority="47" operator="lessThan">
      <formula>0</formula>
    </cfRule>
  </conditionalFormatting>
  <conditionalFormatting sqref="AQ12:AQ13">
    <cfRule type="cellIs" dxfId="10785" priority="46" operator="lessThan">
      <formula>0</formula>
    </cfRule>
  </conditionalFormatting>
  <conditionalFormatting sqref="AQ12:AQ13">
    <cfRule type="cellIs" dxfId="10784" priority="45" operator="lessThan">
      <formula>0</formula>
    </cfRule>
  </conditionalFormatting>
  <conditionalFormatting sqref="AQ11">
    <cfRule type="cellIs" dxfId="10783" priority="44" operator="lessThan">
      <formula>0</formula>
    </cfRule>
  </conditionalFormatting>
  <conditionalFormatting sqref="AQ11">
    <cfRule type="cellIs" dxfId="10782" priority="43" operator="lessThan">
      <formula>0</formula>
    </cfRule>
  </conditionalFormatting>
  <conditionalFormatting sqref="AQ11">
    <cfRule type="cellIs" dxfId="10781" priority="42" operator="lessThan">
      <formula>0</formula>
    </cfRule>
  </conditionalFormatting>
  <conditionalFormatting sqref="AQ11">
    <cfRule type="cellIs" dxfId="10780" priority="41" operator="lessThan">
      <formula>0</formula>
    </cfRule>
  </conditionalFormatting>
  <conditionalFormatting sqref="AQ11">
    <cfRule type="cellIs" dxfId="10779" priority="40" operator="lessThan">
      <formula>0</formula>
    </cfRule>
  </conditionalFormatting>
  <conditionalFormatting sqref="AQ11">
    <cfRule type="cellIs" dxfId="10778" priority="39" operator="lessThan">
      <formula>0</formula>
    </cfRule>
  </conditionalFormatting>
  <conditionalFormatting sqref="AQ11">
    <cfRule type="cellIs" dxfId="10777" priority="38" operator="lessThan">
      <formula>0</formula>
    </cfRule>
  </conditionalFormatting>
  <conditionalFormatting sqref="AQ11">
    <cfRule type="cellIs" dxfId="10776" priority="37" operator="lessThan">
      <formula>0</formula>
    </cfRule>
  </conditionalFormatting>
  <conditionalFormatting sqref="AQ11">
    <cfRule type="cellIs" dxfId="10775" priority="36" operator="lessThan">
      <formula>0</formula>
    </cfRule>
  </conditionalFormatting>
  <conditionalFormatting sqref="AQ11">
    <cfRule type="cellIs" dxfId="10774" priority="35" operator="lessThan">
      <formula>0</formula>
    </cfRule>
  </conditionalFormatting>
  <conditionalFormatting sqref="AQ11">
    <cfRule type="cellIs" dxfId="10773" priority="34" operator="lessThan">
      <formula>0</formula>
    </cfRule>
  </conditionalFormatting>
  <conditionalFormatting sqref="AQ11">
    <cfRule type="cellIs" dxfId="10772" priority="33" operator="lessThan">
      <formula>0</formula>
    </cfRule>
  </conditionalFormatting>
  <conditionalFormatting sqref="AQ11">
    <cfRule type="cellIs" dxfId="10771" priority="32" operator="lessThan">
      <formula>0</formula>
    </cfRule>
  </conditionalFormatting>
  <conditionalFormatting sqref="AQ11">
    <cfRule type="cellIs" dxfId="10770" priority="31" operator="lessThan">
      <formula>0</formula>
    </cfRule>
  </conditionalFormatting>
  <conditionalFormatting sqref="AQ11">
    <cfRule type="cellIs" dxfId="10769" priority="30" operator="lessThan">
      <formula>0</formula>
    </cfRule>
  </conditionalFormatting>
  <conditionalFormatting sqref="AQ11">
    <cfRule type="cellIs" dxfId="10768" priority="29" operator="lessThan">
      <formula>0</formula>
    </cfRule>
  </conditionalFormatting>
  <conditionalFormatting sqref="AQ11">
    <cfRule type="cellIs" dxfId="10767" priority="13" operator="lessThan">
      <formula>0</formula>
    </cfRule>
  </conditionalFormatting>
  <conditionalFormatting sqref="AQ11">
    <cfRule type="cellIs" dxfId="10766" priority="28" operator="lessThan">
      <formula>0</formula>
    </cfRule>
  </conditionalFormatting>
  <conditionalFormatting sqref="AQ11">
    <cfRule type="cellIs" dxfId="10765" priority="27" operator="lessThan">
      <formula>0</formula>
    </cfRule>
  </conditionalFormatting>
  <conditionalFormatting sqref="AQ11">
    <cfRule type="cellIs" dxfId="10764" priority="26" operator="lessThan">
      <formula>0</formula>
    </cfRule>
  </conditionalFormatting>
  <conditionalFormatting sqref="AQ11">
    <cfRule type="cellIs" dxfId="10763" priority="25" operator="lessThan">
      <formula>0</formula>
    </cfRule>
  </conditionalFormatting>
  <conditionalFormatting sqref="AQ11">
    <cfRule type="cellIs" dxfId="10762" priority="24" operator="lessThan">
      <formula>0</formula>
    </cfRule>
  </conditionalFormatting>
  <conditionalFormatting sqref="AQ11">
    <cfRule type="cellIs" dxfId="10761" priority="23" operator="lessThan">
      <formula>0</formula>
    </cfRule>
  </conditionalFormatting>
  <conditionalFormatting sqref="AQ11">
    <cfRule type="cellIs" dxfId="10760" priority="22" operator="lessThan">
      <formula>0</formula>
    </cfRule>
  </conditionalFormatting>
  <conditionalFormatting sqref="AQ11">
    <cfRule type="cellIs" dxfId="10759" priority="21" operator="lessThan">
      <formula>0</formula>
    </cfRule>
  </conditionalFormatting>
  <conditionalFormatting sqref="AQ11">
    <cfRule type="cellIs" dxfId="10758" priority="20" operator="lessThan">
      <formula>0</formula>
    </cfRule>
  </conditionalFormatting>
  <conditionalFormatting sqref="AQ11">
    <cfRule type="cellIs" dxfId="10757" priority="19" operator="lessThan">
      <formula>0</formula>
    </cfRule>
  </conditionalFormatting>
  <conditionalFormatting sqref="AQ11">
    <cfRule type="cellIs" dxfId="10756" priority="18" operator="lessThan">
      <formula>0</formula>
    </cfRule>
  </conditionalFormatting>
  <conditionalFormatting sqref="AQ11">
    <cfRule type="cellIs" dxfId="10755" priority="17" operator="lessThan">
      <formula>0</formula>
    </cfRule>
  </conditionalFormatting>
  <conditionalFormatting sqref="AQ11">
    <cfRule type="cellIs" dxfId="10754" priority="16" operator="lessThan">
      <formula>0</formula>
    </cfRule>
  </conditionalFormatting>
  <conditionalFormatting sqref="AQ11">
    <cfRule type="cellIs" dxfId="10753" priority="15" operator="lessThan">
      <formula>0</formula>
    </cfRule>
  </conditionalFormatting>
  <conditionalFormatting sqref="AQ11">
    <cfRule type="cellIs" dxfId="10752" priority="14" operator="lessThan">
      <formula>0</formula>
    </cfRule>
  </conditionalFormatting>
  <conditionalFormatting sqref="Y11">
    <cfRule type="iconSet" priority="11">
      <iconSet>
        <cfvo type="percent" val="0"/>
        <cfvo type="percent" val="&quot;$I$6&quot;"/>
        <cfvo type="percent" val="#REF!"/>
      </iconSet>
    </cfRule>
  </conditionalFormatting>
  <conditionalFormatting sqref="Y12">
    <cfRule type="cellIs" dxfId="10751" priority="10" operator="lessThan">
      <formula>0</formula>
    </cfRule>
  </conditionalFormatting>
  <conditionalFormatting sqref="Y10:Y12">
    <cfRule type="cellIs" dxfId="10750" priority="9" operator="lessThan">
      <formula>0</formula>
    </cfRule>
  </conditionalFormatting>
  <conditionalFormatting sqref="Y13">
    <cfRule type="cellIs" dxfId="10749" priority="8" operator="lessThan">
      <formula>0</formula>
    </cfRule>
  </conditionalFormatting>
  <conditionalFormatting sqref="X11">
    <cfRule type="iconSet" priority="7">
      <iconSet>
        <cfvo type="percent" val="0"/>
        <cfvo type="percent" val="&quot;$I$6&quot;"/>
        <cfvo type="percent" val="#REF!"/>
      </iconSet>
    </cfRule>
  </conditionalFormatting>
  <conditionalFormatting sqref="X12">
    <cfRule type="cellIs" dxfId="10748" priority="6" operator="lessThan">
      <formula>0</formula>
    </cfRule>
  </conditionalFormatting>
  <conditionalFormatting sqref="X10:X13">
    <cfRule type="cellIs" dxfId="10747" priority="5" operator="lessThan">
      <formula>0</formula>
    </cfRule>
  </conditionalFormatting>
  <conditionalFormatting sqref="J20">
    <cfRule type="cellIs" dxfId="10746" priority="4" operator="greaterThan">
      <formula>0</formula>
    </cfRule>
  </conditionalFormatting>
  <conditionalFormatting sqref="J44">
    <cfRule type="cellIs" dxfId="10745" priority="3" operator="greaterThan">
      <formula>0</formula>
    </cfRule>
  </conditionalFormatting>
  <conditionalFormatting sqref="J52">
    <cfRule type="cellIs" dxfId="10744" priority="2" operator="greaterThan">
      <formula>0</formula>
    </cfRule>
  </conditionalFormatting>
  <conditionalFormatting sqref="J100">
    <cfRule type="cellIs" dxfId="10743" priority="1" operator="greater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818" id="{EFD8B8DC-72C5-4A3F-981B-E9D0C17A26C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813" id="{F107170D-831A-46E1-B1D2-4D9EE5DFDBD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810" id="{EBD18142-4B31-4EF0-B442-9DF8B55AEFF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803" id="{9583BAB2-97FD-4E31-8C16-C3DB9668C5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797" id="{952FC419-5711-47C5-85CF-AE945876F78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Z94</xm:sqref>
        </x14:conditionalFormatting>
        <x14:conditionalFormatting xmlns:xm="http://schemas.microsoft.com/office/excel/2006/main">
          <x14:cfRule type="iconSet" priority="794" id="{C14673B0-2DE7-4602-AEB2-4F01E2DA9A3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786" id="{2BDB2ACC-C2AA-4BF3-80FC-CF893E4A985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782" id="{03DDF868-B0C2-4DA9-8C43-61B945DCA4C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779" id="{F8D05279-E4BB-4582-BFE0-79C66A29EBD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776" id="{70E7C35C-E13C-43DB-9F0B-CCFBBAEA37E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Z102</xm:sqref>
        </x14:conditionalFormatting>
        <x14:conditionalFormatting xmlns:xm="http://schemas.microsoft.com/office/excel/2006/main">
          <x14:cfRule type="iconSet" priority="770" id="{C4EE386A-94DE-42D8-AFC6-4F53E4E8122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765" id="{D30D4270-747B-49D6-B336-F389C3F9D8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761" id="{1AC44D7A-0F92-4973-A0AA-4BD5AE8EAE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758" id="{2C7E9879-6612-4222-84BB-0D7EBB73E3E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732" id="{4CBAF236-8621-47DA-93F5-F3F98CF77B0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627" id="{90A32D46-5259-4C74-9E1F-B3BE1BA2B45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626" id="{E776AF45-6889-4929-9B71-0B10234B440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581" id="{7EA71ADD-EE44-4764-88C5-643EBA038D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Z98</xm:sqref>
        </x14:conditionalFormatting>
        <x14:conditionalFormatting xmlns:xm="http://schemas.microsoft.com/office/excel/2006/main">
          <x14:cfRule type="iconSet" priority="532" id="{4348BEA3-D2C9-47E3-AFCA-52D1B73AAD3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475" id="{40B8BF98-6249-46EC-B34B-C91AA367F6C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424" id="{D7A43EB1-6822-4BC5-BCA1-D9DB4D25CB7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372" id="{E0F1CDB1-EA0F-4AB1-91EB-24E33D30C02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321" id="{DBBA9E92-B555-44B6-81D9-91237CC4355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236" id="{DC04A01A-71F2-45EA-A3D1-506B44AF0FA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Z106</xm:sqref>
        </x14:conditionalFormatting>
        <x14:conditionalFormatting xmlns:xm="http://schemas.microsoft.com/office/excel/2006/main">
          <x14:cfRule type="iconSet" priority="181" id="{2F709BB6-4B01-412D-B6FB-797EF209E0E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12" id="{F02A180E-07CC-4CC9-83FD-2CC1E361827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205"/>
  <sheetViews>
    <sheetView zoomScale="18" zoomScaleNormal="18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N24" sqref="N24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0.58302625322474599</v>
      </c>
      <c r="AE2" s="520"/>
      <c r="AH2" s="183">
        <f>+SUBTOTAL(9,AH6:AH127)</f>
        <v>296535</v>
      </c>
      <c r="AI2" s="183">
        <f>+SUBTOTAL(9,AI6:AI127)</f>
        <v>172887.69000000006</v>
      </c>
      <c r="AT2" s="91">
        <v>0.59793648334624327</v>
      </c>
    </row>
    <row r="3" spans="2:58" ht="94.5" customHeight="1" x14ac:dyDescent="0.9">
      <c r="B3" s="481"/>
      <c r="C3" s="481"/>
      <c r="D3" s="481"/>
      <c r="E3" s="481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81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+SUMIF($L$6:$L$110,AA3,$AA$6:$AA$110)</f>
        <v>4234</v>
      </c>
      <c r="AB4" s="144" t="s">
        <v>28</v>
      </c>
      <c r="AC4" s="145"/>
      <c r="AD4" s="524" t="str">
        <f ca="1">RIGHT(CELL("filename",A1),LEN(CELL("filename",A1))-FIND("]",CELL("filename",A1)))</f>
        <v>09-01-2026</v>
      </c>
      <c r="AE4" s="524"/>
      <c r="AF4" s="397">
        <f>+SUM(AF6:AF115)</f>
        <v>4942.25</v>
      </c>
      <c r="AG4" s="397"/>
      <c r="AH4" s="98"/>
      <c r="AI4" s="98"/>
      <c r="AJ4" s="398">
        <v>8.25</v>
      </c>
      <c r="AQ4" s="437">
        <f>+SUBTOTAL(9,AQ6:AQ111)</f>
        <v>469.875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440</v>
      </c>
      <c r="H6" s="106"/>
      <c r="I6" s="106"/>
      <c r="J6" s="107" t="s">
        <v>20</v>
      </c>
      <c r="K6" s="108" t="s">
        <v>23</v>
      </c>
      <c r="L6" s="100" t="s">
        <v>21</v>
      </c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7" t="str">
        <f t="shared" ref="X6" si="0">IF(AQ7="","",SUM(M6:W6)-(-(AQ7-SUM(M6:W6))/$AQ$3)*SUM($M$2:$W$2))</f>
        <v/>
      </c>
      <c r="Y6" s="466">
        <v>0</v>
      </c>
      <c r="Z6" s="533">
        <f>+X8</f>
        <v>0</v>
      </c>
      <c r="AA6" s="447">
        <f t="shared" ref="AA6:AA79" si="1">+SUM(L6:W6)</f>
        <v>0</v>
      </c>
      <c r="AB6" s="343">
        <f>+AC6+AA6</f>
        <v>1639</v>
      </c>
      <c r="AC6" s="343">
        <v>1639</v>
      </c>
      <c r="AD6" s="344"/>
      <c r="AE6" s="345"/>
      <c r="AF6" s="346"/>
      <c r="AG6" s="347">
        <f t="shared" ref="AG6:AG97" si="2">TRUNC(AF6)+(AF6-TRUNC(AF6))*60/100</f>
        <v>0</v>
      </c>
      <c r="AH6" s="341">
        <f t="shared" ref="AH6:AH97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439</v>
      </c>
      <c r="E7" s="111"/>
      <c r="F7" s="111" t="s">
        <v>35</v>
      </c>
      <c r="G7" s="541" t="str">
        <f t="shared" ref="G7:G9" si="4">+G6</f>
        <v>7394-595-401</v>
      </c>
      <c r="H7" s="111"/>
      <c r="I7" s="111" t="s">
        <v>33</v>
      </c>
      <c r="J7" s="113">
        <v>41.87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54</v>
      </c>
      <c r="U7" s="214"/>
      <c r="V7" s="214"/>
      <c r="W7" s="214"/>
      <c r="X7" s="123">
        <f>+IF(H8="s",0,IF(AA7=0,0,IF(COUNTA(M7:W7)=AK9+0.75,SUMIF($C:$C,B7,$AA:$AA)/AK9,SUMIF($C:$C,B7,$AA:$AA)/(COUNTA(M7:W7)))))</f>
        <v>0</v>
      </c>
      <c r="Y7" s="466"/>
      <c r="Z7" s="534"/>
      <c r="AA7" s="134">
        <f t="shared" si="1"/>
        <v>474</v>
      </c>
      <c r="AB7" s="354">
        <f>+AA7+AC7</f>
        <v>1639</v>
      </c>
      <c r="AC7" s="354">
        <v>1165</v>
      </c>
      <c r="AD7" s="355">
        <f>+AB6-AB7</f>
        <v>0</v>
      </c>
      <c r="AE7" s="131">
        <f>+IF(((AA8+(AA9/2))*60)=0,"",(J7*AA7)/((AA8+(AA9/2))*60))</f>
        <v>0.85250773195876273</v>
      </c>
      <c r="AF7" s="347">
        <f>+AA8+AA9/2</f>
        <v>388</v>
      </c>
      <c r="AG7" s="347">
        <f t="shared" si="2"/>
        <v>388</v>
      </c>
      <c r="AH7" s="341">
        <f t="shared" si="3"/>
        <v>23280</v>
      </c>
      <c r="AI7" s="341">
        <f>+AA7*J7</f>
        <v>19846.379999999997</v>
      </c>
      <c r="AJ7" s="356">
        <f>+AA7-(AF7*K7/K9)</f>
        <v>-21.319148936170222</v>
      </c>
      <c r="AK7" s="348"/>
      <c r="AL7" s="349"/>
      <c r="AM7" s="341"/>
      <c r="AN7" s="341"/>
      <c r="AO7" s="341"/>
      <c r="AP7" s="341"/>
      <c r="AQ7" s="339"/>
      <c r="AR7" s="434"/>
      <c r="AT7" s="390">
        <v>804</v>
      </c>
      <c r="AV7" s="390">
        <f>+AT7-AD7</f>
        <v>804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 t="shared" si="4"/>
        <v>7394-595-401</v>
      </c>
      <c r="H8" s="411" t="s">
        <v>479</v>
      </c>
      <c r="I8" s="113">
        <f>+IFERROR(IF(K9=0,0,IF((LOOKUP(2,1/(M8:W8&lt;&gt;""),M8:W8)-K9)&lt;0,0,IF(K9=0,"",LOOKUP(2,1/(M8:W8&lt;&gt;""),M8:W8)-K9))),0)</f>
        <v>1</v>
      </c>
      <c r="J8" s="113"/>
      <c r="K8" s="114" t="s">
        <v>22</v>
      </c>
      <c r="L8" s="102" t="s">
        <v>18</v>
      </c>
      <c r="M8" s="448">
        <v>48</v>
      </c>
      <c r="N8" s="448">
        <v>48</v>
      </c>
      <c r="O8" s="448">
        <v>48</v>
      </c>
      <c r="P8" s="448">
        <v>48</v>
      </c>
      <c r="Q8" s="448">
        <v>48</v>
      </c>
      <c r="R8" s="448">
        <v>48</v>
      </c>
      <c r="S8" s="448">
        <v>48</v>
      </c>
      <c r="T8" s="448">
        <v>48</v>
      </c>
      <c r="U8" s="448"/>
      <c r="V8" s="448"/>
      <c r="W8" s="448"/>
      <c r="X8" s="160">
        <f>+IF(H8="l",IF(COUNTA(M7:W7)=AK9+0.75,AA7-K7*AK9,AA7-(K7*COUNTA(M7:W7))),IF(H8="s",0,IF(COUNTA(M7:W7)=AK9+0.75,SUMIF($C:$C,B7,$AA:$AA)-K7*AK9,SUMIF($C:$C,B7,$AA:$AA)-K7*COUNTA(M7:W7))))</f>
        <v>0</v>
      </c>
      <c r="Y8" s="466"/>
      <c r="Z8" s="534"/>
      <c r="AA8" s="462">
        <f>+SUM(M8:W8)-U8*0.75</f>
        <v>384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384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 t="shared" si="4"/>
        <v>7394-595-401</v>
      </c>
      <c r="H9" s="117"/>
      <c r="I9" s="442"/>
      <c r="J9" s="165">
        <f>+IF(K9="","",IF(K7=0,"",(K7*J7)/(K9*60)))</f>
        <v>0.89085106382978718</v>
      </c>
      <c r="K9" s="118">
        <v>47</v>
      </c>
      <c r="L9" s="104" t="s">
        <v>19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>
        <v>1</v>
      </c>
      <c r="U9" s="216"/>
      <c r="V9" s="216"/>
      <c r="W9" s="216"/>
      <c r="X9" s="173"/>
      <c r="Y9" s="467">
        <v>14.385842372881356</v>
      </c>
      <c r="Z9" s="365">
        <v>14.385842372881356</v>
      </c>
      <c r="AA9" s="465">
        <f>+SUM(M9:W9)-U9*0.75</f>
        <v>8</v>
      </c>
      <c r="AB9" s="367"/>
      <c r="AC9" s="367"/>
      <c r="AD9" s="368">
        <f>+IFERROR(AD7/(K7*$AQ$3),"")</f>
        <v>0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8.25</v>
      </c>
      <c r="AL9" s="349">
        <f>+IF(AK9=7.75,SUM(M9:S9)+T9*0.75,IF(AK9=8,SUM(M9:T9),IF(AK9=7.25,SUM(M9:S9)+T9*0.25,IF(AK9=8.25,SUM(M9:T9)+U9*0.25,IF(AK9=8.75,SUM(M9:T9)+U9*0.75,0)))))</f>
        <v>8</v>
      </c>
      <c r="AM9" s="341">
        <f>+AL9-AA9</f>
        <v>0</v>
      </c>
      <c r="AN9" s="341"/>
      <c r="AO9" s="341"/>
      <c r="AP9" s="341"/>
      <c r="AQ9" s="369"/>
      <c r="AR9" s="434"/>
      <c r="AT9" s="390">
        <v>1.5573849878934625</v>
      </c>
      <c r="AV9" s="390"/>
    </row>
    <row r="10" spans="2:58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540" t="s">
        <v>488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100</v>
      </c>
      <c r="N10" s="448">
        <v>100</v>
      </c>
      <c r="O10" s="448"/>
      <c r="P10" s="448"/>
      <c r="Q10" s="448">
        <v>100</v>
      </c>
      <c r="R10" s="448">
        <v>100</v>
      </c>
      <c r="S10" s="448"/>
      <c r="T10" s="448"/>
      <c r="U10" s="448"/>
      <c r="V10" s="448"/>
      <c r="W10" s="448"/>
      <c r="X10" s="447">
        <f t="shared" ref="X10:X70" si="5">IF(AQ11="","",SUM(M10:W10)-(-(AQ11-SUM(M10:W10))/$AQ$3)*SUM($M$2:$W$2))</f>
        <v>400</v>
      </c>
      <c r="Y10" s="466">
        <v>0</v>
      </c>
      <c r="Z10" s="533">
        <f>+X12</f>
        <v>0</v>
      </c>
      <c r="AA10" s="447">
        <f t="shared" si="1"/>
        <v>400</v>
      </c>
      <c r="AB10" s="343">
        <f>+AC10+AA10</f>
        <v>700</v>
      </c>
      <c r="AC10" s="343">
        <v>300</v>
      </c>
      <c r="AD10" s="344"/>
      <c r="AE10" s="345"/>
      <c r="AF10" s="346"/>
      <c r="AG10" s="347">
        <f t="shared" si="2"/>
        <v>0</v>
      </c>
      <c r="AH10" s="341">
        <f t="shared" si="3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1</v>
      </c>
      <c r="C11" s="406">
        <f>+B11</f>
        <v>1</v>
      </c>
      <c r="D11" s="407" t="s">
        <v>483</v>
      </c>
      <c r="E11" s="111"/>
      <c r="F11" s="111" t="s">
        <v>35</v>
      </c>
      <c r="G11" s="541" t="str">
        <f>+G10</f>
        <v>7394-593-741</v>
      </c>
      <c r="H11" s="111"/>
      <c r="I11" s="111" t="s">
        <v>33</v>
      </c>
      <c r="J11" s="113">
        <v>41.87</v>
      </c>
      <c r="K11" s="130">
        <v>60</v>
      </c>
      <c r="L11" s="101" t="s">
        <v>17</v>
      </c>
      <c r="M11" s="214" t="s">
        <v>482</v>
      </c>
      <c r="N11" s="214" t="s">
        <v>482</v>
      </c>
      <c r="O11" s="214" t="s">
        <v>482</v>
      </c>
      <c r="P11" s="214" t="s">
        <v>482</v>
      </c>
      <c r="Q11" s="214" t="s">
        <v>482</v>
      </c>
      <c r="R11" s="214" t="s">
        <v>482</v>
      </c>
      <c r="S11" s="214" t="s">
        <v>482</v>
      </c>
      <c r="T11" s="214" t="s">
        <v>482</v>
      </c>
      <c r="U11" s="214">
        <v>21</v>
      </c>
      <c r="V11" s="214"/>
      <c r="W11" s="214"/>
      <c r="X11" s="123">
        <f t="shared" ref="X11" si="6">+IF(H12="s",0,IF(AA11=0,0,IF(COUNTA(M11:W11)=AK13+0.75,SUMIF($C:$C,B11,$AA:$AA)/AK13,SUMIF($C:$C,B11,$AA:$AA)/(COUNTA(M11:W11)))))</f>
        <v>60</v>
      </c>
      <c r="Y11" s="466"/>
      <c r="Z11" s="534"/>
      <c r="AA11" s="134">
        <f t="shared" si="1"/>
        <v>21</v>
      </c>
      <c r="AB11" s="354">
        <f>+AA11+AC11</f>
        <v>21</v>
      </c>
      <c r="AC11" s="354">
        <v>0</v>
      </c>
      <c r="AD11" s="355">
        <f>+AB10-AB11</f>
        <v>679</v>
      </c>
      <c r="AE11" s="131">
        <f>+IF(((AA12+(AA13/2))*60)=0,"",(J11*AA11)/((AA12+(AA13/2))*60))</f>
        <v>1.2086185567010308</v>
      </c>
      <c r="AF11" s="347">
        <f>+AA12+AA13/2</f>
        <v>12.125</v>
      </c>
      <c r="AG11" s="347">
        <f t="shared" si="2"/>
        <v>12.074999999999999</v>
      </c>
      <c r="AH11" s="341">
        <f t="shared" si="3"/>
        <v>727.5</v>
      </c>
      <c r="AI11" s="341">
        <f>+AA11*J11</f>
        <v>879.27</v>
      </c>
      <c r="AJ11" s="356">
        <f>+AA11-(AF11*K11/K13)</f>
        <v>5.5212765957446805</v>
      </c>
      <c r="AK11" s="348"/>
      <c r="AL11" s="349"/>
      <c r="AM11" s="341"/>
      <c r="AN11" s="341"/>
      <c r="AO11" s="341"/>
      <c r="AP11" s="341"/>
      <c r="AQ11" s="339">
        <f>-540+AA10</f>
        <v>-140</v>
      </c>
      <c r="AR11" s="434"/>
      <c r="AT11" s="390">
        <v>804</v>
      </c>
      <c r="AV11" s="390">
        <f>+AT11-AD11</f>
        <v>125</v>
      </c>
      <c r="AW11" s="535" t="s">
        <v>484</v>
      </c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541" t="str">
        <f>+G10</f>
        <v>7394-593-741</v>
      </c>
      <c r="H12" s="411"/>
      <c r="I12" s="113">
        <f>+IFERROR(IF(K13=0,0,IF((LOOKUP(2,1/(M12:W12&lt;&gt;""),M12:W12)-K13)&lt;0,0,IF(K13=0,"",LOOKUP(2,1/(M12:W12&lt;&gt;""),M12:W12)-K13))),0)</f>
        <v>1</v>
      </c>
      <c r="J12" s="113"/>
      <c r="K12" s="114" t="s">
        <v>22</v>
      </c>
      <c r="L12" s="102" t="s">
        <v>18</v>
      </c>
      <c r="M12" s="448"/>
      <c r="N12" s="448"/>
      <c r="O12" s="448"/>
      <c r="P12" s="448"/>
      <c r="Q12" s="448"/>
      <c r="R12" s="448"/>
      <c r="S12" s="448"/>
      <c r="T12" s="448"/>
      <c r="U12" s="448">
        <v>48</v>
      </c>
      <c r="V12" s="448"/>
      <c r="W12" s="448"/>
      <c r="X12" s="160">
        <f t="shared" ref="X12" si="7">+IF(H12="l",IF(COUNTA(M11:W11)=AK13+0.75,AA11-K11*AK13,AA11-(K11*COUNTA(M11:W11))),IF(H12="s",0,IF(COUNTA(M11:W11)=AK13+0.75,SUMIF($C:$C,B11,$AA:$AA)-K11*AK13,SUMIF($C:$C,B11,$AA:$AA)-K11*COUNTA(M11:W11))))</f>
        <v>0</v>
      </c>
      <c r="Y12" s="466"/>
      <c r="Z12" s="534"/>
      <c r="AA12" s="462">
        <f t="shared" ref="AA12:AA13" si="8">+SUM(M12:W12)-U12*0.75</f>
        <v>12</v>
      </c>
      <c r="AB12" s="360"/>
      <c r="AC12" s="360"/>
      <c r="AD12" s="362"/>
      <c r="AE12" s="363"/>
      <c r="AF12" s="346"/>
      <c r="AG12" s="347">
        <f t="shared" si="2"/>
        <v>0</v>
      </c>
      <c r="AH12" s="341">
        <f t="shared" si="3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12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542" t="str">
        <f>+G10</f>
        <v>7394-593-741</v>
      </c>
      <c r="H13" s="117"/>
      <c r="I13" s="442"/>
      <c r="J13" s="165">
        <f>+IF(K13="","",IF(K11=0,"",(K11*J11)/(K13*60)))</f>
        <v>0.89085106382978718</v>
      </c>
      <c r="K13" s="118">
        <v>47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>
        <v>1</v>
      </c>
      <c r="V13" s="216"/>
      <c r="W13" s="216"/>
      <c r="X13" s="173"/>
      <c r="Y13" s="467">
        <v>0</v>
      </c>
      <c r="Z13" s="371">
        <f>+IF(COUNTA(M11:W11)=$AJ$4+0.25,$AJ$4-(AA11/K11),COUNTA(M11:W11)-(AA11/K11))+Y13</f>
        <v>8.65</v>
      </c>
      <c r="AA13" s="465">
        <f t="shared" si="8"/>
        <v>0.25</v>
      </c>
      <c r="AB13" s="367"/>
      <c r="AC13" s="367"/>
      <c r="AD13" s="368">
        <f>+IFERROR(AD11/(K11*$AQ$3),"")</f>
        <v>1.2933333333333332</v>
      </c>
      <c r="AE13" s="369"/>
      <c r="AF13" s="347"/>
      <c r="AG13" s="347">
        <f t="shared" si="2"/>
        <v>0</v>
      </c>
      <c r="AH13" s="341">
        <f t="shared" si="3"/>
        <v>0</v>
      </c>
      <c r="AI13" s="341"/>
      <c r="AJ13" s="356"/>
      <c r="AK13" s="370">
        <f>+$AJ$4</f>
        <v>8.25</v>
      </c>
      <c r="AL13" s="349">
        <f>+IF(AK13=7.75,SUM(M13:S13)+T13*0.75,IF(AK13=8,SUM(M13:T13),IF(AK13=7.25,SUM(M13:S13)+T13*0.25,IF(AK13=8.25,SUM(M13:T13)+U13*0.25,IF(AK13=8.75,SUM(M13:T13)+U13*0.75,0)))))</f>
        <v>0.25</v>
      </c>
      <c r="AM13" s="341">
        <f>+AL13-AA13</f>
        <v>0</v>
      </c>
      <c r="AN13" s="341"/>
      <c r="AO13" s="341"/>
      <c r="AP13" s="341"/>
      <c r="AQ13" s="369"/>
      <c r="AR13" s="434"/>
      <c r="AT13" s="390">
        <v>1.5573849878934625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40" t="s">
        <v>429</v>
      </c>
      <c r="H14" s="106"/>
      <c r="I14" s="106"/>
      <c r="J14" s="107" t="s">
        <v>20</v>
      </c>
      <c r="K14" s="108" t="s">
        <v>23</v>
      </c>
      <c r="L14" s="100" t="s">
        <v>21</v>
      </c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7" t="str">
        <f t="shared" si="5"/>
        <v/>
      </c>
      <c r="Y14" s="466">
        <v>-113</v>
      </c>
      <c r="Z14" s="533">
        <f>+X16</f>
        <v>0</v>
      </c>
      <c r="AA14" s="447">
        <f t="shared" si="1"/>
        <v>0</v>
      </c>
      <c r="AB14" s="343">
        <f>+AC14+AA14</f>
        <v>6629</v>
      </c>
      <c r="AC14" s="343">
        <v>6629</v>
      </c>
      <c r="AD14" s="344"/>
      <c r="AE14" s="345"/>
      <c r="AF14" s="346"/>
      <c r="AG14" s="347">
        <f t="shared" si="2"/>
        <v>0</v>
      </c>
      <c r="AH14" s="341">
        <f t="shared" si="3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427</v>
      </c>
      <c r="E15" s="111"/>
      <c r="F15" s="111" t="s">
        <v>428</v>
      </c>
      <c r="G15" s="541" t="str">
        <f t="shared" ref="G15:G17" si="9">+G14</f>
        <v>NEGRONI-202942</v>
      </c>
      <c r="H15" s="111"/>
      <c r="I15" s="111" t="s">
        <v>430</v>
      </c>
      <c r="J15" s="113">
        <v>48.06</v>
      </c>
      <c r="K15" s="130">
        <v>60</v>
      </c>
      <c r="L15" s="101" t="s">
        <v>17</v>
      </c>
      <c r="M15" s="214">
        <v>42</v>
      </c>
      <c r="N15" s="214">
        <v>50</v>
      </c>
      <c r="O15" s="214">
        <v>34</v>
      </c>
      <c r="P15" s="214"/>
      <c r="Q15" s="214"/>
      <c r="R15" s="214"/>
      <c r="S15" s="214"/>
      <c r="T15" s="214"/>
      <c r="U15" s="214"/>
      <c r="V15" s="214"/>
      <c r="W15" s="214"/>
      <c r="X15" s="123">
        <f t="shared" ref="X15" si="10">+IF(H16="s",0,IF(AA15=0,0,IF(COUNTA(M15:W15)=AK17+0.75,SUMIF($C:$C,B15,$AA:$AA)/AK17,SUMIF($C:$C,B15,$AA:$AA)/(COUNTA(M15:W15)))))</f>
        <v>0</v>
      </c>
      <c r="Y15" s="466"/>
      <c r="Z15" s="534"/>
      <c r="AA15" s="134">
        <f t="shared" si="1"/>
        <v>126</v>
      </c>
      <c r="AB15" s="354">
        <f>+AA15+AC15</f>
        <v>6594</v>
      </c>
      <c r="AC15" s="354">
        <v>6468</v>
      </c>
      <c r="AD15" s="355">
        <f>+AB14-AB15</f>
        <v>35</v>
      </c>
      <c r="AE15" s="131">
        <f>+IF(((AA16+(AA17/2))*60)=0,"",(J15*AA15)/((AA16+(AA17/2))*60))</f>
        <v>2.8836000000000004</v>
      </c>
      <c r="AF15" s="347">
        <f>+AA16+AA17/2</f>
        <v>35</v>
      </c>
      <c r="AG15" s="347">
        <f t="shared" si="2"/>
        <v>35</v>
      </c>
      <c r="AH15" s="341">
        <f t="shared" si="3"/>
        <v>2100</v>
      </c>
      <c r="AI15" s="341">
        <f>+AA15*J15</f>
        <v>6055.56</v>
      </c>
      <c r="AJ15" s="356">
        <f>+AA15-(AF15*K15/K17)</f>
        <v>87.818181818181813</v>
      </c>
      <c r="AK15" s="348"/>
      <c r="AL15" s="349"/>
      <c r="AM15" s="341"/>
      <c r="AN15" s="341"/>
      <c r="AO15" s="341"/>
      <c r="AP15" s="341"/>
      <c r="AQ15" s="339"/>
      <c r="AR15" s="434"/>
      <c r="AT15" s="390">
        <v>573</v>
      </c>
      <c r="AV15" s="390">
        <f>+AT15-AD15</f>
        <v>538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>
        <f>+B15</f>
        <v>2</v>
      </c>
      <c r="F16" s="409"/>
      <c r="G16" s="541" t="str">
        <f t="shared" si="9"/>
        <v>NEGRONI-202942</v>
      </c>
      <c r="H16" s="411" t="s">
        <v>414</v>
      </c>
      <c r="I16" s="113">
        <f>+IFERROR(IF(K17=0,0,IF((LOOKUP(2,1/(M16:W16&lt;&gt;""),M16:W16)-K17)&lt;0,0,IF(K17=0,"",LOOKUP(2,1/(M16:W16&lt;&gt;""),M16:W16)-K17))),0)</f>
        <v>0</v>
      </c>
      <c r="J16" s="113">
        <v>0</v>
      </c>
      <c r="K16" s="114" t="s">
        <v>22</v>
      </c>
      <c r="L16" s="102" t="s">
        <v>18</v>
      </c>
      <c r="M16" s="448">
        <v>15</v>
      </c>
      <c r="N16" s="448">
        <v>10</v>
      </c>
      <c r="O16" s="448">
        <v>10</v>
      </c>
      <c r="P16" s="448"/>
      <c r="Q16" s="448"/>
      <c r="R16" s="448"/>
      <c r="S16" s="448"/>
      <c r="T16" s="448"/>
      <c r="U16" s="448"/>
      <c r="V16" s="448"/>
      <c r="W16" s="448"/>
      <c r="X16" s="160">
        <f t="shared" ref="X16" si="11">+IF(H16="l",IF(COUNTA(M15:W15)=AK17+0.75,AA15-K15*AK17,AA15-(K15*COUNTA(M15:W15))),IF(H16="s",0,IF(COUNTA(M15:W15)=AK17+0.75,SUMIF($C:$C,B15,$AA:$AA)-K15*AK17,SUMIF($C:$C,B15,$AA:$AA)-K15*COUNTA(M15:W15))))</f>
        <v>0</v>
      </c>
      <c r="Y16" s="466"/>
      <c r="Z16" s="534"/>
      <c r="AA16" s="462">
        <f t="shared" ref="AA16:AA17" si="12">+SUM(M16:W16)-U16*0.75</f>
        <v>35</v>
      </c>
      <c r="AB16" s="360"/>
      <c r="AC16" s="360"/>
      <c r="AD16" s="362"/>
      <c r="AE16" s="363"/>
      <c r="AF16" s="346"/>
      <c r="AG16" s="347">
        <f t="shared" si="2"/>
        <v>0</v>
      </c>
      <c r="AH16" s="341">
        <f t="shared" si="3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35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>
        <f>+E16+100</f>
        <v>102</v>
      </c>
      <c r="F17" s="175"/>
      <c r="G17" s="542" t="str">
        <f t="shared" si="9"/>
        <v>NEGRONI-202942</v>
      </c>
      <c r="H17" s="117"/>
      <c r="I17" s="442"/>
      <c r="J17" s="165">
        <f>+IF(K17="","",IF(K15=0,"",(K15*J15)/(K17*60)))</f>
        <v>0.87381818181818194</v>
      </c>
      <c r="K17" s="118">
        <v>55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36.14</v>
      </c>
      <c r="Z17" s="365">
        <v>36.14</v>
      </c>
      <c r="AA17" s="465">
        <f t="shared" si="12"/>
        <v>0</v>
      </c>
      <c r="AB17" s="367"/>
      <c r="AC17" s="367"/>
      <c r="AD17" s="368">
        <f>+IFERROR(AD15/(K15*$AQ$3),"")</f>
        <v>6.6666666666666666E-2</v>
      </c>
      <c r="AE17" s="369"/>
      <c r="AF17" s="347"/>
      <c r="AG17" s="347">
        <f t="shared" si="2"/>
        <v>0</v>
      </c>
      <c r="AH17" s="341">
        <f t="shared" si="3"/>
        <v>0</v>
      </c>
      <c r="AI17" s="341"/>
      <c r="AJ17" s="356"/>
      <c r="AK17" s="370">
        <f>+$AJ$4</f>
        <v>8.25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1.0914285714285714</v>
      </c>
      <c r="AV17" s="390"/>
    </row>
    <row r="18" spans="2:58" s="98" customFormat="1" ht="62.25" customHeight="1" thickTop="1" x14ac:dyDescent="0.9">
      <c r="B18" s="342">
        <f>+B19</f>
        <v>2</v>
      </c>
      <c r="C18" s="405"/>
      <c r="D18" s="106"/>
      <c r="E18" s="106"/>
      <c r="F18" s="106"/>
      <c r="G18" s="540" t="s">
        <v>481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180</v>
      </c>
      <c r="N18" s="448">
        <v>180</v>
      </c>
      <c r="O18" s="448"/>
      <c r="P18" s="448"/>
      <c r="Q18" s="448">
        <v>66</v>
      </c>
      <c r="R18" s="448"/>
      <c r="S18" s="448"/>
      <c r="T18" s="448"/>
      <c r="U18" s="448"/>
      <c r="V18" s="448"/>
      <c r="W18" s="448"/>
      <c r="X18" s="447">
        <f t="shared" si="5"/>
        <v>426</v>
      </c>
      <c r="Y18" s="466">
        <v>0</v>
      </c>
      <c r="Z18" s="533">
        <f>+X20</f>
        <v>-410</v>
      </c>
      <c r="AA18" s="447">
        <f t="shared" si="1"/>
        <v>426</v>
      </c>
      <c r="AB18" s="343">
        <f>+AC18+AA18</f>
        <v>996</v>
      </c>
      <c r="AC18" s="343">
        <v>570</v>
      </c>
      <c r="AD18" s="344"/>
      <c r="AE18" s="345"/>
      <c r="AF18" s="346"/>
      <c r="AG18" s="347">
        <f t="shared" si="2"/>
        <v>0</v>
      </c>
      <c r="AH18" s="341">
        <f t="shared" si="3"/>
        <v>0</v>
      </c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2</v>
      </c>
      <c r="C19" s="406">
        <f>+B19</f>
        <v>2</v>
      </c>
      <c r="D19" s="407" t="s">
        <v>480</v>
      </c>
      <c r="E19" s="111"/>
      <c r="F19" s="111" t="s">
        <v>35</v>
      </c>
      <c r="G19" s="541" t="str">
        <f t="shared" ref="G19:G21" si="13">+G18</f>
        <v>2396-593-600</v>
      </c>
      <c r="H19" s="111"/>
      <c r="I19" s="111" t="s">
        <v>33</v>
      </c>
      <c r="J19" s="113">
        <v>38.82</v>
      </c>
      <c r="K19" s="130">
        <v>60</v>
      </c>
      <c r="L19" s="101" t="s">
        <v>17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21</v>
      </c>
      <c r="S19" s="214">
        <v>22</v>
      </c>
      <c r="T19" s="214">
        <v>32</v>
      </c>
      <c r="U19" s="214">
        <v>10</v>
      </c>
      <c r="V19" s="214"/>
      <c r="W19" s="214"/>
      <c r="X19" s="123">
        <f t="shared" ref="X19" si="14">+IF(H20="s",0,IF(AA19=0,0,IF(COUNTA(M19:W19)=AK21+0.75,SUMIF($C:$C,B19,$AA:$AA)/AK21,SUMIF($C:$C,B19,$AA:$AA)/(COUNTA(M19:W19)))))</f>
        <v>25.575757575757574</v>
      </c>
      <c r="Y19" s="466"/>
      <c r="Z19" s="534"/>
      <c r="AA19" s="134">
        <f t="shared" si="1"/>
        <v>85</v>
      </c>
      <c r="AB19" s="354">
        <f>+AA19+AC19</f>
        <v>85</v>
      </c>
      <c r="AC19" s="354">
        <v>0</v>
      </c>
      <c r="AD19" s="355">
        <f>+AB18-AB19</f>
        <v>911</v>
      </c>
      <c r="AE19" s="131">
        <f>+IF(((AA20+(AA21/2))*60)=0,"",(J19*AA19)/((AA20+(AA21/2))*60))</f>
        <v>0.14377777777777778</v>
      </c>
      <c r="AF19" s="347">
        <f>+AA20+AA21/2</f>
        <v>382.5</v>
      </c>
      <c r="AG19" s="347">
        <f t="shared" si="2"/>
        <v>382.3</v>
      </c>
      <c r="AH19" s="341">
        <f t="shared" si="3"/>
        <v>22950</v>
      </c>
      <c r="AI19" s="341">
        <f>+AA19*J19</f>
        <v>3299.7</v>
      </c>
      <c r="AJ19" s="356">
        <f>+AA19-(AF19*K19/K21)</f>
        <v>-448.72093023255809</v>
      </c>
      <c r="AK19" s="348"/>
      <c r="AL19" s="349"/>
      <c r="AM19" s="341"/>
      <c r="AN19" s="341"/>
      <c r="AO19" s="341"/>
      <c r="AP19" s="341"/>
      <c r="AQ19" s="339">
        <f>-300+AA18</f>
        <v>126</v>
      </c>
      <c r="AR19" s="434"/>
      <c r="AT19" s="390">
        <v>180</v>
      </c>
      <c r="AV19" s="390">
        <f>+AT19-AD19</f>
        <v>-731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2</v>
      </c>
      <c r="C20" s="408"/>
      <c r="D20" s="184"/>
      <c r="E20" s="111"/>
      <c r="F20" s="409"/>
      <c r="G20" s="541" t="str">
        <f t="shared" si="13"/>
        <v>2396-593-600</v>
      </c>
      <c r="H20" s="411" t="s">
        <v>412</v>
      </c>
      <c r="I20" s="113"/>
      <c r="J20" s="113">
        <v>0</v>
      </c>
      <c r="K20" s="114" t="s">
        <v>22</v>
      </c>
      <c r="L20" s="102" t="s">
        <v>18</v>
      </c>
      <c r="M20" s="448">
        <v>40</v>
      </c>
      <c r="N20" s="448">
        <v>40</v>
      </c>
      <c r="O20" s="448">
        <v>40</v>
      </c>
      <c r="P20" s="448">
        <v>50</v>
      </c>
      <c r="Q20" s="448">
        <v>50</v>
      </c>
      <c r="R20" s="448">
        <v>50</v>
      </c>
      <c r="S20" s="448">
        <v>50</v>
      </c>
      <c r="T20" s="448">
        <v>50</v>
      </c>
      <c r="U20" s="448">
        <v>50</v>
      </c>
      <c r="V20" s="448"/>
      <c r="W20" s="448"/>
      <c r="X20" s="160">
        <f t="shared" ref="X20" si="15">+IF(H20="l",IF(COUNTA(M19:W19)=AK21+0.75,AA19-K19*AK21,AA19-(K19*COUNTA(M19:W19))),IF(H20="s",0,IF(COUNTA(M19:W19)=AK21+0.75,SUMIF($C:$C,B19,$AA:$AA)-K19*AK21,SUMIF($C:$C,B19,$AA:$AA)-K19*COUNTA(M19:W19))))</f>
        <v>-410</v>
      </c>
      <c r="Y20" s="466"/>
      <c r="Z20" s="534"/>
      <c r="AA20" s="462">
        <f t="shared" ref="AA20:AA21" si="16">+SUM(M20:W20)-U20*0.75</f>
        <v>382.5</v>
      </c>
      <c r="AB20" s="360"/>
      <c r="AC20" s="360"/>
      <c r="AD20" s="362"/>
      <c r="AE20" s="363"/>
      <c r="AF20" s="346"/>
      <c r="AG20" s="347">
        <f t="shared" si="2"/>
        <v>0</v>
      </c>
      <c r="AH20" s="341">
        <f t="shared" si="3"/>
        <v>0</v>
      </c>
      <c r="AI20" s="341"/>
      <c r="AJ20" s="341"/>
      <c r="AK20" s="348"/>
      <c r="AL20" s="349">
        <f>+IF(AK21=7.75,SUM(M20:S20)+T20*0.75,IF(AK21=8,SUM(M20:T20),IF(AK21=7.25,SUM(M20:S20)+T20*0.25,IF(AK21=8.25,SUM(M20:T20)+U20*0.25,IF(AK21=8.75,SUM(M20:T20)+U20*0.75,0)))))</f>
        <v>382.5</v>
      </c>
      <c r="AM20" s="341">
        <f>+AL20-AA20</f>
        <v>0</v>
      </c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2</v>
      </c>
      <c r="C21" s="410"/>
      <c r="D21" s="174" t="s">
        <v>419</v>
      </c>
      <c r="E21" s="175"/>
      <c r="F21" s="175"/>
      <c r="G21" s="542" t="str">
        <f t="shared" si="13"/>
        <v>2396-593-600</v>
      </c>
      <c r="H21" s="117"/>
      <c r="I21" s="442"/>
      <c r="J21" s="165">
        <f>+IF(K21="","",IF(K19=0,"",(K19*J19)/(K21*60)))</f>
        <v>0.90279069767441855</v>
      </c>
      <c r="K21" s="118">
        <v>43</v>
      </c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/>
      <c r="Z21" s="371">
        <f>+IF(COUNTA(M19:W19)=$AJ$4+0.25,$AJ$4-(AA19/K19),COUNTA(M19:W19)-(AA19/K19))+Y21</f>
        <v>7.583333333333333</v>
      </c>
      <c r="AA21" s="465">
        <f t="shared" si="16"/>
        <v>0</v>
      </c>
      <c r="AB21" s="367"/>
      <c r="AC21" s="367"/>
      <c r="AD21" s="368">
        <f>+IFERROR(AD19/(K19*$AQ$3),"")</f>
        <v>1.7352380952380952</v>
      </c>
      <c r="AE21" s="369"/>
      <c r="AF21" s="347"/>
      <c r="AG21" s="347">
        <f t="shared" si="2"/>
        <v>0</v>
      </c>
      <c r="AH21" s="341">
        <f t="shared" si="3"/>
        <v>0</v>
      </c>
      <c r="AI21" s="341"/>
      <c r="AJ21" s="356"/>
      <c r="AK21" s="370">
        <f>+$AJ$4</f>
        <v>8.25</v>
      </c>
      <c r="AL21" s="349">
        <f>+IF(AK21=7.75,SUM(M21:S21)+T21*0.75,IF(AK21=8,SUM(M21:T21),IF(AK21=7.25,SUM(M21:S21)+T21*0.25,IF(AK21=8.25,SUM(M21:T21)+U21*0.25,IF(AK21=8.75,SUM(M21:T21)+U21*0.75,0)))))</f>
        <v>0</v>
      </c>
      <c r="AM21" s="341">
        <f>+AL21-AA21</f>
        <v>0</v>
      </c>
      <c r="AN21" s="341"/>
      <c r="AO21" s="341"/>
      <c r="AP21" s="341"/>
      <c r="AQ21" s="369"/>
      <c r="AR21" s="434"/>
      <c r="AT21" s="390" t="s">
        <v>416</v>
      </c>
      <c r="AV21" s="390"/>
    </row>
    <row r="22" spans="2:58" s="98" customFormat="1" ht="62.25" customHeight="1" thickTop="1" x14ac:dyDescent="0.9">
      <c r="B22" s="342">
        <f>+B23</f>
        <v>3</v>
      </c>
      <c r="C22" s="405"/>
      <c r="D22" s="106"/>
      <c r="E22" s="106"/>
      <c r="F22" s="106"/>
      <c r="G22" s="540"/>
      <c r="H22" s="106"/>
      <c r="I22" s="106"/>
      <c r="J22" s="107" t="s">
        <v>20</v>
      </c>
      <c r="K22" s="108" t="s">
        <v>23</v>
      </c>
      <c r="L22" s="100" t="s">
        <v>21</v>
      </c>
      <c r="M22" s="453"/>
      <c r="N22" s="453"/>
      <c r="O22" s="453"/>
      <c r="P22" s="453"/>
      <c r="Q22" s="453"/>
      <c r="R22" s="453"/>
      <c r="S22" s="453"/>
      <c r="T22" s="453"/>
      <c r="U22" s="453"/>
      <c r="V22" s="453"/>
      <c r="W22" s="453"/>
      <c r="X22" s="447" t="str">
        <f t="shared" si="5"/>
        <v/>
      </c>
      <c r="Y22" s="466">
        <v>0</v>
      </c>
      <c r="Z22" s="533">
        <f>+X24</f>
        <v>0</v>
      </c>
      <c r="AA22" s="447">
        <f t="shared" si="1"/>
        <v>0</v>
      </c>
      <c r="AB22" s="343">
        <f>+AC22+AA22</f>
        <v>0</v>
      </c>
      <c r="AC22" s="343">
        <v>0</v>
      </c>
      <c r="AD22" s="344"/>
      <c r="AE22" s="345"/>
      <c r="AF22" s="346"/>
      <c r="AG22" s="347"/>
      <c r="AH22" s="341"/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1.35">
      <c r="B23" s="351">
        <v>3</v>
      </c>
      <c r="C23" s="406">
        <v>3</v>
      </c>
      <c r="D23" s="407"/>
      <c r="E23" s="111"/>
      <c r="F23" s="111"/>
      <c r="G23" s="541"/>
      <c r="H23" s="111"/>
      <c r="I23" s="111"/>
      <c r="J23" s="113"/>
      <c r="K23" s="130"/>
      <c r="L23" s="101" t="s">
        <v>17</v>
      </c>
      <c r="M23" s="454"/>
      <c r="N23" s="454"/>
      <c r="O23" s="454"/>
      <c r="P23" s="454"/>
      <c r="Q23" s="454"/>
      <c r="R23" s="454"/>
      <c r="S23" s="454"/>
      <c r="T23" s="454"/>
      <c r="U23" s="454"/>
      <c r="V23" s="454"/>
      <c r="W23" s="454"/>
      <c r="X23" s="123">
        <f t="shared" ref="X23" si="17">+IF(H24="s",0,IF(AA23=0,0,IF(COUNTA(M23:W23)=AK25+0.75,SUMIF($C:$C,B23,$AA:$AA)/AK25,SUMIF($C:$C,B23,$AA:$AA)/(COUNTA(M23:W23)))))</f>
        <v>0</v>
      </c>
      <c r="Y23" s="466"/>
      <c r="Z23" s="534"/>
      <c r="AA23" s="134">
        <f t="shared" si="1"/>
        <v>0</v>
      </c>
      <c r="AB23" s="354">
        <f>+AA23+AC23</f>
        <v>0</v>
      </c>
      <c r="AC23" s="354">
        <v>0</v>
      </c>
      <c r="AD23" s="355">
        <f>+AB22-AB23</f>
        <v>0</v>
      </c>
      <c r="AE23" s="131" t="str">
        <f>+IF(((AA24+(AA25/2))*60)=0,"",(J23*AA23)/((AA24+(AA25/2))*60))</f>
        <v/>
      </c>
      <c r="AF23" s="347"/>
      <c r="AG23" s="347"/>
      <c r="AH23" s="341"/>
      <c r="AI23" s="341"/>
      <c r="AJ23" s="356"/>
      <c r="AK23" s="348"/>
      <c r="AL23" s="349"/>
      <c r="AM23" s="341"/>
      <c r="AN23" s="341"/>
      <c r="AO23" s="341"/>
      <c r="AP23" s="341"/>
      <c r="AQ23" s="339" t="str">
        <f t="shared" ref="AQ23:AQ67" si="18">IF(AR23=0,"",AT23-(($AQ$3*K23)+($AQ$3*K23)*AR23)+AA22)</f>
        <v/>
      </c>
      <c r="AR23" s="434"/>
      <c r="AT23" s="390">
        <v>0</v>
      </c>
      <c r="AV23" s="390">
        <f t="shared" ref="AV23" si="19">+AT23-AD23</f>
        <v>0</v>
      </c>
      <c r="AW23" s="535"/>
      <c r="AX23" s="535"/>
      <c r="AY23" s="535"/>
      <c r="AZ23" s="535"/>
      <c r="BA23" s="535"/>
      <c r="BB23" s="535"/>
      <c r="BC23" s="535"/>
      <c r="BD23" s="535"/>
      <c r="BE23" s="535"/>
      <c r="BF23" s="535"/>
    </row>
    <row r="24" spans="2:58" s="98" customFormat="1" ht="62.25" customHeight="1" x14ac:dyDescent="0.9">
      <c r="B24" s="357">
        <f>+B23</f>
        <v>3</v>
      </c>
      <c r="C24" s="408"/>
      <c r="D24" s="184"/>
      <c r="E24" s="111">
        <f>+B23</f>
        <v>3</v>
      </c>
      <c r="F24" s="409"/>
      <c r="G24" s="541"/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53"/>
      <c r="N24" s="453"/>
      <c r="O24" s="453"/>
      <c r="P24" s="453"/>
      <c r="Q24" s="453"/>
      <c r="R24" s="453"/>
      <c r="S24" s="453"/>
      <c r="T24" s="453"/>
      <c r="U24" s="453"/>
      <c r="V24" s="453"/>
      <c r="W24" s="453"/>
      <c r="X24" s="160">
        <f t="shared" ref="X24" si="20">+IF(H24="l",IF(COUNTA(M23:W23)=AK25+0.75,AA23-K23*AK25,AA23-(K23*COUNTA(M23:W23))),IF(H24="s",0,IF(COUNTA(M23:W23)=AK25+0.75,SUMIF($C:$C,B23,$AA:$AA)-K23*AK25,SUMIF($C:$C,B23,$AA:$AA)-K23*COUNTA(M23:W23))))</f>
        <v>0</v>
      </c>
      <c r="Y24" s="466"/>
      <c r="Z24" s="534"/>
      <c r="AA24" s="462">
        <f t="shared" ref="AA24:AA25" si="21">+SUM(M24:W24)-U24*0.75</f>
        <v>0</v>
      </c>
      <c r="AB24" s="360"/>
      <c r="AC24" s="360"/>
      <c r="AD24" s="362"/>
      <c r="AE24" s="363"/>
      <c r="AF24" s="346"/>
      <c r="AG24" s="347"/>
      <c r="AH24" s="341"/>
      <c r="AI24" s="341"/>
      <c r="AJ24" s="341"/>
      <c r="AK24" s="348"/>
      <c r="AL24" s="349"/>
      <c r="AM24" s="341"/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3</v>
      </c>
      <c r="C25" s="410"/>
      <c r="D25" s="174"/>
      <c r="E25" s="175">
        <f>+E24+100</f>
        <v>103</v>
      </c>
      <c r="F25" s="175"/>
      <c r="G25" s="542"/>
      <c r="H25" s="117"/>
      <c r="I25" s="442"/>
      <c r="J25" s="165" t="str">
        <f>+IF(K25="","",IF(K23=0,"",(K23*J23)/(K25*60)))</f>
        <v/>
      </c>
      <c r="K25" s="118"/>
      <c r="L25" s="104" t="s">
        <v>19</v>
      </c>
      <c r="M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173"/>
      <c r="Y25" s="467"/>
      <c r="Z25" s="371"/>
      <c r="AA25" s="465">
        <f t="shared" si="21"/>
        <v>0</v>
      </c>
      <c r="AB25" s="367"/>
      <c r="AC25" s="367"/>
      <c r="AD25" s="368" t="str">
        <f>+IFERROR(AD23/(K23*$AQ$3),"")</f>
        <v/>
      </c>
      <c r="AE25" s="369"/>
      <c r="AF25" s="347"/>
      <c r="AG25" s="347"/>
      <c r="AH25" s="341"/>
      <c r="AI25" s="341"/>
      <c r="AJ25" s="356"/>
      <c r="AK25" s="370">
        <f>+$AJ$4</f>
        <v>8.25</v>
      </c>
      <c r="AL25" s="349"/>
      <c r="AM25" s="341"/>
      <c r="AN25" s="341"/>
      <c r="AO25" s="341"/>
      <c r="AP25" s="341"/>
      <c r="AQ25" s="369"/>
      <c r="AR25" s="434"/>
      <c r="AT25" s="390" t="s">
        <v>416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39" t="s">
        <v>424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7" t="str">
        <f t="shared" si="5"/>
        <v/>
      </c>
      <c r="Y26" s="466">
        <v>0</v>
      </c>
      <c r="Z26" s="533">
        <f>+X28</f>
        <v>0</v>
      </c>
      <c r="AA26" s="447">
        <f t="shared" si="1"/>
        <v>0</v>
      </c>
      <c r="AB26" s="343">
        <f>+AC26+AA26</f>
        <v>8799</v>
      </c>
      <c r="AC26" s="343">
        <v>8799</v>
      </c>
      <c r="AD26" s="344"/>
      <c r="AE26" s="345"/>
      <c r="AF26" s="346"/>
      <c r="AG26" s="347">
        <f t="shared" si="2"/>
        <v>0</v>
      </c>
      <c r="AH26" s="341">
        <f t="shared" si="3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423</v>
      </c>
      <c r="E27" s="111"/>
      <c r="F27" s="111" t="s">
        <v>35</v>
      </c>
      <c r="G27" s="539" t="str">
        <f t="shared" ref="G27:G29" si="22">+G26</f>
        <v>2215-518-800</v>
      </c>
      <c r="H27" s="111"/>
      <c r="I27" s="111" t="s">
        <v>33</v>
      </c>
      <c r="J27" s="113">
        <v>33.42</v>
      </c>
      <c r="K27" s="130">
        <v>61</v>
      </c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123">
        <f t="shared" ref="X27" si="23">+IF(H28="s",0,IF(AA27=0,0,IF(COUNTA(M27:W27)=AK29+0.75,SUMIF($C:$C,B27,$AA:$AA)/AK29,SUMIF($C:$C,B27,$AA:$AA)/(COUNTA(M27:W27)))))</f>
        <v>0</v>
      </c>
      <c r="Y27" s="466"/>
      <c r="Z27" s="534"/>
      <c r="AA27" s="134">
        <f t="shared" si="1"/>
        <v>0</v>
      </c>
      <c r="AB27" s="354">
        <f>+AA27+AC27</f>
        <v>8771</v>
      </c>
      <c r="AC27" s="354">
        <v>8771</v>
      </c>
      <c r="AD27" s="355">
        <f>+AB26-AB27</f>
        <v>28</v>
      </c>
      <c r="AE27" s="131" t="str">
        <f>+IF(((AA28+(AA29/2))*60)=0,"",(J27*AA27)/((AA28+(AA29/2))*60))</f>
        <v/>
      </c>
      <c r="AF27" s="347">
        <f>+AA28+AA29/2</f>
        <v>0</v>
      </c>
      <c r="AG27" s="347">
        <f t="shared" si="2"/>
        <v>0</v>
      </c>
      <c r="AH27" s="341">
        <f t="shared" si="3"/>
        <v>0</v>
      </c>
      <c r="AI27" s="341">
        <f>+AA27*J27</f>
        <v>0</v>
      </c>
      <c r="AJ27" s="356">
        <f>+AA27-(AF27*K27/K29)</f>
        <v>0</v>
      </c>
      <c r="AK27" s="348"/>
      <c r="AL27" s="349"/>
      <c r="AM27" s="341"/>
      <c r="AN27" s="341"/>
      <c r="AO27" s="341"/>
      <c r="AP27" s="341"/>
      <c r="AQ27" s="339" t="str">
        <f t="shared" si="18"/>
        <v/>
      </c>
      <c r="AR27" s="434"/>
      <c r="AT27" s="390">
        <v>28</v>
      </c>
      <c r="AV27" s="390">
        <f t="shared" ref="AV27" si="24">+AT27-AD27</f>
        <v>0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39" t="str">
        <f t="shared" si="22"/>
        <v>2215-518-800</v>
      </c>
      <c r="H28" s="411" t="s">
        <v>414</v>
      </c>
      <c r="I28" s="113">
        <f>+IFERROR(IF(K29=0,0,IF((LOOKUP(2,1/(M28:W28&lt;&gt;""),M28:W28)-K29)&lt;0,0,IF(K29=0,"",LOOKUP(2,1/(M28:W28&lt;&gt;""),M28:W28)-K29))),0)</f>
        <v>0</v>
      </c>
      <c r="J28" s="113">
        <v>0</v>
      </c>
      <c r="K28" s="114" t="s">
        <v>22</v>
      </c>
      <c r="L28" s="102" t="s">
        <v>18</v>
      </c>
      <c r="M28" s="448"/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160">
        <f t="shared" ref="X28" si="25">+IF(H28="l",IF(COUNTA(M27:W27)=AK29+0.75,AA27-K27*AK29,AA27-(K27*COUNTA(M27:W27))),IF(H28="s",0,IF(COUNTA(M27:W27)=AK29+0.75,SUMIF($C:$C,B27,$AA:$AA)-K27*AK29,SUMIF($C:$C,B27,$AA:$AA)-K27*COUNTA(M27:W27))))</f>
        <v>0</v>
      </c>
      <c r="Y28" s="466"/>
      <c r="Z28" s="534"/>
      <c r="AA28" s="462">
        <f t="shared" ref="AA28:AA29" si="26">+SUM(M28:W28)-U28*0.75</f>
        <v>0</v>
      </c>
      <c r="AB28" s="360"/>
      <c r="AC28" s="360"/>
      <c r="AD28" s="362"/>
      <c r="AE28" s="363"/>
      <c r="AF28" s="346"/>
      <c r="AG28" s="347">
        <f t="shared" si="2"/>
        <v>0</v>
      </c>
      <c r="AH28" s="341">
        <f t="shared" si="3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0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39" t="str">
        <f t="shared" si="22"/>
        <v>2215-518-800</v>
      </c>
      <c r="H29" s="117"/>
      <c r="I29" s="442"/>
      <c r="J29" s="165">
        <f>+IF(K29="","",IF(K27=0,"",(K27*J27)/(K29*60)))</f>
        <v>0.8941315789473685</v>
      </c>
      <c r="K29" s="118">
        <v>38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24.63</v>
      </c>
      <c r="Z29" s="365">
        <v>24.63</v>
      </c>
      <c r="AA29" s="465">
        <f t="shared" si="26"/>
        <v>0</v>
      </c>
      <c r="AB29" s="367"/>
      <c r="AC29" s="367"/>
      <c r="AD29" s="368">
        <f>+IFERROR(AD27/(K27*$AQ$3),"")</f>
        <v>5.2459016393442623E-2</v>
      </c>
      <c r="AE29" s="369"/>
      <c r="AF29" s="347"/>
      <c r="AG29" s="347">
        <f t="shared" si="2"/>
        <v>0</v>
      </c>
      <c r="AH29" s="341">
        <f t="shared" si="3"/>
        <v>0</v>
      </c>
      <c r="AI29" s="341"/>
      <c r="AJ29" s="356"/>
      <c r="AK29" s="370">
        <f>+$AJ$4</f>
        <v>8.25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5.2459016393442623E-2</v>
      </c>
      <c r="AV29" s="390"/>
    </row>
    <row r="30" spans="2:58" s="98" customFormat="1" ht="62.25" customHeight="1" thickTop="1" x14ac:dyDescent="0.9">
      <c r="B30" s="342">
        <f>+B31</f>
        <v>4</v>
      </c>
      <c r="C30" s="405"/>
      <c r="D30" s="106"/>
      <c r="E30" s="106"/>
      <c r="F30" s="106"/>
      <c r="G30" s="540" t="s">
        <v>442</v>
      </c>
      <c r="H30" s="106"/>
      <c r="I30" s="106"/>
      <c r="J30" s="107" t="s">
        <v>20</v>
      </c>
      <c r="K30" s="108" t="s">
        <v>23</v>
      </c>
      <c r="L30" s="100" t="s">
        <v>21</v>
      </c>
      <c r="M30" s="448">
        <v>60</v>
      </c>
      <c r="N30" s="448">
        <v>120</v>
      </c>
      <c r="O30" s="448"/>
      <c r="P30" s="448"/>
      <c r="Q30" s="448">
        <v>120</v>
      </c>
      <c r="R30" s="448">
        <v>120</v>
      </c>
      <c r="S30" s="448"/>
      <c r="T30" s="448"/>
      <c r="U30" s="448"/>
      <c r="V30" s="448"/>
      <c r="W30" s="448"/>
      <c r="X30" s="447">
        <f t="shared" si="5"/>
        <v>420</v>
      </c>
      <c r="Y30" s="466">
        <v>-70</v>
      </c>
      <c r="Z30" s="533">
        <f>+X32</f>
        <v>0.75</v>
      </c>
      <c r="AA30" s="447">
        <f t="shared" si="1"/>
        <v>420</v>
      </c>
      <c r="AB30" s="343">
        <f>+AC30+AA30</f>
        <v>2281</v>
      </c>
      <c r="AC30" s="343">
        <v>1861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4</v>
      </c>
      <c r="C31" s="406">
        <f>+B31</f>
        <v>4</v>
      </c>
      <c r="D31" s="407" t="s">
        <v>441</v>
      </c>
      <c r="E31" s="111"/>
      <c r="F31" s="111" t="s">
        <v>35</v>
      </c>
      <c r="G31" s="541" t="str">
        <f t="shared" ref="G31:G33" si="27">+G30</f>
        <v>2259-600-730</v>
      </c>
      <c r="H31" s="111"/>
      <c r="I31" s="111" t="s">
        <v>33</v>
      </c>
      <c r="J31" s="113">
        <v>34.450000000000003</v>
      </c>
      <c r="K31" s="130">
        <v>61</v>
      </c>
      <c r="L31" s="101" t="s">
        <v>17</v>
      </c>
      <c r="M31" s="214">
        <v>61</v>
      </c>
      <c r="N31" s="214">
        <v>61</v>
      </c>
      <c r="O31" s="214">
        <v>61</v>
      </c>
      <c r="P31" s="214">
        <v>61</v>
      </c>
      <c r="Q31" s="214">
        <v>61</v>
      </c>
      <c r="R31" s="214">
        <v>61</v>
      </c>
      <c r="S31" s="214">
        <v>61</v>
      </c>
      <c r="T31" s="214">
        <v>61</v>
      </c>
      <c r="U31" s="214">
        <v>16</v>
      </c>
      <c r="V31" s="214"/>
      <c r="W31" s="214"/>
      <c r="X31" s="123">
        <f t="shared" ref="X31" si="28">+IF(H32="s",0,IF(AA31=0,0,IF(COUNTA(M31:W31)=AK33+0.75,SUMIF($C:$C,B31,$AA:$AA)/AK33,SUMIF($C:$C,B31,$AA:$AA)/(COUNTA(M31:W31)))))</f>
        <v>61.090909090909093</v>
      </c>
      <c r="Y31" s="466"/>
      <c r="Z31" s="534"/>
      <c r="AA31" s="134">
        <f t="shared" si="1"/>
        <v>504</v>
      </c>
      <c r="AB31" s="354">
        <f>+AA31+AC31</f>
        <v>1531</v>
      </c>
      <c r="AC31" s="354">
        <v>1027</v>
      </c>
      <c r="AD31" s="355">
        <f>+AB30-AB31</f>
        <v>750</v>
      </c>
      <c r="AE31" s="131">
        <f>+IF(((AA32+(AA33/2))*60)=0,"",(J31*AA31)/((AA32+(AA33/2))*60))</f>
        <v>0.89939393939393952</v>
      </c>
      <c r="AF31" s="347">
        <f>+AA32+AA33/2</f>
        <v>321.75</v>
      </c>
      <c r="AG31" s="347">
        <f t="shared" si="2"/>
        <v>321.45</v>
      </c>
      <c r="AH31" s="341">
        <f t="shared" si="3"/>
        <v>19305</v>
      </c>
      <c r="AI31" s="341">
        <f>+AA31*J31</f>
        <v>17362.800000000003</v>
      </c>
      <c r="AJ31" s="356">
        <f>+AA31-(AF31*K31/K33)</f>
        <v>-12.493421052631561</v>
      </c>
      <c r="AK31" s="348"/>
      <c r="AL31" s="349"/>
      <c r="AM31" s="341"/>
      <c r="AN31" s="341"/>
      <c r="AO31" s="341"/>
      <c r="AP31" s="341"/>
      <c r="AQ31" s="339">
        <f t="shared" si="18"/>
        <v>74.625</v>
      </c>
      <c r="AR31" s="434">
        <v>1.5</v>
      </c>
      <c r="AT31" s="390">
        <v>989</v>
      </c>
      <c r="AV31" s="390">
        <f t="shared" ref="AV31" si="29">+AT31-AD31</f>
        <v>239</v>
      </c>
    </row>
    <row r="32" spans="2:58" s="98" customFormat="1" ht="62.25" customHeight="1" x14ac:dyDescent="0.9">
      <c r="B32" s="357">
        <f>+B31</f>
        <v>4</v>
      </c>
      <c r="C32" s="408"/>
      <c r="D32" s="184"/>
      <c r="E32" s="111">
        <f>+B31</f>
        <v>4</v>
      </c>
      <c r="F32" s="409"/>
      <c r="G32" s="541" t="str">
        <f t="shared" si="27"/>
        <v>2259-600-730</v>
      </c>
      <c r="H32" s="411" t="s">
        <v>412</v>
      </c>
      <c r="I32" s="113">
        <f>+IFERROR(IF(K33=0,0,IF((LOOKUP(2,1/(M32:W32&lt;&gt;""),M32:W32)-K33)&lt;0,0,IF(K33=0,"",LOOKUP(2,1/(M32:W32&lt;&gt;""),M32:W32)-K33))),0)</f>
        <v>1</v>
      </c>
      <c r="J32" s="113">
        <v>2</v>
      </c>
      <c r="K32" s="114" t="s">
        <v>22</v>
      </c>
      <c r="L32" s="102" t="s">
        <v>18</v>
      </c>
      <c r="M32" s="448">
        <v>39</v>
      </c>
      <c r="N32" s="448">
        <v>39</v>
      </c>
      <c r="O32" s="448">
        <v>39</v>
      </c>
      <c r="P32" s="448">
        <v>39</v>
      </c>
      <c r="Q32" s="448">
        <v>39</v>
      </c>
      <c r="R32" s="448">
        <v>39</v>
      </c>
      <c r="S32" s="448">
        <v>39</v>
      </c>
      <c r="T32" s="448">
        <v>39</v>
      </c>
      <c r="U32" s="448">
        <v>39</v>
      </c>
      <c r="V32" s="448"/>
      <c r="W32" s="448"/>
      <c r="X32" s="160">
        <f t="shared" ref="X32" si="30">+IF(H32="l",IF(COUNTA(M31:W31)=AK33+0.75,AA31-K31*AK33,AA31-(K31*COUNTA(M31:W31))),IF(H32="s",0,IF(COUNTA(M31:W31)=AK33+0.75,SUMIF($C:$C,B31,$AA:$AA)-K31*AK33,SUMIF($C:$C,B31,$AA:$AA)-K31*COUNTA(M31:W31))))</f>
        <v>0.75</v>
      </c>
      <c r="Y32" s="466"/>
      <c r="Z32" s="534"/>
      <c r="AA32" s="462">
        <f t="shared" ref="AA32:AA33" si="31">+SUM(M32:W32)-U32*0.75</f>
        <v>321.75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41"/>
      <c r="AK32" s="348"/>
      <c r="AL32" s="349">
        <f>+IF(AK33=7.75,SUM(M32:S32)+T32*0.75,IF(AK33=8,SUM(M32:T32),IF(AK33=7.25,SUM(M32:S32)+T32*0.25,IF(AK33=8.25,SUM(M32:T32)+U32*0.25,IF(AK33=8.75,SUM(M32:T32)+U32*0.75,0)))))</f>
        <v>321.75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+B31</f>
        <v>4</v>
      </c>
      <c r="C33" s="410"/>
      <c r="D33" s="174" t="s">
        <v>420</v>
      </c>
      <c r="E33" s="175">
        <f>+E32+100</f>
        <v>104</v>
      </c>
      <c r="F33" s="175"/>
      <c r="G33" s="542" t="str">
        <f t="shared" si="27"/>
        <v>2259-600-730</v>
      </c>
      <c r="H33" s="117"/>
      <c r="I33" s="442"/>
      <c r="J33" s="165">
        <f>+IF(K33="","",IF(K31=0,"",(K31*J31)/(K33*60)))</f>
        <v>0.92168859649122814</v>
      </c>
      <c r="K33" s="118">
        <v>38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18.171794871794873</v>
      </c>
      <c r="Z33" s="371">
        <f>+IF(COUNTA(M31:W31)=$AJ$4+0.25,$AJ$4-(AA31/K31),COUNTA(M31:W31)-(AA31/K31))+Y33</f>
        <v>18.90949978982766</v>
      </c>
      <c r="AA33" s="465">
        <f t="shared" si="31"/>
        <v>0</v>
      </c>
      <c r="AB33" s="367"/>
      <c r="AC33" s="367"/>
      <c r="AD33" s="368">
        <f>+IFERROR(AD31/(K31*$AQ$3),"")</f>
        <v>1.405152224824356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8.25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1.8838095238095238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39" t="s">
        <v>434</v>
      </c>
      <c r="H34" s="106"/>
      <c r="I34" s="111"/>
      <c r="J34" s="107" t="s">
        <v>20</v>
      </c>
      <c r="K34" s="108" t="s">
        <v>23</v>
      </c>
      <c r="L34" s="100" t="s">
        <v>21</v>
      </c>
      <c r="M34" s="448"/>
      <c r="N34" s="448"/>
      <c r="O34" s="448"/>
      <c r="P34" s="448"/>
      <c r="Q34" s="448"/>
      <c r="R34" s="448"/>
      <c r="S34" s="448"/>
      <c r="T34" s="448"/>
      <c r="U34" s="448">
        <v>2</v>
      </c>
      <c r="V34" s="448"/>
      <c r="W34" s="448"/>
      <c r="X34" s="447" t="str">
        <f t="shared" si="5"/>
        <v/>
      </c>
      <c r="Y34" s="466">
        <v>-135.25</v>
      </c>
      <c r="Z34" s="533">
        <f>+X36</f>
        <v>-123.75</v>
      </c>
      <c r="AA34" s="447">
        <f t="shared" si="1"/>
        <v>2</v>
      </c>
      <c r="AB34" s="343">
        <f>+AC34+AA34</f>
        <v>4060</v>
      </c>
      <c r="AC34" s="343">
        <v>4058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433</v>
      </c>
      <c r="E35" s="111"/>
      <c r="F35" s="111" t="s">
        <v>428</v>
      </c>
      <c r="G35" s="539" t="str">
        <f t="shared" ref="G35:G37" si="32">+G34</f>
        <v>ATENAS-203645</v>
      </c>
      <c r="H35" s="111"/>
      <c r="I35" s="111" t="s">
        <v>33</v>
      </c>
      <c r="J35" s="113">
        <v>61</v>
      </c>
      <c r="K35" s="130">
        <v>47</v>
      </c>
      <c r="L35" s="101" t="s">
        <v>17</v>
      </c>
      <c r="M35" s="214">
        <v>30</v>
      </c>
      <c r="N35" s="214">
        <v>41</v>
      </c>
      <c r="O35" s="214">
        <v>28</v>
      </c>
      <c r="P35" s="214">
        <v>30</v>
      </c>
      <c r="Q35" s="214">
        <v>40</v>
      </c>
      <c r="R35" s="214">
        <v>40</v>
      </c>
      <c r="S35" s="214">
        <v>31</v>
      </c>
      <c r="T35" s="214">
        <v>14</v>
      </c>
      <c r="U35" s="214">
        <v>10</v>
      </c>
      <c r="V35" s="214"/>
      <c r="W35" s="214"/>
      <c r="X35" s="123">
        <f t="shared" ref="X35" si="33">+IF(H36="s",0,IF(AA35=0,0,IF(COUNTA(M35:W35)=AK37+0.75,SUMIF($C:$C,B35,$AA:$AA)/AK37,SUMIF($C:$C,B35,$AA:$AA)/(COUNTA(M35:W35)))))</f>
        <v>32</v>
      </c>
      <c r="Y35" s="466"/>
      <c r="Z35" s="534"/>
      <c r="AA35" s="134">
        <f t="shared" si="1"/>
        <v>264</v>
      </c>
      <c r="AB35" s="354">
        <f>+AA35+AC35</f>
        <v>3421</v>
      </c>
      <c r="AC35" s="354">
        <v>3157</v>
      </c>
      <c r="AD35" s="355">
        <f>+AB34-AB35</f>
        <v>639</v>
      </c>
      <c r="AE35" s="131">
        <f>+IF(((AA36+(AA37/2))*60)=0,"",(J35*AA35)/((AA36+(AA37/2))*60))</f>
        <v>0.58474945533769063</v>
      </c>
      <c r="AF35" s="347">
        <f>+AA36+AA37/2</f>
        <v>459</v>
      </c>
      <c r="AG35" s="347">
        <f t="shared" si="2"/>
        <v>459</v>
      </c>
      <c r="AH35" s="341">
        <f t="shared" si="3"/>
        <v>27540</v>
      </c>
      <c r="AI35" s="341">
        <f>+AA35*J35</f>
        <v>16104</v>
      </c>
      <c r="AJ35" s="356">
        <f>+AA35-(AF35*K35/K37)</f>
        <v>-121.23214285714283</v>
      </c>
      <c r="AK35" s="348"/>
      <c r="AL35" s="349"/>
      <c r="AM35" s="341"/>
      <c r="AN35" s="341"/>
      <c r="AO35" s="341"/>
      <c r="AP35" s="341"/>
      <c r="AQ35" s="339"/>
      <c r="AR35" s="434"/>
      <c r="AT35" s="390">
        <v>860</v>
      </c>
      <c r="AV35" s="390">
        <f t="shared" ref="AV35" si="34">+AT35-AD35</f>
        <v>221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39" t="str">
        <f t="shared" si="32"/>
        <v>ATENAS-203645</v>
      </c>
      <c r="H36" s="411"/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448">
        <v>53</v>
      </c>
      <c r="N36" s="448">
        <v>56</v>
      </c>
      <c r="O36" s="448">
        <v>56</v>
      </c>
      <c r="P36" s="448">
        <v>56</v>
      </c>
      <c r="Q36" s="448">
        <v>56</v>
      </c>
      <c r="R36" s="448">
        <v>56</v>
      </c>
      <c r="S36" s="448">
        <v>56</v>
      </c>
      <c r="T36" s="448">
        <v>56</v>
      </c>
      <c r="U36" s="448">
        <v>56</v>
      </c>
      <c r="V36" s="448"/>
      <c r="W36" s="448"/>
      <c r="X36" s="160">
        <f t="shared" ref="X36" si="35">+IF(H36="l",IF(COUNTA(M35:W35)=AK37+0.75,AA35-K35*AK37,AA35-(K35*COUNTA(M35:W35))),IF(H36="s",0,IF(COUNTA(M35:W35)=AK37+0.75,SUMIF($C:$C,B35,$AA:$AA)-K35*AK37,SUMIF($C:$C,B35,$AA:$AA)-K35*COUNTA(M35:W35))))</f>
        <v>-123.75</v>
      </c>
      <c r="Y36" s="466"/>
      <c r="Z36" s="534"/>
      <c r="AA36" s="462">
        <f t="shared" ref="AA36:AA37" si="36">+SUM(M36:W36)-U36*0.75</f>
        <v>459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459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39" t="str">
        <f t="shared" si="32"/>
        <v>ATENAS-203645</v>
      </c>
      <c r="H37" s="117"/>
      <c r="I37" s="442"/>
      <c r="J37" s="165">
        <f>+IF(K37="","",IF(K35=0,"",(K35*J35)/(K37*60)))</f>
        <v>0.85327380952380949</v>
      </c>
      <c r="K37" s="118">
        <v>56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54.47446808510638</v>
      </c>
      <c r="Z37" s="371">
        <f>+IF(COUNTA(M35:W35)=$AJ$4+0.25,$AJ$4-(AA35/K35),COUNTA(M35:W35)-(AA35/K35))+Y37</f>
        <v>57.857446808510637</v>
      </c>
      <c r="AA37" s="465">
        <f t="shared" si="36"/>
        <v>0</v>
      </c>
      <c r="AB37" s="367"/>
      <c r="AC37" s="367"/>
      <c r="AD37" s="368">
        <f>+IFERROR(AD35/(K35*$AQ$3),"")</f>
        <v>1.5537993920972644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8.25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2.0911854103343464</v>
      </c>
      <c r="AV37" s="390"/>
    </row>
    <row r="38" spans="2:58" s="98" customFormat="1" ht="62.25" customHeight="1" thickTop="1" x14ac:dyDescent="0.9">
      <c r="B38" s="342">
        <f>+B39</f>
        <v>5</v>
      </c>
      <c r="C38" s="405"/>
      <c r="D38" s="106"/>
      <c r="E38" s="106"/>
      <c r="F38" s="106"/>
      <c r="G38" s="540" t="s">
        <v>481</v>
      </c>
      <c r="H38" s="106"/>
      <c r="I38" s="111"/>
      <c r="J38" s="107" t="s">
        <v>20</v>
      </c>
      <c r="K38" s="108" t="s">
        <v>23</v>
      </c>
      <c r="L38" s="100" t="s">
        <v>21</v>
      </c>
      <c r="M38" s="448"/>
      <c r="N38" s="448"/>
      <c r="O38" s="448">
        <v>100</v>
      </c>
      <c r="P38" s="448">
        <v>50</v>
      </c>
      <c r="Q38" s="448"/>
      <c r="R38" s="448">
        <v>150</v>
      </c>
      <c r="S38" s="448"/>
      <c r="T38" s="448"/>
      <c r="U38" s="448"/>
      <c r="V38" s="448"/>
      <c r="W38" s="448"/>
      <c r="X38" s="447">
        <f t="shared" si="5"/>
        <v>300</v>
      </c>
      <c r="Y38" s="466">
        <v>-44</v>
      </c>
      <c r="Z38" s="533">
        <f>+X40</f>
        <v>0</v>
      </c>
      <c r="AA38" s="447">
        <f t="shared" si="1"/>
        <v>300</v>
      </c>
      <c r="AB38" s="343">
        <f>+AC38+AA38</f>
        <v>300</v>
      </c>
      <c r="AC38" s="343"/>
      <c r="AD38" s="344"/>
      <c r="AE38" s="345"/>
      <c r="AF38" s="346"/>
      <c r="AG38" s="347">
        <f t="shared" ref="AG38:AG41" si="37">TRUNC(AF38)+(AF38-TRUNC(AF38))*60/100</f>
        <v>0</v>
      </c>
      <c r="AH38" s="341">
        <f t="shared" ref="AH38:AH41" si="38">+AF38*60</f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5</v>
      </c>
      <c r="C39" s="406">
        <f>+B39</f>
        <v>5</v>
      </c>
      <c r="D39" s="407" t="s">
        <v>480</v>
      </c>
      <c r="E39" s="111"/>
      <c r="F39" s="111" t="s">
        <v>35</v>
      </c>
      <c r="G39" s="541" t="str">
        <f t="shared" ref="G39:G41" si="39">+G38</f>
        <v>2396-593-600</v>
      </c>
      <c r="H39" s="111"/>
      <c r="I39" s="111" t="s">
        <v>33</v>
      </c>
      <c r="J39" s="113">
        <v>38.82</v>
      </c>
      <c r="K39" s="130">
        <v>60</v>
      </c>
      <c r="L39" s="101" t="s">
        <v>17</v>
      </c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123">
        <f t="shared" ref="X39" si="40">+IF(H40="s",0,IF(AA39=0,0,IF(COUNTA(M39:W39)=AK41+0.75,SUMIF($C:$C,B39,$AA:$AA)/AK41,SUMIF($C:$C,B39,$AA:$AA)/(COUNTA(M39:W39)))))</f>
        <v>0</v>
      </c>
      <c r="Y39" s="466"/>
      <c r="Z39" s="534"/>
      <c r="AA39" s="134">
        <f t="shared" si="1"/>
        <v>0</v>
      </c>
      <c r="AB39" s="354">
        <f>+AA39+AC39</f>
        <v>0</v>
      </c>
      <c r="AC39" s="354"/>
      <c r="AD39" s="355">
        <f>+AB38-AB39</f>
        <v>300</v>
      </c>
      <c r="AE39" s="131" t="str">
        <f>+IF(((AA40+(AA41/2))*60)=0,"",(J39*AA39)/((AA40+(AA41/2))*60))</f>
        <v/>
      </c>
      <c r="AF39" s="347">
        <f>+AA40+AA41/2</f>
        <v>0</v>
      </c>
      <c r="AG39" s="347">
        <f t="shared" si="37"/>
        <v>0</v>
      </c>
      <c r="AH39" s="341">
        <f t="shared" si="38"/>
        <v>0</v>
      </c>
      <c r="AI39" s="341">
        <f>+AA39*J39</f>
        <v>0</v>
      </c>
      <c r="AJ39" s="356">
        <f>+AA39-(AF39*K39/K41)</f>
        <v>0</v>
      </c>
      <c r="AK39" s="348"/>
      <c r="AL39" s="349"/>
      <c r="AM39" s="341"/>
      <c r="AN39" s="341"/>
      <c r="AO39" s="341"/>
      <c r="AP39" s="341"/>
      <c r="AQ39" s="339">
        <f>-300+AA38</f>
        <v>0</v>
      </c>
      <c r="AR39" s="434"/>
      <c r="AT39" s="390">
        <v>860</v>
      </c>
      <c r="AV39" s="390">
        <f t="shared" ref="AV39" si="41">+AT39-AD39</f>
        <v>560</v>
      </c>
    </row>
    <row r="40" spans="2:58" s="98" customFormat="1" ht="62.25" customHeight="1" x14ac:dyDescent="0.9">
      <c r="B40" s="357">
        <f>B39</f>
        <v>5</v>
      </c>
      <c r="C40" s="408"/>
      <c r="D40" s="184"/>
      <c r="E40" s="111">
        <f>+B39</f>
        <v>5</v>
      </c>
      <c r="F40" s="412"/>
      <c r="G40" s="541" t="str">
        <f t="shared" si="39"/>
        <v>2396-593-600</v>
      </c>
      <c r="H40" s="411" t="s">
        <v>412</v>
      </c>
      <c r="I40" s="113">
        <f>+IFERROR(IF(K41=0,0,IF((LOOKUP(2,1/(M40:W40&lt;&gt;""),M40:W40)-K41)&lt;0,0,IF(K41=0,"",LOOKUP(2,1/(M40:W40&lt;&gt;""),M40:W40)-K41))),0)</f>
        <v>0</v>
      </c>
      <c r="J40" s="113">
        <v>1</v>
      </c>
      <c r="K40" s="114" t="s">
        <v>22</v>
      </c>
      <c r="L40" s="102" t="s">
        <v>18</v>
      </c>
      <c r="M40" s="448"/>
      <c r="N40" s="448"/>
      <c r="O40" s="448"/>
      <c r="P40" s="448"/>
      <c r="Q40" s="448"/>
      <c r="R40" s="448"/>
      <c r="S40" s="448"/>
      <c r="T40" s="448"/>
      <c r="U40" s="448"/>
      <c r="V40" s="448"/>
      <c r="W40" s="448"/>
      <c r="X40" s="160">
        <f t="shared" ref="X40" si="42">+IF(H40="l",IF(COUNTA(M39:W39)=AK41+0.75,AA39-K39*AK41,AA39-(K39*COUNTA(M39:W39))),IF(H40="s",0,IF(COUNTA(M39:W39)=AK41+0.75,SUMIF($C:$C,B39,$AA:$AA)-K39*AK41,SUMIF($C:$C,B39,$AA:$AA)-K39*COUNTA(M39:W39))))</f>
        <v>0</v>
      </c>
      <c r="Y40" s="466"/>
      <c r="Z40" s="534"/>
      <c r="AA40" s="462">
        <f t="shared" ref="AA40:AA41" si="43">+SUM(M40:W40)-U40*0.75</f>
        <v>0</v>
      </c>
      <c r="AB40" s="360"/>
      <c r="AC40" s="360"/>
      <c r="AD40" s="362"/>
      <c r="AE40" s="363"/>
      <c r="AF40" s="346"/>
      <c r="AG40" s="347">
        <f t="shared" si="37"/>
        <v>0</v>
      </c>
      <c r="AH40" s="341">
        <f t="shared" si="38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0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5</v>
      </c>
      <c r="C41" s="410"/>
      <c r="D41" s="174" t="s">
        <v>380</v>
      </c>
      <c r="E41" s="175">
        <f>+E40+100</f>
        <v>105</v>
      </c>
      <c r="F41" s="175"/>
      <c r="G41" s="542" t="str">
        <f t="shared" si="39"/>
        <v>2396-593-600</v>
      </c>
      <c r="H41" s="117"/>
      <c r="I41" s="442"/>
      <c r="J41" s="165">
        <f>+IF(K41="","",IF(K39=0,"",(K39*J39)/(K41*60)))</f>
        <v>0.90279069767441855</v>
      </c>
      <c r="K41" s="118">
        <v>43</v>
      </c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/>
      <c r="Z41" s="371">
        <f>+IF(COUNTA(M39:W39)=$AJ$4+0.25,$AJ$4-(AA39/K39),COUNTA(M39:W39)-(AA39/K39))+Y41</f>
        <v>0</v>
      </c>
      <c r="AA41" s="465">
        <f t="shared" si="43"/>
        <v>0</v>
      </c>
      <c r="AB41" s="367"/>
      <c r="AC41" s="367"/>
      <c r="AD41" s="368">
        <f>+IFERROR(AD39/(K39*$AQ$3),"")</f>
        <v>0.5714285714285714</v>
      </c>
      <c r="AE41" s="369"/>
      <c r="AF41" s="347"/>
      <c r="AG41" s="347">
        <f t="shared" si="37"/>
        <v>0</v>
      </c>
      <c r="AH41" s="341">
        <f t="shared" si="38"/>
        <v>0</v>
      </c>
      <c r="AI41" s="341"/>
      <c r="AJ41" s="356"/>
      <c r="AK41" s="370">
        <f>+$AJ$4</f>
        <v>8.25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2.0911854103343464</v>
      </c>
      <c r="AV41" s="390"/>
    </row>
    <row r="42" spans="2:58" s="98" customFormat="1" ht="62.25" customHeight="1" thickTop="1" x14ac:dyDescent="0.9">
      <c r="B42" s="342">
        <f>+B43</f>
        <v>6</v>
      </c>
      <c r="C42" s="405"/>
      <c r="D42" s="106"/>
      <c r="E42" s="106"/>
      <c r="F42" s="106"/>
      <c r="G42" s="540" t="s">
        <v>442</v>
      </c>
      <c r="H42" s="106"/>
      <c r="I42" s="111"/>
      <c r="J42" s="107" t="s">
        <v>20</v>
      </c>
      <c r="K42" s="108">
        <v>0</v>
      </c>
      <c r="L42" s="100" t="s">
        <v>21</v>
      </c>
      <c r="M42" s="448">
        <v>120</v>
      </c>
      <c r="N42" s="448">
        <v>60</v>
      </c>
      <c r="O42" s="448">
        <v>60</v>
      </c>
      <c r="P42" s="448">
        <v>60</v>
      </c>
      <c r="Q42" s="448">
        <v>60</v>
      </c>
      <c r="R42" s="448">
        <v>60</v>
      </c>
      <c r="S42" s="448"/>
      <c r="T42" s="448"/>
      <c r="U42" s="448"/>
      <c r="V42" s="448"/>
      <c r="W42" s="448"/>
      <c r="X42" s="447">
        <f t="shared" si="5"/>
        <v>420</v>
      </c>
      <c r="Y42" s="466">
        <v>-195</v>
      </c>
      <c r="Z42" s="533">
        <f>+X44</f>
        <v>-60</v>
      </c>
      <c r="AA42" s="447">
        <f t="shared" si="1"/>
        <v>420</v>
      </c>
      <c r="AB42" s="343">
        <f>+AC42+AA42</f>
        <v>1620</v>
      </c>
      <c r="AC42" s="343">
        <v>1200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0.9">
      <c r="B43" s="351">
        <v>6</v>
      </c>
      <c r="C43" s="406">
        <f>+B43</f>
        <v>6</v>
      </c>
      <c r="D43" s="407" t="s">
        <v>441</v>
      </c>
      <c r="E43" s="111"/>
      <c r="F43" s="111" t="s">
        <v>35</v>
      </c>
      <c r="G43" s="541" t="str">
        <f t="shared" ref="G43:G45" si="44">+G42</f>
        <v>2259-600-730</v>
      </c>
      <c r="H43" s="111"/>
      <c r="I43" s="111" t="s">
        <v>33</v>
      </c>
      <c r="J43" s="113">
        <v>34.450000000000003</v>
      </c>
      <c r="K43" s="130">
        <v>60</v>
      </c>
      <c r="L43" s="101" t="s">
        <v>17</v>
      </c>
      <c r="M43" s="214">
        <v>55</v>
      </c>
      <c r="N43" s="214">
        <v>55</v>
      </c>
      <c r="O43" s="214">
        <v>55</v>
      </c>
      <c r="P43" s="214">
        <v>55</v>
      </c>
      <c r="Q43" s="214">
        <v>55</v>
      </c>
      <c r="R43" s="214">
        <v>45</v>
      </c>
      <c r="S43" s="214">
        <v>45</v>
      </c>
      <c r="T43" s="214">
        <v>55</v>
      </c>
      <c r="U43" s="214">
        <v>15</v>
      </c>
      <c r="V43" s="214"/>
      <c r="W43" s="214"/>
      <c r="X43" s="123">
        <f t="shared" ref="X43" si="45">+IF(H44="s",0,IF(AA43=0,0,IF(COUNTA(M43:W43)=AK45+0.75,SUMIF($C:$C,B43,$AA:$AA)/AK45,SUMIF($C:$C,B43,$AA:$AA)/(COUNTA(M43:W43)))))</f>
        <v>52.727272727272727</v>
      </c>
      <c r="Y43" s="466"/>
      <c r="Z43" s="534"/>
      <c r="AA43" s="134">
        <f t="shared" si="1"/>
        <v>435</v>
      </c>
      <c r="AB43" s="354">
        <f>+AA43+AC43</f>
        <v>795</v>
      </c>
      <c r="AC43" s="354">
        <v>360</v>
      </c>
      <c r="AD43" s="355">
        <f>+AB42-AB43</f>
        <v>825</v>
      </c>
      <c r="AE43" s="131">
        <f>+IF(((AA44+(AA45/2))*60)=0,"",(J43*AA43)/((AA44+(AA45/2))*60))</f>
        <v>0.79669059011164289</v>
      </c>
      <c r="AF43" s="347">
        <f>+AA44+AA45/2</f>
        <v>313.5</v>
      </c>
      <c r="AG43" s="347">
        <f t="shared" si="2"/>
        <v>313.3</v>
      </c>
      <c r="AH43" s="341">
        <f t="shared" si="3"/>
        <v>18810</v>
      </c>
      <c r="AI43" s="341">
        <f>+AA43*J43</f>
        <v>14985.750000000002</v>
      </c>
      <c r="AJ43" s="356">
        <f>+AA43-(AF43*K43/K45)</f>
        <v>-60</v>
      </c>
      <c r="AK43" s="348"/>
      <c r="AL43" s="349"/>
      <c r="AM43" s="341"/>
      <c r="AN43" s="341"/>
      <c r="AO43" s="341"/>
      <c r="AP43" s="341"/>
      <c r="AQ43" s="339">
        <f t="shared" si="18"/>
        <v>15</v>
      </c>
      <c r="AR43" s="434">
        <v>1.2</v>
      </c>
      <c r="AT43" s="390">
        <v>750</v>
      </c>
      <c r="AV43" s="390">
        <f t="shared" ref="AV43" si="46">+AT43-AD43</f>
        <v>-75</v>
      </c>
    </row>
    <row r="44" spans="2:58" s="98" customFormat="1" ht="62.25" customHeight="1" x14ac:dyDescent="0.9">
      <c r="B44" s="357">
        <f>B43</f>
        <v>6</v>
      </c>
      <c r="C44" s="408"/>
      <c r="D44" s="184"/>
      <c r="E44" s="111">
        <f>+B43</f>
        <v>6</v>
      </c>
      <c r="F44" s="409"/>
      <c r="G44" s="541" t="str">
        <f t="shared" si="44"/>
        <v>2259-600-730</v>
      </c>
      <c r="H44" s="411" t="s">
        <v>413</v>
      </c>
      <c r="I44" s="113">
        <f>+IFERROR(IF(K45=0,0,IF((LOOKUP(2,1/(M44:W44&lt;&gt;""),M44:W44)-K45)&lt;0,0,IF(K45=0,"",LOOKUP(2,1/(M44:W44&lt;&gt;""),M44:W44)-K45))),0)</f>
        <v>0</v>
      </c>
      <c r="J44" s="113">
        <v>0</v>
      </c>
      <c r="K44" s="114" t="s">
        <v>22</v>
      </c>
      <c r="L44" s="102" t="s">
        <v>18</v>
      </c>
      <c r="M44" s="448">
        <v>38</v>
      </c>
      <c r="N44" s="448">
        <v>38</v>
      </c>
      <c r="O44" s="448">
        <v>38</v>
      </c>
      <c r="P44" s="448">
        <v>38</v>
      </c>
      <c r="Q44" s="448">
        <v>38</v>
      </c>
      <c r="R44" s="448">
        <v>38</v>
      </c>
      <c r="S44" s="448">
        <v>38</v>
      </c>
      <c r="T44" s="448">
        <v>38</v>
      </c>
      <c r="U44" s="448">
        <v>38</v>
      </c>
      <c r="V44" s="448"/>
      <c r="W44" s="448"/>
      <c r="X44" s="160">
        <f t="shared" ref="X44" si="47">+IF(H44="l",IF(COUNTA(M43:W43)=AK45+0.75,AA43-K43*AK45,AA43-(K43*COUNTA(M43:W43))),IF(H44="s",0,IF(COUNTA(M43:W43)=AK45+0.75,SUMIF($C:$C,B43,$AA:$AA)-K43*AK45,SUMIF($C:$C,B43,$AA:$AA)-K43*COUNTA(M43:W43))))</f>
        <v>-60</v>
      </c>
      <c r="Y44" s="466"/>
      <c r="Z44" s="534"/>
      <c r="AA44" s="462">
        <f t="shared" ref="AA44:AA45" si="48">+SUM(M44:W44)-U44*0.75</f>
        <v>313.5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56"/>
      <c r="AK44" s="348"/>
      <c r="AL44" s="349">
        <f>+IF(AK45=7.75,SUM(M44:S44)+T44*0.75,IF(AK45=8,SUM(M44:T44),IF(AK45=7.25,SUM(M44:S44)+T44*0.25,IF(AK45=8.25,SUM(M44:T44)+U44*0.25,IF(AK45=8.75,SUM(M44:T44)+U44*0.75,0)))))</f>
        <v>313.5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64">
        <f>B43</f>
        <v>6</v>
      </c>
      <c r="C45" s="410"/>
      <c r="D45" s="174" t="s">
        <v>366</v>
      </c>
      <c r="E45" s="175">
        <f>+E44+100</f>
        <v>106</v>
      </c>
      <c r="F45" s="175"/>
      <c r="G45" s="542" t="str">
        <f t="shared" si="44"/>
        <v>2259-600-730</v>
      </c>
      <c r="H45" s="117"/>
      <c r="I45" s="442"/>
      <c r="J45" s="165">
        <f>+IF(K45="","",IF(K43=0,"",(K43*J43)/(K45*60)))</f>
        <v>0.90657894736842104</v>
      </c>
      <c r="K45" s="118">
        <v>38</v>
      </c>
      <c r="L45" s="104" t="s">
        <v>19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11.83</v>
      </c>
      <c r="Z45" s="371">
        <f>+IF(COUNTA(M43:W43)=$AJ$4+0.25,$AJ$4-(AA43/K43),COUNTA(M43:W43)-(AA43/K43))+Y45</f>
        <v>13.58</v>
      </c>
      <c r="AA45" s="465">
        <f t="shared" si="48"/>
        <v>0</v>
      </c>
      <c r="AB45" s="367"/>
      <c r="AC45" s="367"/>
      <c r="AD45" s="368">
        <f>+IFERROR(AD43/(K43*$AQ$3),"")</f>
        <v>1.5714285714285714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8.25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1.4285714285714286</v>
      </c>
      <c r="AV45" s="390"/>
    </row>
    <row r="46" spans="2:58" s="98" customFormat="1" ht="62.25" customHeight="1" thickTop="1" x14ac:dyDescent="0.9">
      <c r="B46" s="342">
        <f>+B47</f>
        <v>7</v>
      </c>
      <c r="C46" s="405"/>
      <c r="D46" s="106"/>
      <c r="E46" s="106"/>
      <c r="F46" s="106"/>
      <c r="G46" s="539" t="s">
        <v>435</v>
      </c>
      <c r="H46" s="106"/>
      <c r="I46" s="106"/>
      <c r="J46" s="107" t="s">
        <v>20</v>
      </c>
      <c r="K46" s="108" t="s">
        <v>23</v>
      </c>
      <c r="L46" s="100" t="s">
        <v>21</v>
      </c>
      <c r="M46" s="448"/>
      <c r="N46" s="448"/>
      <c r="O46" s="448"/>
      <c r="P46" s="448"/>
      <c r="Q46" s="448"/>
      <c r="R46" s="448"/>
      <c r="S46" s="448"/>
      <c r="T46" s="448"/>
      <c r="U46" s="448"/>
      <c r="V46" s="448"/>
      <c r="W46" s="448"/>
      <c r="X46" s="447" t="str">
        <f t="shared" si="5"/>
        <v/>
      </c>
      <c r="Y46" s="466">
        <v>-113</v>
      </c>
      <c r="Z46" s="533">
        <f>+X48</f>
        <v>0</v>
      </c>
      <c r="AA46" s="447">
        <f t="shared" si="1"/>
        <v>0</v>
      </c>
      <c r="AB46" s="343">
        <f>+AC46+AA46</f>
        <v>3601</v>
      </c>
      <c r="AC46" s="343">
        <v>3601</v>
      </c>
      <c r="AD46" s="344"/>
      <c r="AE46" s="345"/>
      <c r="AF46" s="346"/>
      <c r="AG46" s="347">
        <f t="shared" si="2"/>
        <v>0</v>
      </c>
      <c r="AH46" s="341">
        <f t="shared" si="3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1.35">
      <c r="B47" s="351">
        <v>7</v>
      </c>
      <c r="C47" s="406">
        <f>+B47</f>
        <v>7</v>
      </c>
      <c r="D47" s="407" t="s">
        <v>436</v>
      </c>
      <c r="E47" s="111"/>
      <c r="F47" s="111" t="s">
        <v>35</v>
      </c>
      <c r="G47" s="539" t="str">
        <f t="shared" ref="G47:G49" si="49">+G46</f>
        <v>2076-780-803</v>
      </c>
      <c r="H47" s="111"/>
      <c r="I47" s="111" t="s">
        <v>38</v>
      </c>
      <c r="J47" s="113">
        <v>38.729999999999997</v>
      </c>
      <c r="K47" s="471">
        <v>52</v>
      </c>
      <c r="L47" s="101" t="s">
        <v>17</v>
      </c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123">
        <f t="shared" ref="X47" si="50">+IF(H48="s",0,IF(AA47=0,0,IF(COUNTA(M47:W47)=AK49+0.75,SUMIF($C:$C,B47,$AA:$AA)/AK49,SUMIF($C:$C,B47,$AA:$AA)/(COUNTA(M47:W47)))))</f>
        <v>0</v>
      </c>
      <c r="Y47" s="466"/>
      <c r="Z47" s="534"/>
      <c r="AA47" s="134">
        <f t="shared" si="1"/>
        <v>0</v>
      </c>
      <c r="AB47" s="354">
        <f>+AA47+AC47</f>
        <v>3595</v>
      </c>
      <c r="AC47" s="354">
        <v>3595</v>
      </c>
      <c r="AD47" s="355">
        <f>+AB46-AB47</f>
        <v>6</v>
      </c>
      <c r="AE47" s="131" t="str">
        <f>+IF(((AA48+(AA49/2))*60)=0,"",(J47*AA47)/((AA48+(AA49/2))*60))</f>
        <v/>
      </c>
      <c r="AF47" s="347">
        <f>+AA48+AA49/2</f>
        <v>0</v>
      </c>
      <c r="AG47" s="347">
        <f t="shared" si="2"/>
        <v>0</v>
      </c>
      <c r="AH47" s="341">
        <f t="shared" si="3"/>
        <v>0</v>
      </c>
      <c r="AI47" s="341">
        <f>+AA47*J47</f>
        <v>0</v>
      </c>
      <c r="AJ47" s="356">
        <f>+AA47-(AF47*K47/K49)</f>
        <v>0</v>
      </c>
      <c r="AK47" s="348"/>
      <c r="AL47" s="349"/>
      <c r="AM47" s="341"/>
      <c r="AN47" s="341"/>
      <c r="AO47" s="341"/>
      <c r="AP47" s="341"/>
      <c r="AQ47" s="339"/>
      <c r="AR47" s="434">
        <v>0.88200000000000001</v>
      </c>
      <c r="AT47" s="390">
        <v>153</v>
      </c>
      <c r="AV47" s="390">
        <f t="shared" ref="AV47" si="51">+AT47-AD47</f>
        <v>147</v>
      </c>
      <c r="AW47" s="535"/>
      <c r="AX47" s="535"/>
      <c r="AY47" s="535"/>
      <c r="AZ47" s="535"/>
      <c r="BA47" s="535"/>
      <c r="BB47" s="535"/>
      <c r="BC47" s="535"/>
      <c r="BD47" s="535"/>
      <c r="BE47" s="535"/>
      <c r="BF47" s="535"/>
    </row>
    <row r="48" spans="2:58" s="98" customFormat="1" ht="62.25" customHeight="1" x14ac:dyDescent="0.9">
      <c r="B48" s="357">
        <f>B47</f>
        <v>7</v>
      </c>
      <c r="C48" s="408"/>
      <c r="D48" s="184"/>
      <c r="E48" s="111">
        <f>+B47</f>
        <v>7</v>
      </c>
      <c r="F48" s="409"/>
      <c r="G48" s="539" t="str">
        <f t="shared" si="49"/>
        <v>2076-780-803</v>
      </c>
      <c r="H48" s="411" t="s">
        <v>479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48"/>
      <c r="N48" s="448"/>
      <c r="O48" s="448"/>
      <c r="P48" s="448"/>
      <c r="Q48" s="448"/>
      <c r="R48" s="448"/>
      <c r="S48" s="448"/>
      <c r="T48" s="448"/>
      <c r="U48" s="448"/>
      <c r="V48" s="448"/>
      <c r="W48" s="448"/>
      <c r="X48" s="160">
        <f t="shared" ref="X48" si="52">+IF(H48="l",IF(COUNTA(M47:W47)=AK49+0.75,AA47-K47*AK49,AA47-(K47*COUNTA(M47:W47))),IF(H48="s",0,IF(COUNTA(M47:W47)=AK49+0.75,SUMIF($C:$C,B47,$AA:$AA)-K47*AK49,SUMIF($C:$C,B47,$AA:$AA)-K47*COUNTA(M47:W47))))</f>
        <v>0</v>
      </c>
      <c r="Y48" s="466"/>
      <c r="Z48" s="534"/>
      <c r="AA48" s="462">
        <f t="shared" ref="AA48:AA49" si="53">+SUM(M48:W48)-U48*0.75</f>
        <v>0</v>
      </c>
      <c r="AB48" s="360"/>
      <c r="AC48" s="360"/>
      <c r="AD48" s="362"/>
      <c r="AE48" s="363"/>
      <c r="AF48" s="346"/>
      <c r="AG48" s="347">
        <f t="shared" si="2"/>
        <v>0</v>
      </c>
      <c r="AH48" s="341">
        <f t="shared" si="3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0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72">
        <f>B47</f>
        <v>7</v>
      </c>
      <c r="C49" s="410"/>
      <c r="D49" s="174" t="s">
        <v>93</v>
      </c>
      <c r="E49" s="175">
        <f>+E48+100</f>
        <v>107</v>
      </c>
      <c r="F49" s="175"/>
      <c r="G49" s="539" t="str">
        <f t="shared" si="49"/>
        <v>2076-780-803</v>
      </c>
      <c r="H49" s="117"/>
      <c r="I49" s="442"/>
      <c r="J49" s="165">
        <f>+IF(K49="","",IF(K47=0,"",(K47*J47)/(K49*60)))</f>
        <v>0.83914999999999995</v>
      </c>
      <c r="K49" s="471">
        <v>40</v>
      </c>
      <c r="L49" s="104" t="s">
        <v>19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32.52832891246684</v>
      </c>
      <c r="Z49" s="371">
        <f>+IF(COUNTA(M47:W47)=$AJ$4+0.25,$AJ$4-(AA47/K47),COUNTA(M47:W47)-(AA47/K47))+Y49</f>
        <v>32.52832891246684</v>
      </c>
      <c r="AA49" s="465">
        <f t="shared" si="53"/>
        <v>0</v>
      </c>
      <c r="AB49" s="367"/>
      <c r="AC49" s="367"/>
      <c r="AD49" s="368">
        <f>+IFERROR(AD47/(K47*$AQ$3),"")</f>
        <v>1.3186813186813187E-2</v>
      </c>
      <c r="AE49" s="369"/>
      <c r="AF49" s="347"/>
      <c r="AG49" s="347">
        <f t="shared" si="2"/>
        <v>0</v>
      </c>
      <c r="AH49" s="341">
        <f t="shared" si="3"/>
        <v>0</v>
      </c>
      <c r="AI49" s="341"/>
      <c r="AJ49" s="356"/>
      <c r="AK49" s="370">
        <f>+$AJ$4</f>
        <v>8.25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0.33626373626373629</v>
      </c>
      <c r="AV49" s="390"/>
    </row>
    <row r="50" spans="2:58" s="98" customFormat="1" ht="62.25" customHeight="1" thickTop="1" x14ac:dyDescent="0.9">
      <c r="B50" s="342">
        <f>+B51</f>
        <v>7</v>
      </c>
      <c r="C50" s="405"/>
      <c r="D50" s="106"/>
      <c r="E50" s="106"/>
      <c r="F50" s="106"/>
      <c r="G50" s="540" t="s">
        <v>442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120</v>
      </c>
      <c r="N50" s="448">
        <v>120</v>
      </c>
      <c r="O50" s="448"/>
      <c r="P50" s="448"/>
      <c r="Q50" s="448">
        <v>60</v>
      </c>
      <c r="R50" s="448"/>
      <c r="S50" s="448"/>
      <c r="T50" s="448"/>
      <c r="U50" s="473"/>
      <c r="V50" s="448"/>
      <c r="W50" s="448"/>
      <c r="X50" s="447">
        <f t="shared" si="5"/>
        <v>300</v>
      </c>
      <c r="Y50" s="466">
        <v>-240</v>
      </c>
      <c r="Z50" s="533">
        <f>+X52</f>
        <v>-350</v>
      </c>
      <c r="AA50" s="447">
        <f t="shared" si="1"/>
        <v>300</v>
      </c>
      <c r="AB50" s="343">
        <f>+AC50+AA50</f>
        <v>1020</v>
      </c>
      <c r="AC50" s="343">
        <v>720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7</v>
      </c>
      <c r="C51" s="406">
        <f>+B51</f>
        <v>7</v>
      </c>
      <c r="D51" s="407" t="s">
        <v>441</v>
      </c>
      <c r="E51" s="111"/>
      <c r="F51" s="111" t="s">
        <v>35</v>
      </c>
      <c r="G51" s="541" t="str">
        <f t="shared" ref="G51:G53" si="54">+G50</f>
        <v>2259-600-730</v>
      </c>
      <c r="H51" s="111"/>
      <c r="I51" s="111" t="s">
        <v>33</v>
      </c>
      <c r="J51" s="113">
        <v>34.450000000000003</v>
      </c>
      <c r="K51" s="130">
        <v>60</v>
      </c>
      <c r="L51" s="101" t="s">
        <v>17</v>
      </c>
      <c r="M51" s="214">
        <v>0</v>
      </c>
      <c r="N51" s="214">
        <v>0</v>
      </c>
      <c r="O51" s="214">
        <v>15</v>
      </c>
      <c r="P51" s="214">
        <v>20</v>
      </c>
      <c r="Q51" s="214">
        <v>25</v>
      </c>
      <c r="R51" s="214">
        <v>25</v>
      </c>
      <c r="S51" s="214">
        <v>25</v>
      </c>
      <c r="T51" s="214">
        <v>25</v>
      </c>
      <c r="U51" s="214">
        <v>10</v>
      </c>
      <c r="V51" s="214"/>
      <c r="W51" s="214"/>
      <c r="X51" s="123">
        <f t="shared" ref="X51" si="55">+IF(H52="s",0,IF(AA51=0,0,IF(COUNTA(M51:W51)=AK53+0.75,SUMIF($C:$C,B51,$AA:$AA)/AK53,SUMIF($C:$C,B51,$AA:$AA)/(COUNTA(M51:W51)))))</f>
        <v>17.575757575757574</v>
      </c>
      <c r="Y51" s="466"/>
      <c r="Z51" s="534"/>
      <c r="AA51" s="134">
        <f t="shared" si="1"/>
        <v>145</v>
      </c>
      <c r="AB51" s="354">
        <f>+AA51+AC51</f>
        <v>145</v>
      </c>
      <c r="AC51" s="354">
        <v>0</v>
      </c>
      <c r="AD51" s="355">
        <f>+AB50-AB51</f>
        <v>875</v>
      </c>
      <c r="AE51" s="131">
        <f>+IF(((AA52+(AA53/2))*60)=0,"",(J51*AA51)/((AA52+(AA53/2))*60))</f>
        <v>0.26556353003721422</v>
      </c>
      <c r="AF51" s="347">
        <f>+AA52+AA53/2</f>
        <v>313.5</v>
      </c>
      <c r="AG51" s="347">
        <f t="shared" si="2"/>
        <v>313.3</v>
      </c>
      <c r="AH51" s="341">
        <f t="shared" si="3"/>
        <v>18810</v>
      </c>
      <c r="AI51" s="341">
        <f>+AA51*J51</f>
        <v>4995.25</v>
      </c>
      <c r="AJ51" s="356">
        <f>+AA51-(AF51*K51/K53)</f>
        <v>-350</v>
      </c>
      <c r="AK51" s="348"/>
      <c r="AL51" s="349"/>
      <c r="AM51" s="341"/>
      <c r="AN51" s="341"/>
      <c r="AO51" s="341"/>
      <c r="AP51" s="341"/>
      <c r="AQ51" s="339">
        <f>-300+AA50</f>
        <v>0</v>
      </c>
      <c r="AR51" s="434"/>
      <c r="AT51" s="390">
        <v>420</v>
      </c>
      <c r="AV51" s="390">
        <f t="shared" ref="AV51" si="56">+AT51-AD51</f>
        <v>-455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B51</f>
        <v>7</v>
      </c>
      <c r="C52" s="408"/>
      <c r="D52" s="184"/>
      <c r="E52" s="111">
        <f>+B51</f>
        <v>7</v>
      </c>
      <c r="F52" s="409"/>
      <c r="G52" s="541" t="str">
        <f t="shared" si="54"/>
        <v>2259-600-730</v>
      </c>
      <c r="H52" s="411" t="s">
        <v>413</v>
      </c>
      <c r="I52" s="113">
        <f>+IFERROR(IF(K53=0,0,IF((LOOKUP(2,1/(M52:W52&lt;&gt;""),M52:W52)-K53)&lt;0,0,IF(K53=0,"",LOOKUP(2,1/(M52:W52&lt;&gt;""),M52:W52)-K53))),0)</f>
        <v>0</v>
      </c>
      <c r="J52" s="113">
        <v>0</v>
      </c>
      <c r="K52" s="114" t="s">
        <v>22</v>
      </c>
      <c r="L52" s="102" t="s">
        <v>18</v>
      </c>
      <c r="M52" s="448">
        <v>38</v>
      </c>
      <c r="N52" s="448">
        <v>38</v>
      </c>
      <c r="O52" s="448">
        <v>38</v>
      </c>
      <c r="P52" s="448">
        <v>38</v>
      </c>
      <c r="Q52" s="448">
        <v>38</v>
      </c>
      <c r="R52" s="448">
        <v>38</v>
      </c>
      <c r="S52" s="448">
        <v>38</v>
      </c>
      <c r="T52" s="448">
        <v>38</v>
      </c>
      <c r="U52" s="448">
        <v>38</v>
      </c>
      <c r="V52" s="448"/>
      <c r="W52" s="448"/>
      <c r="X52" s="160">
        <f t="shared" ref="X52" si="57">+IF(H52="l",IF(COUNTA(M51:W51)=AK53+0.75,AA51-K51*AK53,AA51-(K51*COUNTA(M51:W51))),IF(H52="s",0,IF(COUNTA(M51:W51)=AK53+0.75,SUMIF($C:$C,B51,$AA:$AA)-K51*AK53,SUMIF($C:$C,B51,$AA:$AA)-K51*COUNTA(M51:W51))))</f>
        <v>-350</v>
      </c>
      <c r="Y52" s="466"/>
      <c r="Z52" s="534"/>
      <c r="AA52" s="462">
        <f t="shared" ref="AA52:AA53" si="58">+SUM(M52:W52)-U52*0.75</f>
        <v>313.5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313.5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72">
        <f>B51</f>
        <v>7</v>
      </c>
      <c r="C53" s="410"/>
      <c r="D53" s="174" t="s">
        <v>93</v>
      </c>
      <c r="E53" s="175">
        <f>+E52+100</f>
        <v>107</v>
      </c>
      <c r="F53" s="175"/>
      <c r="G53" s="542" t="str">
        <f t="shared" si="54"/>
        <v>2259-600-730</v>
      </c>
      <c r="H53" s="117"/>
      <c r="I53" s="442"/>
      <c r="J53" s="165">
        <f>+IF(K53="","",IF(K51=0,"",(K51*J51)/(K53*60)))</f>
        <v>0.90657894736842104</v>
      </c>
      <c r="K53" s="118">
        <v>38</v>
      </c>
      <c r="L53" s="104" t="s">
        <v>19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>
        <v>5.8076999999999996</v>
      </c>
      <c r="Z53" s="371">
        <f>+IF(COUNTA(M51:W51)=$AJ$4+0.25,$AJ$4-(AA51/K51),COUNTA(M51:W51)-(AA51/K51))+Y53</f>
        <v>12.391033333333333</v>
      </c>
      <c r="AA53" s="465">
        <f t="shared" si="58"/>
        <v>0</v>
      </c>
      <c r="AB53" s="367"/>
      <c r="AC53" s="367"/>
      <c r="AD53" s="368">
        <f>+IFERROR(AD51/(K51*$AQ$3),"")</f>
        <v>1.6666666666666667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8.25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0.8</v>
      </c>
      <c r="AV53" s="390"/>
    </row>
    <row r="54" spans="2:58" s="98" customFormat="1" ht="62.25" customHeight="1" thickTop="1" x14ac:dyDescent="0.9">
      <c r="B54" s="342">
        <f>+B55</f>
        <v>8</v>
      </c>
      <c r="C54" s="405"/>
      <c r="D54" s="106"/>
      <c r="E54" s="106"/>
      <c r="F54" s="106"/>
      <c r="G54" s="539" t="s">
        <v>432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180</v>
      </c>
      <c r="N54" s="448">
        <v>180</v>
      </c>
      <c r="O54" s="448"/>
      <c r="P54" s="448"/>
      <c r="Q54" s="448"/>
      <c r="R54" s="448">
        <v>120</v>
      </c>
      <c r="S54" s="448"/>
      <c r="T54" s="448"/>
      <c r="U54" s="448"/>
      <c r="V54" s="448"/>
      <c r="W54" s="448"/>
      <c r="X54" s="447">
        <f t="shared" si="5"/>
        <v>480</v>
      </c>
      <c r="Y54" s="466">
        <v>0</v>
      </c>
      <c r="Z54" s="533">
        <f>+X56</f>
        <v>0.75</v>
      </c>
      <c r="AA54" s="447">
        <f t="shared" si="1"/>
        <v>480</v>
      </c>
      <c r="AB54" s="343">
        <f>+AC54+AA54</f>
        <v>3901</v>
      </c>
      <c r="AC54" s="343">
        <v>3421</v>
      </c>
      <c r="AD54" s="344"/>
      <c r="AE54" s="345"/>
      <c r="AF54" s="346"/>
      <c r="AG54" s="347">
        <f t="shared" si="2"/>
        <v>0</v>
      </c>
      <c r="AH54" s="341">
        <f t="shared" si="3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0.9">
      <c r="B55" s="351">
        <v>8</v>
      </c>
      <c r="C55" s="406">
        <f>+B55</f>
        <v>8</v>
      </c>
      <c r="D55" s="407" t="s">
        <v>431</v>
      </c>
      <c r="E55" s="111"/>
      <c r="F55" s="111" t="s">
        <v>35</v>
      </c>
      <c r="G55" s="539" t="str">
        <f t="shared" ref="G55:G57" si="59">+G54</f>
        <v>2158-755-712</v>
      </c>
      <c r="H55" s="111"/>
      <c r="I55" s="111" t="s">
        <v>33</v>
      </c>
      <c r="J55" s="113">
        <v>51.42</v>
      </c>
      <c r="K55" s="130">
        <v>53</v>
      </c>
      <c r="L55" s="101" t="s">
        <v>17</v>
      </c>
      <c r="M55" s="214">
        <v>52</v>
      </c>
      <c r="N55" s="214">
        <v>53</v>
      </c>
      <c r="O55" s="214">
        <v>53</v>
      </c>
      <c r="P55" s="214">
        <v>53</v>
      </c>
      <c r="Q55" s="214">
        <v>53</v>
      </c>
      <c r="R55" s="214">
        <v>53</v>
      </c>
      <c r="S55" s="214">
        <v>53</v>
      </c>
      <c r="T55" s="214">
        <v>53</v>
      </c>
      <c r="U55" s="214">
        <v>15</v>
      </c>
      <c r="V55" s="214"/>
      <c r="W55" s="214"/>
      <c r="X55" s="123">
        <f t="shared" ref="X55" si="60">+IF(H56="s",0,IF(AA55=0,0,IF(COUNTA(M55:W55)=AK57+0.75,SUMIF($C:$C,B55,$AA:$AA)/AK57,SUMIF($C:$C,B55,$AA:$AA)/(COUNTA(M55:W55)))))</f>
        <v>53.090909090909093</v>
      </c>
      <c r="Y55" s="466"/>
      <c r="Z55" s="534"/>
      <c r="AA55" s="134">
        <f t="shared" si="1"/>
        <v>438</v>
      </c>
      <c r="AB55" s="354">
        <f>+AA55+AC55</f>
        <v>3151</v>
      </c>
      <c r="AC55" s="354">
        <v>2713</v>
      </c>
      <c r="AD55" s="355">
        <f>+AB54-AB55</f>
        <v>750</v>
      </c>
      <c r="AE55" s="131">
        <f>+IF(((AA56+(AA57/2))*60)=0,"",(J55*AA55)/((AA56+(AA57/2))*60))</f>
        <v>0.87702336448598128</v>
      </c>
      <c r="AF55" s="347">
        <f>+AA56+AA57/2</f>
        <v>428</v>
      </c>
      <c r="AG55" s="347">
        <f t="shared" si="2"/>
        <v>428</v>
      </c>
      <c r="AH55" s="341">
        <f t="shared" si="3"/>
        <v>25680</v>
      </c>
      <c r="AI55" s="341">
        <f>+AA55*J55</f>
        <v>22521.96</v>
      </c>
      <c r="AJ55" s="356">
        <f>+AA55-(AF55*K55/K57)</f>
        <v>-6.7843137254902217</v>
      </c>
      <c r="AK55" s="348"/>
      <c r="AL55" s="349"/>
      <c r="AM55" s="341"/>
      <c r="AN55" s="341"/>
      <c r="AO55" s="341"/>
      <c r="AP55" s="341"/>
      <c r="AQ55" s="339">
        <f t="shared" si="18"/>
        <v>63.625</v>
      </c>
      <c r="AR55" s="434">
        <v>1.5</v>
      </c>
      <c r="AT55" s="390">
        <v>743</v>
      </c>
      <c r="AV55" s="390">
        <f t="shared" ref="AV55" si="61">+AT55-AD55</f>
        <v>-7</v>
      </c>
    </row>
    <row r="56" spans="2:58" s="98" customFormat="1" ht="62.25" customHeight="1" x14ac:dyDescent="0.9">
      <c r="B56" s="357">
        <f>+B55</f>
        <v>8</v>
      </c>
      <c r="C56" s="408"/>
      <c r="D56" s="184"/>
      <c r="E56" s="111">
        <f>+B55</f>
        <v>8</v>
      </c>
      <c r="F56" s="409"/>
      <c r="G56" s="539" t="str">
        <f t="shared" si="59"/>
        <v>2158-755-712</v>
      </c>
      <c r="H56" s="411"/>
      <c r="I56" s="113">
        <f>+IFERROR(IF(K57=0,0,IF((LOOKUP(2,1/(M56:W56&lt;&gt;""),M56:W56)-K57)&lt;0,0,IF(K57=0,"",LOOKUP(2,1/(M56:W56&lt;&gt;""),M56:W56)-K57))),0)</f>
        <v>1</v>
      </c>
      <c r="J56" s="113"/>
      <c r="K56" s="114" t="s">
        <v>22</v>
      </c>
      <c r="L56" s="102" t="s">
        <v>18</v>
      </c>
      <c r="M56" s="448">
        <v>51</v>
      </c>
      <c r="N56" s="448">
        <v>52</v>
      </c>
      <c r="O56" s="448">
        <v>52</v>
      </c>
      <c r="P56" s="448">
        <v>52</v>
      </c>
      <c r="Q56" s="448">
        <v>52</v>
      </c>
      <c r="R56" s="448">
        <v>52</v>
      </c>
      <c r="S56" s="448">
        <v>52</v>
      </c>
      <c r="T56" s="448">
        <v>52</v>
      </c>
      <c r="U56" s="448">
        <v>52</v>
      </c>
      <c r="V56" s="448"/>
      <c r="W56" s="448"/>
      <c r="X56" s="160">
        <f t="shared" ref="X56" si="62">+IF(H56="l",IF(COUNTA(M55:W55)=AK57+0.75,AA55-K55*AK57,AA55-(K55*COUNTA(M55:W55))),IF(H56="s",0,IF(COUNTA(M55:W55)=AK57+0.75,SUMIF($C:$C,B55,$AA:$AA)-K55*AK57,SUMIF($C:$C,B55,$AA:$AA)-K55*COUNTA(M55:W55))))</f>
        <v>0.75</v>
      </c>
      <c r="Y56" s="466"/>
      <c r="Z56" s="534"/>
      <c r="AA56" s="462">
        <f t="shared" ref="AA56:AA57" si="63">+SUM(M56:W56)-U56*0.75</f>
        <v>428</v>
      </c>
      <c r="AB56" s="360"/>
      <c r="AC56" s="360"/>
      <c r="AD56" s="362"/>
      <c r="AE56" s="363"/>
      <c r="AF56" s="346"/>
      <c r="AG56" s="347">
        <f t="shared" si="2"/>
        <v>0</v>
      </c>
      <c r="AH56" s="341">
        <f t="shared" si="3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428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8</v>
      </c>
      <c r="C57" s="410"/>
      <c r="D57" s="174" t="s">
        <v>373</v>
      </c>
      <c r="E57" s="175">
        <f>+E56+100</f>
        <v>108</v>
      </c>
      <c r="F57" s="175"/>
      <c r="G57" s="539" t="str">
        <f t="shared" si="59"/>
        <v>2158-755-712</v>
      </c>
      <c r="H57" s="117"/>
      <c r="I57" s="442"/>
      <c r="J57" s="165">
        <f>+IF(K57="","",IF(K55=0,"",(K55*J55)/(K57*60)))</f>
        <v>0.89060784313725494</v>
      </c>
      <c r="K57" s="118">
        <v>51</v>
      </c>
      <c r="L57" s="104" t="s">
        <v>422</v>
      </c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173"/>
      <c r="Y57" s="467">
        <v>12.746923076923077</v>
      </c>
      <c r="Z57" s="365">
        <v>12.75</v>
      </c>
      <c r="AA57" s="465">
        <f t="shared" si="63"/>
        <v>0</v>
      </c>
      <c r="AB57" s="367"/>
      <c r="AC57" s="367"/>
      <c r="AD57" s="368">
        <f>+IFERROR(AD55/(K55*$AQ$3),"")</f>
        <v>1.6172506738544474</v>
      </c>
      <c r="AE57" s="369"/>
      <c r="AF57" s="347"/>
      <c r="AG57" s="347">
        <f t="shared" si="2"/>
        <v>0</v>
      </c>
      <c r="AH57" s="341">
        <f t="shared" si="3"/>
        <v>0</v>
      </c>
      <c r="AI57" s="341"/>
      <c r="AJ57" s="356"/>
      <c r="AK57" s="370">
        <f>+$AJ$4</f>
        <v>8.25</v>
      </c>
      <c r="AL57" s="349">
        <f>+IF(AK57=7.75,SUM(M57:S57)+T57*0.75,IF(AK57=8,SUM(M57:T57),IF(AK57=7.25,SUM(M57:S57)+T57*0.25,IF(AK57=8.25,SUM(M57:T57)+U57*0.25,IF(AK57=8.75,SUM(M57:T57)+U57*0.75,0)))))</f>
        <v>0</v>
      </c>
      <c r="AM57" s="341">
        <f>+AL57-AA57</f>
        <v>0</v>
      </c>
      <c r="AN57" s="341"/>
      <c r="AO57" s="341"/>
      <c r="AP57" s="341"/>
      <c r="AQ57" s="369"/>
      <c r="AR57" s="434"/>
      <c r="AT57" s="390">
        <v>1.6329670329670329</v>
      </c>
      <c r="AV57" s="390"/>
    </row>
    <row r="58" spans="2:58" s="98" customFormat="1" ht="62.25" customHeight="1" thickTop="1" x14ac:dyDescent="0.9">
      <c r="B58" s="342">
        <f>+B59</f>
        <v>11</v>
      </c>
      <c r="C58" s="405"/>
      <c r="D58" s="106"/>
      <c r="E58" s="106"/>
      <c r="F58" s="106"/>
      <c r="G58" s="540" t="s">
        <v>435</v>
      </c>
      <c r="H58" s="106"/>
      <c r="I58" s="106"/>
      <c r="J58" s="107" t="s">
        <v>20</v>
      </c>
      <c r="K58" s="108" t="s">
        <v>23</v>
      </c>
      <c r="L58" s="100" t="s">
        <v>21</v>
      </c>
      <c r="M58" s="448"/>
      <c r="N58" s="448"/>
      <c r="O58" s="448"/>
      <c r="P58" s="448"/>
      <c r="Q58" s="448"/>
      <c r="R58" s="448"/>
      <c r="S58" s="448"/>
      <c r="T58" s="448"/>
      <c r="U58" s="448"/>
      <c r="V58" s="448"/>
      <c r="W58" s="448"/>
      <c r="X58" s="447" t="str">
        <f t="shared" si="5"/>
        <v/>
      </c>
      <c r="Y58" s="466">
        <v>-168.5</v>
      </c>
      <c r="Z58" s="533">
        <f>+X60</f>
        <v>0</v>
      </c>
      <c r="AA58" s="447">
        <f t="shared" si="1"/>
        <v>0</v>
      </c>
      <c r="AB58" s="343">
        <f>+AC58+AA58</f>
        <v>3475</v>
      </c>
      <c r="AC58" s="343">
        <v>3475</v>
      </c>
      <c r="AD58" s="344"/>
      <c r="AE58" s="345"/>
      <c r="AF58" s="346"/>
      <c r="AG58" s="347">
        <f t="shared" si="2"/>
        <v>0</v>
      </c>
      <c r="AH58" s="341">
        <f t="shared" si="3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1.35">
      <c r="B59" s="351">
        <v>11</v>
      </c>
      <c r="C59" s="406">
        <f>+B59</f>
        <v>11</v>
      </c>
      <c r="D59" s="407" t="s">
        <v>436</v>
      </c>
      <c r="E59" s="111"/>
      <c r="F59" s="111" t="s">
        <v>35</v>
      </c>
      <c r="G59" s="541" t="str">
        <f t="shared" ref="G59:G61" si="64">+G58</f>
        <v>2076-780-803</v>
      </c>
      <c r="H59" s="111"/>
      <c r="I59" s="111" t="s">
        <v>38</v>
      </c>
      <c r="J59" s="113">
        <v>38.729999999999997</v>
      </c>
      <c r="K59" s="130">
        <v>58</v>
      </c>
      <c r="L59" s="101" t="s">
        <v>17</v>
      </c>
      <c r="M59" s="214">
        <v>37</v>
      </c>
      <c r="N59" s="214">
        <v>37</v>
      </c>
      <c r="O59" s="214">
        <v>48</v>
      </c>
      <c r="P59" s="214"/>
      <c r="Q59" s="214"/>
      <c r="R59" s="214"/>
      <c r="S59" s="214"/>
      <c r="T59" s="214"/>
      <c r="U59" s="214"/>
      <c r="V59" s="214"/>
      <c r="W59" s="214"/>
      <c r="X59" s="123">
        <f t="shared" ref="X59" si="65">+IF(H60="s",0,IF(AA59=0,0,IF(COUNTA(M59:W59)=AK61+0.75,SUMIF($C:$C,B59,$AA:$AA)/AK61,SUMIF($C:$C,B59,$AA:$AA)/(COUNTA(M59:W59)))))</f>
        <v>0</v>
      </c>
      <c r="Y59" s="466"/>
      <c r="Z59" s="534"/>
      <c r="AA59" s="134">
        <f t="shared" si="1"/>
        <v>122</v>
      </c>
      <c r="AB59" s="354">
        <f>+AA59+AC59</f>
        <v>3430</v>
      </c>
      <c r="AC59" s="354">
        <v>3308</v>
      </c>
      <c r="AD59" s="355">
        <f>+AB58-AB59</f>
        <v>45</v>
      </c>
      <c r="AE59" s="131">
        <f>+IF(((AA60+(AA61/2))*60)=0,"",(J59*AA59)/((AA60+(AA61/2))*60))</f>
        <v>0.88984180790960443</v>
      </c>
      <c r="AF59" s="347">
        <f>+AA60+AA61/2</f>
        <v>88.5</v>
      </c>
      <c r="AG59" s="347">
        <f t="shared" si="2"/>
        <v>88.3</v>
      </c>
      <c r="AH59" s="341">
        <f t="shared" si="3"/>
        <v>5310</v>
      </c>
      <c r="AI59" s="341">
        <f>+AA59*J59</f>
        <v>4725.0599999999995</v>
      </c>
      <c r="AJ59" s="356">
        <f>+AA59-(AF59*K59/K61)</f>
        <v>-0.2142857142857082</v>
      </c>
      <c r="AK59" s="348"/>
      <c r="AL59" s="349"/>
      <c r="AM59" s="341"/>
      <c r="AN59" s="341"/>
      <c r="AO59" s="341"/>
      <c r="AP59" s="341"/>
      <c r="AQ59" s="339"/>
      <c r="AR59" s="434"/>
      <c r="AT59" s="390">
        <v>506</v>
      </c>
      <c r="AV59" s="390">
        <f t="shared" ref="AV59" si="66">+AT59-AD59</f>
        <v>461</v>
      </c>
      <c r="AW59" s="535"/>
      <c r="AX59" s="535"/>
      <c r="AY59" s="535"/>
      <c r="AZ59" s="535"/>
      <c r="BA59" s="535"/>
      <c r="BB59" s="535"/>
      <c r="BC59" s="535"/>
      <c r="BD59" s="535"/>
      <c r="BE59" s="535"/>
      <c r="BF59" s="535"/>
    </row>
    <row r="60" spans="2:58" s="98" customFormat="1" ht="62.25" customHeight="1" x14ac:dyDescent="0.9">
      <c r="B60" s="357">
        <f>+B59</f>
        <v>11</v>
      </c>
      <c r="C60" s="408"/>
      <c r="D60" s="184"/>
      <c r="E60" s="111">
        <f>+B59</f>
        <v>11</v>
      </c>
      <c r="F60" s="412"/>
      <c r="G60" s="541" t="str">
        <f t="shared" si="64"/>
        <v>2076-780-803</v>
      </c>
      <c r="H60" s="411" t="s">
        <v>414</v>
      </c>
      <c r="I60" s="113">
        <f>+IFERROR(IF(K61=0,0,IF((LOOKUP(2,1/(M60:W60&lt;&gt;""),M60:W60)-K61)&lt;0,0,IF(K61=0,"",LOOKUP(2,1/(M60:W60&lt;&gt;""),M60:W60)-K61))),0)</f>
        <v>0</v>
      </c>
      <c r="J60" s="113">
        <v>1</v>
      </c>
      <c r="K60" s="114" t="s">
        <v>22</v>
      </c>
      <c r="L60" s="102" t="s">
        <v>18</v>
      </c>
      <c r="M60" s="448">
        <v>30</v>
      </c>
      <c r="N60" s="448">
        <v>29</v>
      </c>
      <c r="O60" s="448">
        <v>28</v>
      </c>
      <c r="P60" s="448"/>
      <c r="Q60" s="448"/>
      <c r="R60" s="448"/>
      <c r="S60" s="448"/>
      <c r="T60" s="448"/>
      <c r="U60" s="448"/>
      <c r="V60" s="448"/>
      <c r="W60" s="448"/>
      <c r="X60" s="160">
        <f t="shared" ref="X60" si="67">+IF(H60="l",IF(COUNTA(M59:W59)=AK61+0.75,AA59-K59*AK61,AA59-(K59*COUNTA(M59:W59))),IF(H60="s",0,IF(COUNTA(M59:W59)=AK61+0.75,SUMIF($C:$C,B59,$AA:$AA)-K59*AK61,SUMIF($C:$C,B59,$AA:$AA)-K59*COUNTA(M59:W59))))</f>
        <v>0</v>
      </c>
      <c r="Y60" s="466"/>
      <c r="Z60" s="534"/>
      <c r="AA60" s="462">
        <f t="shared" ref="AA60:AA61" si="68">+SUM(M60:W60)-U60*0.75</f>
        <v>87</v>
      </c>
      <c r="AB60" s="360"/>
      <c r="AC60" s="360"/>
      <c r="AD60" s="362"/>
      <c r="AE60" s="363"/>
      <c r="AF60" s="346"/>
      <c r="AG60" s="347">
        <f t="shared" si="2"/>
        <v>0</v>
      </c>
      <c r="AH60" s="341">
        <f t="shared" si="3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87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11</v>
      </c>
      <c r="C61" s="410"/>
      <c r="D61" s="174" t="s">
        <v>418</v>
      </c>
      <c r="E61" s="175">
        <f>+E60+100</f>
        <v>111</v>
      </c>
      <c r="F61" s="175"/>
      <c r="G61" s="542" t="str">
        <f t="shared" si="64"/>
        <v>2076-780-803</v>
      </c>
      <c r="H61" s="117"/>
      <c r="I61" s="442"/>
      <c r="J61" s="165">
        <f>+IF(K61="","",IF(K59=0,"",(K59*J59)/(K61*60)))</f>
        <v>0.89140476190476181</v>
      </c>
      <c r="K61" s="118">
        <v>42</v>
      </c>
      <c r="L61" s="104" t="s">
        <v>422</v>
      </c>
      <c r="M61" s="216">
        <v>1</v>
      </c>
      <c r="N61" s="216">
        <v>1</v>
      </c>
      <c r="O61" s="216">
        <v>1</v>
      </c>
      <c r="P61" s="216"/>
      <c r="Q61" s="216"/>
      <c r="R61" s="216"/>
      <c r="S61" s="216"/>
      <c r="T61" s="216"/>
      <c r="U61" s="216"/>
      <c r="V61" s="216"/>
      <c r="W61" s="216"/>
      <c r="X61" s="173"/>
      <c r="Y61" s="467">
        <v>33.922413793103452</v>
      </c>
      <c r="Z61" s="371">
        <f>+IF(COUNTA(M59:W59)=$AJ$4+0.25,$AJ$4-(AA59/K59),COUNTA(M59:W59)-(AA59/K59))+Y61</f>
        <v>34.818965517241381</v>
      </c>
      <c r="AA61" s="465">
        <f t="shared" si="68"/>
        <v>3</v>
      </c>
      <c r="AB61" s="367"/>
      <c r="AC61" s="367"/>
      <c r="AD61" s="368">
        <f>+IFERROR(AD59/(K59*$AQ$3),"")</f>
        <v>8.8669950738916259E-2</v>
      </c>
      <c r="AE61" s="369"/>
      <c r="AF61" s="347"/>
      <c r="AG61" s="347">
        <f t="shared" si="2"/>
        <v>0</v>
      </c>
      <c r="AH61" s="341">
        <f t="shared" si="3"/>
        <v>0</v>
      </c>
      <c r="AI61" s="341"/>
      <c r="AJ61" s="356"/>
      <c r="AK61" s="370">
        <f>+$AJ$4</f>
        <v>8.25</v>
      </c>
      <c r="AL61" s="349">
        <f>+IF(AK61=7.75,SUM(M61:S61)+T61*0.75,IF(AK61=8,SUM(M61:T61),IF(AK61=7.25,SUM(M61:S61)+T61*0.25,IF(AK61=8.25,SUM(M61:T61)+U61*0.25,IF(AK61=8.75,SUM(M61:T61)+U61*0.75,0)))))</f>
        <v>3</v>
      </c>
      <c r="AM61" s="341">
        <f>+AL61-AA61</f>
        <v>0</v>
      </c>
      <c r="AN61" s="341"/>
      <c r="AO61" s="341"/>
      <c r="AP61" s="341"/>
      <c r="AQ61" s="369"/>
      <c r="AR61" s="434"/>
      <c r="AT61" s="390">
        <v>0.99704433497536948</v>
      </c>
      <c r="AV61" s="390"/>
    </row>
    <row r="62" spans="2:58" s="98" customFormat="1" ht="62.25" customHeight="1" thickTop="1" x14ac:dyDescent="0.9">
      <c r="B62" s="342">
        <f>+B63</f>
        <v>11</v>
      </c>
      <c r="C62" s="405"/>
      <c r="D62" s="106"/>
      <c r="E62" s="106"/>
      <c r="F62" s="106"/>
      <c r="G62" s="540" t="s">
        <v>481</v>
      </c>
      <c r="H62" s="106"/>
      <c r="I62" s="106"/>
      <c r="J62" s="107" t="s">
        <v>20</v>
      </c>
      <c r="K62" s="108" t="s">
        <v>23</v>
      </c>
      <c r="L62" s="100" t="s">
        <v>21</v>
      </c>
      <c r="M62" s="448">
        <v>60</v>
      </c>
      <c r="N62" s="448">
        <v>120</v>
      </c>
      <c r="O62" s="448">
        <v>60</v>
      </c>
      <c r="P62" s="448">
        <v>60</v>
      </c>
      <c r="Q62" s="448">
        <v>60</v>
      </c>
      <c r="R62" s="448"/>
      <c r="S62" s="448"/>
      <c r="T62" s="448"/>
      <c r="U62" s="448"/>
      <c r="V62" s="448"/>
      <c r="W62" s="448"/>
      <c r="X62" s="447">
        <f t="shared" si="5"/>
        <v>360</v>
      </c>
      <c r="Y62" s="466">
        <v>0</v>
      </c>
      <c r="Z62" s="533">
        <f>+X64</f>
        <v>-360</v>
      </c>
      <c r="AA62" s="447">
        <f t="shared" si="1"/>
        <v>360</v>
      </c>
      <c r="AB62" s="343">
        <f>+AC62+AA62</f>
        <v>780</v>
      </c>
      <c r="AC62" s="343">
        <v>420</v>
      </c>
      <c r="AD62" s="344"/>
      <c r="AE62" s="345"/>
      <c r="AF62" s="346"/>
      <c r="AG62" s="347">
        <f t="shared" si="2"/>
        <v>0</v>
      </c>
      <c r="AH62" s="341">
        <f t="shared" si="3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1.35">
      <c r="B63" s="351">
        <v>11</v>
      </c>
      <c r="C63" s="406">
        <f>+B63</f>
        <v>11</v>
      </c>
      <c r="D63" s="407" t="s">
        <v>480</v>
      </c>
      <c r="E63" s="111"/>
      <c r="F63" s="111" t="s">
        <v>35</v>
      </c>
      <c r="G63" s="541" t="str">
        <f t="shared" ref="G63:G65" si="69">+G62</f>
        <v>2396-593-600</v>
      </c>
      <c r="H63" s="111"/>
      <c r="I63" s="111" t="s">
        <v>33</v>
      </c>
      <c r="J63" s="113">
        <v>38.82</v>
      </c>
      <c r="K63" s="130">
        <v>60</v>
      </c>
      <c r="L63" s="101" t="s">
        <v>17</v>
      </c>
      <c r="M63" s="214"/>
      <c r="N63" s="214"/>
      <c r="O63" s="214"/>
      <c r="P63" s="214">
        <v>0</v>
      </c>
      <c r="Q63" s="214">
        <v>0</v>
      </c>
      <c r="R63" s="214">
        <v>0</v>
      </c>
      <c r="S63" s="214">
        <v>0</v>
      </c>
      <c r="T63" s="214">
        <v>0</v>
      </c>
      <c r="U63" s="214">
        <v>0</v>
      </c>
      <c r="V63" s="214"/>
      <c r="W63" s="214"/>
      <c r="X63" s="123">
        <f t="shared" ref="X63" si="70">+IF(H64="s",0,IF(AA63=0,0,IF(COUNTA(M63:W63)=AK65+0.75,SUMIF($C:$C,B63,$AA:$AA)/AK65,SUMIF($C:$C,B63,$AA:$AA)/(COUNTA(M63:W63)))))</f>
        <v>0</v>
      </c>
      <c r="Y63" s="466"/>
      <c r="Z63" s="534"/>
      <c r="AA63" s="134">
        <f t="shared" si="1"/>
        <v>0</v>
      </c>
      <c r="AB63" s="354">
        <f>+AA63+AC63</f>
        <v>0</v>
      </c>
      <c r="AC63" s="354">
        <v>0</v>
      </c>
      <c r="AD63" s="355">
        <f>+AB62-AB63</f>
        <v>780</v>
      </c>
      <c r="AE63" s="131">
        <f>+IF(((AA64+(AA65/2))*60)=0,"",(J63*AA63)/((AA64+(AA65/2))*60))</f>
        <v>0</v>
      </c>
      <c r="AF63" s="347">
        <f>+AA64+AA65/2</f>
        <v>253.875</v>
      </c>
      <c r="AG63" s="347">
        <f t="shared" si="2"/>
        <v>253.52500000000001</v>
      </c>
      <c r="AH63" s="341">
        <f t="shared" si="3"/>
        <v>15232.5</v>
      </c>
      <c r="AI63" s="341">
        <f>+AA63*J63</f>
        <v>0</v>
      </c>
      <c r="AJ63" s="356">
        <f>+AA63-(AF63*K63/K65)</f>
        <v>-354.24418604651163</v>
      </c>
      <c r="AK63" s="348"/>
      <c r="AL63" s="349"/>
      <c r="AM63" s="341"/>
      <c r="AN63" s="341"/>
      <c r="AO63" s="341"/>
      <c r="AP63" s="341"/>
      <c r="AQ63" s="339">
        <f>-300+AA62</f>
        <v>60</v>
      </c>
      <c r="AR63" s="434"/>
      <c r="AT63" s="390">
        <v>180</v>
      </c>
      <c r="AV63" s="390">
        <f t="shared" ref="AV63" si="71">+AT63-AD63</f>
        <v>-600</v>
      </c>
      <c r="AW63" s="535"/>
      <c r="AX63" s="535"/>
      <c r="AY63" s="535"/>
      <c r="AZ63" s="535"/>
      <c r="BA63" s="535"/>
      <c r="BB63" s="535"/>
      <c r="BC63" s="535"/>
      <c r="BD63" s="535"/>
      <c r="BE63" s="535"/>
      <c r="BF63" s="535"/>
    </row>
    <row r="64" spans="2:58" s="98" customFormat="1" ht="62.25" customHeight="1" x14ac:dyDescent="0.9">
      <c r="B64" s="357">
        <f>+B63</f>
        <v>11</v>
      </c>
      <c r="C64" s="408"/>
      <c r="D64" s="184"/>
      <c r="E64" s="111">
        <f>+B63</f>
        <v>11</v>
      </c>
      <c r="F64" s="412"/>
      <c r="G64" s="541" t="str">
        <f t="shared" si="69"/>
        <v>2396-593-600</v>
      </c>
      <c r="H64" s="411" t="s">
        <v>412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48">
        <v>11</v>
      </c>
      <c r="N64" s="448">
        <v>12</v>
      </c>
      <c r="O64" s="448">
        <v>13</v>
      </c>
      <c r="P64" s="448">
        <v>41</v>
      </c>
      <c r="Q64" s="448">
        <v>41</v>
      </c>
      <c r="R64" s="448">
        <v>41</v>
      </c>
      <c r="S64" s="448">
        <v>41</v>
      </c>
      <c r="T64" s="448">
        <v>41</v>
      </c>
      <c r="U64" s="448">
        <v>41</v>
      </c>
      <c r="V64" s="448"/>
      <c r="W64" s="448"/>
      <c r="X64" s="160">
        <f t="shared" ref="X64" si="72">+IF(H64="l",IF(COUNTA(M63:W63)=AK65+0.75,AA63-K63*AK65,AA63-(K63*COUNTA(M63:W63))),IF(H64="s",0,IF(COUNTA(M63:W63)=AK65+0.75,SUMIF($C:$C,B63,$AA:$AA)-K63*AK65,SUMIF($C:$C,B63,$AA:$AA)-K63*COUNTA(M63:W63))))</f>
        <v>-360</v>
      </c>
      <c r="Y64" s="466"/>
      <c r="Z64" s="534"/>
      <c r="AA64" s="462">
        <f t="shared" ref="AA64:AA65" si="73">+SUM(M64:W64)-U64*0.75</f>
        <v>251.25</v>
      </c>
      <c r="AB64" s="360"/>
      <c r="AC64" s="360"/>
      <c r="AD64" s="362"/>
      <c r="AE64" s="363"/>
      <c r="AF64" s="346"/>
      <c r="AG64" s="347">
        <f t="shared" si="2"/>
        <v>0</v>
      </c>
      <c r="AH64" s="341">
        <f t="shared" si="3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251.25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48" s="98" customFormat="1" ht="62.25" customHeight="1" thickBot="1" x14ac:dyDescent="0.95">
      <c r="B65" s="364">
        <f>+B63</f>
        <v>11</v>
      </c>
      <c r="C65" s="410"/>
      <c r="D65" s="174" t="s">
        <v>418</v>
      </c>
      <c r="E65" s="175">
        <f>+E64+100</f>
        <v>111</v>
      </c>
      <c r="F65" s="175"/>
      <c r="G65" s="542" t="str">
        <f t="shared" si="69"/>
        <v>2396-593-600</v>
      </c>
      <c r="H65" s="117"/>
      <c r="I65" s="442"/>
      <c r="J65" s="165">
        <f>+IF(K65="","",IF(K63=0,"",(K63*J63)/(K65*60)))</f>
        <v>0.90279069767441855</v>
      </c>
      <c r="K65" s="118">
        <v>43</v>
      </c>
      <c r="L65" s="104" t="s">
        <v>422</v>
      </c>
      <c r="M65" s="216"/>
      <c r="N65" s="216"/>
      <c r="O65" s="216"/>
      <c r="P65" s="216">
        <v>1</v>
      </c>
      <c r="Q65" s="216">
        <v>1</v>
      </c>
      <c r="R65" s="216">
        <v>1</v>
      </c>
      <c r="S65" s="216">
        <v>1</v>
      </c>
      <c r="T65" s="216">
        <v>1</v>
      </c>
      <c r="U65" s="216">
        <v>1</v>
      </c>
      <c r="V65" s="216"/>
      <c r="W65" s="216"/>
      <c r="X65" s="173"/>
      <c r="Y65" s="467">
        <v>0</v>
      </c>
      <c r="Z65" s="371">
        <f>+IF(COUNTA(M63:W63)=$AJ$4+0.25,$AJ$4-(AA63/K63),COUNTA(M63:W63)-(AA63/K63))+Y65</f>
        <v>6</v>
      </c>
      <c r="AA65" s="465">
        <f t="shared" si="73"/>
        <v>5.25</v>
      </c>
      <c r="AB65" s="367"/>
      <c r="AC65" s="367"/>
      <c r="AD65" s="368">
        <f>+IFERROR(AD63/(K63*$AQ$3),"")</f>
        <v>1.4857142857142858</v>
      </c>
      <c r="AE65" s="369"/>
      <c r="AF65" s="347"/>
      <c r="AG65" s="347">
        <f t="shared" si="2"/>
        <v>0</v>
      </c>
      <c r="AH65" s="341">
        <f t="shared" si="3"/>
        <v>0</v>
      </c>
      <c r="AI65" s="341"/>
      <c r="AJ65" s="356"/>
      <c r="AK65" s="370">
        <f>+$AJ$4</f>
        <v>8.25</v>
      </c>
      <c r="AL65" s="349">
        <f>+IF(AK65=7.75,SUM(M65:S65)+T65*0.75,IF(AK65=8,SUM(M65:T65),IF(AK65=7.25,SUM(M65:S65)+T65*0.25,IF(AK65=8.25,SUM(M65:T65)+U65*0.25,IF(AK65=8.75,SUM(M65:T65)+U65*0.75,0)))))</f>
        <v>5.25</v>
      </c>
      <c r="AM65" s="341">
        <f>+AL65-AA65</f>
        <v>0</v>
      </c>
      <c r="AN65" s="341"/>
      <c r="AO65" s="341"/>
      <c r="AP65" s="341"/>
      <c r="AQ65" s="369"/>
      <c r="AR65" s="434"/>
      <c r="AT65" s="390">
        <v>0.33723653395784542</v>
      </c>
      <c r="AV65" s="390"/>
    </row>
    <row r="66" spans="2:48" s="98" customFormat="1" ht="62.25" customHeight="1" thickTop="1" x14ac:dyDescent="0.9">
      <c r="B66" s="342">
        <f>+B67</f>
        <v>12</v>
      </c>
      <c r="C66" s="405"/>
      <c r="D66" s="106"/>
      <c r="E66" s="106"/>
      <c r="F66" s="106"/>
      <c r="G66" s="539"/>
      <c r="H66" s="106"/>
      <c r="I66" s="106"/>
      <c r="J66" s="107" t="s">
        <v>20</v>
      </c>
      <c r="K66" s="108" t="s">
        <v>23</v>
      </c>
      <c r="L66" s="100" t="s">
        <v>21</v>
      </c>
      <c r="M66" s="453"/>
      <c r="N66" s="453"/>
      <c r="O66" s="453"/>
      <c r="P66" s="453"/>
      <c r="Q66" s="453"/>
      <c r="R66" s="453"/>
      <c r="S66" s="453"/>
      <c r="T66" s="453"/>
      <c r="U66" s="453"/>
      <c r="V66" s="453"/>
      <c r="W66" s="453"/>
      <c r="X66" s="447" t="str">
        <f t="shared" si="5"/>
        <v/>
      </c>
      <c r="Y66" s="466">
        <v>0</v>
      </c>
      <c r="Z66" s="533">
        <f>+X68</f>
        <v>0</v>
      </c>
      <c r="AA66" s="447">
        <f t="shared" si="1"/>
        <v>0</v>
      </c>
      <c r="AB66" s="343">
        <f>+AC66+AA66</f>
        <v>0</v>
      </c>
      <c r="AC66" s="343">
        <v>0</v>
      </c>
      <c r="AD66" s="344"/>
      <c r="AE66" s="345"/>
      <c r="AF66" s="346"/>
      <c r="AG66" s="347"/>
      <c r="AH66" s="341"/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48" s="98" customFormat="1" ht="62.25" customHeight="1" x14ac:dyDescent="0.9">
      <c r="B67" s="351">
        <v>12</v>
      </c>
      <c r="C67" s="406">
        <v>12</v>
      </c>
      <c r="D67" s="407"/>
      <c r="E67" s="111"/>
      <c r="F67" s="111"/>
      <c r="G67" s="539"/>
      <c r="H67" s="111"/>
      <c r="I67" s="111"/>
      <c r="J67" s="113"/>
      <c r="K67" s="130"/>
      <c r="L67" s="101" t="s">
        <v>17</v>
      </c>
      <c r="M67" s="454"/>
      <c r="N67" s="454"/>
      <c r="O67" s="454"/>
      <c r="P67" s="454"/>
      <c r="Q67" s="454"/>
      <c r="R67" s="454"/>
      <c r="S67" s="454"/>
      <c r="T67" s="454"/>
      <c r="U67" s="454"/>
      <c r="V67" s="454"/>
      <c r="W67" s="454"/>
      <c r="X67" s="123">
        <f t="shared" ref="X67" si="74">+IF(H68="s",0,IF(AA67=0,0,IF(COUNTA(M67:W67)=AK69+0.75,SUMIF($C:$C,B67,$AA:$AA)/AK69,SUMIF($C:$C,B67,$AA:$AA)/(COUNTA(M67:W67)))))</f>
        <v>0</v>
      </c>
      <c r="Y67" s="466"/>
      <c r="Z67" s="534"/>
      <c r="AA67" s="134">
        <f t="shared" si="1"/>
        <v>0</v>
      </c>
      <c r="AB67" s="354">
        <f>+AA67+AC67</f>
        <v>0</v>
      </c>
      <c r="AC67" s="354">
        <v>0</v>
      </c>
      <c r="AD67" s="355">
        <f>+AB66-AB67</f>
        <v>0</v>
      </c>
      <c r="AE67" s="131" t="str">
        <f>+IF(((AA68+(AA69/2))*60)=0,"",(J67*AA67)/((AA68+(AA69/2))*60))</f>
        <v/>
      </c>
      <c r="AF67" s="347"/>
      <c r="AG67" s="347"/>
      <c r="AH67" s="341"/>
      <c r="AI67" s="341"/>
      <c r="AJ67" s="356"/>
      <c r="AK67" s="348"/>
      <c r="AL67" s="349"/>
      <c r="AM67" s="341"/>
      <c r="AN67" s="341"/>
      <c r="AO67" s="341"/>
      <c r="AP67" s="341"/>
      <c r="AQ67" s="339" t="str">
        <f t="shared" si="18"/>
        <v/>
      </c>
      <c r="AR67" s="434"/>
      <c r="AT67" s="390">
        <v>0</v>
      </c>
      <c r="AV67" s="390">
        <f t="shared" ref="AV67" si="75">+AT67-AD67</f>
        <v>0</v>
      </c>
    </row>
    <row r="68" spans="2:48" s="98" customFormat="1" ht="62.25" customHeight="1" x14ac:dyDescent="0.9">
      <c r="B68" s="357">
        <f>+B67</f>
        <v>12</v>
      </c>
      <c r="C68" s="408"/>
      <c r="D68" s="184"/>
      <c r="E68" s="111">
        <f>+B67</f>
        <v>12</v>
      </c>
      <c r="F68" s="409"/>
      <c r="G68" s="539"/>
      <c r="H68" s="411"/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53"/>
      <c r="N68" s="453"/>
      <c r="O68" s="453"/>
      <c r="P68" s="453"/>
      <c r="Q68" s="453"/>
      <c r="R68" s="453"/>
      <c r="S68" s="453"/>
      <c r="T68" s="453"/>
      <c r="U68" s="453"/>
      <c r="V68" s="453"/>
      <c r="W68" s="453"/>
      <c r="X68" s="160">
        <f t="shared" ref="X68" si="76">+IF(H68="l",IF(COUNTA(M67:W67)=AK69+0.75,AA67-K67*AK69,AA67-(K67*COUNTA(M67:W67))),IF(H68="s",0,IF(COUNTA(M67:W67)=AK69+0.75,SUMIF($C:$C,B67,$AA:$AA)-K67*AK69,SUMIF($C:$C,B67,$AA:$AA)-K67*COUNTA(M67:W67))))</f>
        <v>0</v>
      </c>
      <c r="Y68" s="466"/>
      <c r="Z68" s="534"/>
      <c r="AA68" s="462">
        <f t="shared" ref="AA68:AA69" si="77">+SUM(M68:W68)-U68*0.75</f>
        <v>0</v>
      </c>
      <c r="AB68" s="360"/>
      <c r="AC68" s="360"/>
      <c r="AD68" s="362"/>
      <c r="AE68" s="363"/>
      <c r="AF68" s="346"/>
      <c r="AG68" s="347"/>
      <c r="AH68" s="341"/>
      <c r="AI68" s="341"/>
      <c r="AJ68" s="341"/>
      <c r="AK68" s="348"/>
      <c r="AL68" s="349"/>
      <c r="AM68" s="341"/>
      <c r="AN68" s="341"/>
      <c r="AO68" s="341"/>
      <c r="AP68" s="341"/>
      <c r="AQ68" s="438"/>
      <c r="AR68" s="434"/>
      <c r="AT68" s="390"/>
      <c r="AV68" s="390"/>
    </row>
    <row r="69" spans="2:48" s="98" customFormat="1" ht="62.25" customHeight="1" thickBot="1" x14ac:dyDescent="0.95">
      <c r="B69" s="364">
        <f>+B67</f>
        <v>12</v>
      </c>
      <c r="C69" s="410"/>
      <c r="D69" s="174"/>
      <c r="E69" s="175">
        <f>+E68+100</f>
        <v>112</v>
      </c>
      <c r="F69" s="175"/>
      <c r="G69" s="539"/>
      <c r="H69" s="117"/>
      <c r="I69" s="442"/>
      <c r="J69" s="165" t="str">
        <f>+IF(K69="","",IF(K67=0,"",(K67*J67)/(K69*60)))</f>
        <v/>
      </c>
      <c r="K69" s="118"/>
      <c r="L69" s="104" t="s">
        <v>19</v>
      </c>
      <c r="M69" s="455"/>
      <c r="N69" s="455"/>
      <c r="O69" s="455"/>
      <c r="P69" s="455"/>
      <c r="Q69" s="455"/>
      <c r="R69" s="455"/>
      <c r="S69" s="455"/>
      <c r="T69" s="455"/>
      <c r="U69" s="455"/>
      <c r="V69" s="455"/>
      <c r="W69" s="455"/>
      <c r="X69" s="173"/>
      <c r="Y69" s="467"/>
      <c r="Z69" s="371"/>
      <c r="AA69" s="465">
        <f t="shared" si="77"/>
        <v>0</v>
      </c>
      <c r="AB69" s="367"/>
      <c r="AC69" s="367"/>
      <c r="AD69" s="368" t="str">
        <f>+IFERROR(AD67/(K67*$AQ$3),"")</f>
        <v/>
      </c>
      <c r="AE69" s="369"/>
      <c r="AF69" s="347"/>
      <c r="AG69" s="347"/>
      <c r="AH69" s="341"/>
      <c r="AI69" s="341"/>
      <c r="AJ69" s="356"/>
      <c r="AK69" s="370">
        <f>+$AJ$4</f>
        <v>8.25</v>
      </c>
      <c r="AL69" s="349"/>
      <c r="AM69" s="341"/>
      <c r="AN69" s="341"/>
      <c r="AO69" s="341"/>
      <c r="AP69" s="341"/>
      <c r="AQ69" s="369"/>
      <c r="AR69" s="434"/>
      <c r="AT69" s="390" t="s">
        <v>416</v>
      </c>
      <c r="AV69" s="390"/>
    </row>
    <row r="70" spans="2:48" s="98" customFormat="1" ht="62.25" customHeight="1" thickTop="1" x14ac:dyDescent="0.9">
      <c r="B70" s="342">
        <f>+B71</f>
        <v>13</v>
      </c>
      <c r="C70" s="405"/>
      <c r="D70" s="106"/>
      <c r="E70" s="106"/>
      <c r="F70" s="106"/>
      <c r="G70" s="540" t="s">
        <v>432</v>
      </c>
      <c r="H70" s="106"/>
      <c r="I70" s="106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si="5"/>
        <v/>
      </c>
      <c r="Y70" s="466">
        <v>-173</v>
      </c>
      <c r="Z70" s="533">
        <f>+X72</f>
        <v>-51</v>
      </c>
      <c r="AA70" s="447">
        <f t="shared" si="1"/>
        <v>0</v>
      </c>
      <c r="AB70" s="343">
        <f>+AC70+AA70</f>
        <v>5811</v>
      </c>
      <c r="AC70" s="343">
        <v>5811</v>
      </c>
      <c r="AD70" s="344"/>
      <c r="AE70" s="345"/>
      <c r="AF70" s="346"/>
      <c r="AG70" s="347">
        <f t="shared" si="2"/>
        <v>0</v>
      </c>
      <c r="AH70" s="341">
        <f t="shared" si="3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48" s="98" customFormat="1" ht="62.25" customHeight="1" x14ac:dyDescent="0.9">
      <c r="B71" s="351">
        <v>13</v>
      </c>
      <c r="C71" s="406">
        <f>+B71</f>
        <v>13</v>
      </c>
      <c r="D71" s="407" t="s">
        <v>431</v>
      </c>
      <c r="E71" s="111"/>
      <c r="F71" s="111" t="s">
        <v>35</v>
      </c>
      <c r="G71" s="541" t="str">
        <f t="shared" ref="G71:G73" si="78">+G70</f>
        <v>2158-755-712</v>
      </c>
      <c r="H71" s="111"/>
      <c r="I71" s="111" t="s">
        <v>33</v>
      </c>
      <c r="J71" s="113">
        <v>51.42</v>
      </c>
      <c r="K71" s="130">
        <v>52</v>
      </c>
      <c r="L71" s="101" t="s">
        <v>17</v>
      </c>
      <c r="M71" s="214">
        <v>50</v>
      </c>
      <c r="N71" s="214">
        <v>50</v>
      </c>
      <c r="O71" s="214">
        <v>37</v>
      </c>
      <c r="P71" s="214">
        <v>60</v>
      </c>
      <c r="Q71" s="214">
        <v>44</v>
      </c>
      <c r="R71" s="214">
        <v>40</v>
      </c>
      <c r="S71" s="214">
        <v>50</v>
      </c>
      <c r="T71" s="214">
        <v>32</v>
      </c>
      <c r="U71" s="214">
        <v>15</v>
      </c>
      <c r="V71" s="214"/>
      <c r="W71" s="214"/>
      <c r="X71" s="123">
        <f t="shared" ref="X71" si="79">+IF(H72="s",0,IF(AA71=0,0,IF(COUNTA(M71:W71)=AK73+0.75,SUMIF($C:$C,B71,$AA:$AA)/AK73,SUMIF($C:$C,B71,$AA:$AA)/(COUNTA(M71:W71)))))</f>
        <v>45.81818181818182</v>
      </c>
      <c r="Y71" s="466"/>
      <c r="Z71" s="534"/>
      <c r="AA71" s="134">
        <f t="shared" si="1"/>
        <v>378</v>
      </c>
      <c r="AB71" s="354">
        <f>+AA71+AC71</f>
        <v>5267</v>
      </c>
      <c r="AC71" s="354">
        <v>4889</v>
      </c>
      <c r="AD71" s="355">
        <f>+AB70-AB71</f>
        <v>544</v>
      </c>
      <c r="AE71" s="131">
        <f>+IF(((AA72+(AA73/2))*60)=0,"",(J71*AA71)/((AA72+(AA73/2))*60))</f>
        <v>0.82744827586206904</v>
      </c>
      <c r="AF71" s="347">
        <f>+AA72+AA73/2</f>
        <v>391.5</v>
      </c>
      <c r="AG71" s="347">
        <f t="shared" si="2"/>
        <v>391.3</v>
      </c>
      <c r="AH71" s="341">
        <f t="shared" si="3"/>
        <v>23490</v>
      </c>
      <c r="AI71" s="341">
        <f>+AA71*J71</f>
        <v>19436.760000000002</v>
      </c>
      <c r="AJ71" s="356">
        <f>+AA71-(AF71*K71/K73)</f>
        <v>-21.176470588235304</v>
      </c>
      <c r="AK71" s="348"/>
      <c r="AL71" s="349"/>
      <c r="AM71" s="341"/>
      <c r="AN71" s="341"/>
      <c r="AO71" s="341"/>
      <c r="AP71" s="341"/>
      <c r="AQ71" s="339"/>
      <c r="AR71" s="434"/>
      <c r="AT71" s="390">
        <v>614</v>
      </c>
      <c r="AV71" s="390">
        <f t="shared" ref="AV71" si="80">+AT71-AD71</f>
        <v>70</v>
      </c>
    </row>
    <row r="72" spans="2:48" s="98" customFormat="1" ht="62.25" customHeight="1" x14ac:dyDescent="0.9">
      <c r="B72" s="357">
        <f>+B71</f>
        <v>13</v>
      </c>
      <c r="C72" s="408"/>
      <c r="D72" s="184"/>
      <c r="E72" s="111">
        <f>+B71</f>
        <v>13</v>
      </c>
      <c r="F72" s="412"/>
      <c r="G72" s="541" t="str">
        <f t="shared" si="78"/>
        <v>2158-755-712</v>
      </c>
      <c r="H72" s="411"/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48">
        <v>48</v>
      </c>
      <c r="N72" s="448">
        <v>48</v>
      </c>
      <c r="O72" s="448">
        <v>48</v>
      </c>
      <c r="P72" s="448">
        <v>48</v>
      </c>
      <c r="Q72" s="448">
        <v>48</v>
      </c>
      <c r="R72" s="448">
        <v>47</v>
      </c>
      <c r="S72" s="448">
        <v>47</v>
      </c>
      <c r="T72" s="448">
        <v>46</v>
      </c>
      <c r="U72" s="448">
        <v>46</v>
      </c>
      <c r="V72" s="448"/>
      <c r="W72" s="448"/>
      <c r="X72" s="160">
        <f t="shared" ref="X72" si="81">+IF(H72="l",IF(COUNTA(M71:W71)=AK73+0.75,AA71-K71*AK73,AA71-(K71*COUNTA(M71:W71))),IF(H72="s",0,IF(COUNTA(M71:W71)=AK73+0.75,SUMIF($C:$C,B71,$AA:$AA)-K71*AK73,SUMIF($C:$C,B71,$AA:$AA)-K71*COUNTA(M71:W71))))</f>
        <v>-51</v>
      </c>
      <c r="Y72" s="466"/>
      <c r="Z72" s="534"/>
      <c r="AA72" s="462">
        <f t="shared" ref="AA72:AA73" si="82">+SUM(M72:W72)-U72*0.75</f>
        <v>391.5</v>
      </c>
      <c r="AB72" s="360"/>
      <c r="AC72" s="360"/>
      <c r="AD72" s="362"/>
      <c r="AE72" s="363"/>
      <c r="AF72" s="346"/>
      <c r="AG72" s="347">
        <f t="shared" si="2"/>
        <v>0</v>
      </c>
      <c r="AH72" s="341">
        <f t="shared" si="3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391.5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48" s="98" customFormat="1" ht="62.25" customHeight="1" thickBot="1" x14ac:dyDescent="0.95">
      <c r="B73" s="364">
        <f>+B71</f>
        <v>13</v>
      </c>
      <c r="C73" s="410"/>
      <c r="D73" s="174" t="s">
        <v>379</v>
      </c>
      <c r="E73" s="175">
        <f>+E72+100</f>
        <v>113</v>
      </c>
      <c r="F73" s="175"/>
      <c r="G73" s="542" t="str">
        <f t="shared" si="78"/>
        <v>2158-755-712</v>
      </c>
      <c r="H73" s="117"/>
      <c r="I73" s="442"/>
      <c r="J73" s="165">
        <f>+IF(K73="","",IF(K71=0,"",(K71*J71)/(K73*60)))</f>
        <v>0.87380392156862752</v>
      </c>
      <c r="K73" s="118">
        <v>51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>
        <v>30.54</v>
      </c>
      <c r="Z73" s="365">
        <v>30.54</v>
      </c>
      <c r="AA73" s="465">
        <f t="shared" si="82"/>
        <v>0</v>
      </c>
      <c r="AB73" s="367"/>
      <c r="AC73" s="367"/>
      <c r="AD73" s="368">
        <f>+IFERROR(AD71/(K71*$AQ$3),"")</f>
        <v>1.1956043956043956</v>
      </c>
      <c r="AE73" s="369"/>
      <c r="AF73" s="347"/>
      <c r="AG73" s="347">
        <f t="shared" si="2"/>
        <v>0</v>
      </c>
      <c r="AH73" s="341">
        <f t="shared" si="3"/>
        <v>0</v>
      </c>
      <c r="AI73" s="341"/>
      <c r="AJ73" s="356"/>
      <c r="AK73" s="370">
        <f>+$AJ$4</f>
        <v>8.25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1.3494505494505495</v>
      </c>
      <c r="AV73" s="390"/>
    </row>
    <row r="74" spans="2:48" s="98" customFormat="1" ht="62.25" customHeight="1" thickTop="1" x14ac:dyDescent="0.9">
      <c r="B74" s="342">
        <f>+B75</f>
        <v>13</v>
      </c>
      <c r="C74" s="405"/>
      <c r="D74" s="106"/>
      <c r="E74" s="106"/>
      <c r="F74" s="106"/>
      <c r="G74" s="539" t="s">
        <v>476</v>
      </c>
      <c r="H74" s="106"/>
      <c r="I74" s="106"/>
      <c r="J74" s="107" t="s">
        <v>20</v>
      </c>
      <c r="K74" s="108" t="s">
        <v>23</v>
      </c>
      <c r="L74" s="100" t="s">
        <v>21</v>
      </c>
      <c r="M74" s="448"/>
      <c r="N74" s="448"/>
      <c r="O74" s="448"/>
      <c r="P74" s="448"/>
      <c r="Q74" s="448">
        <v>120</v>
      </c>
      <c r="R74" s="448"/>
      <c r="S74" s="448"/>
      <c r="T74" s="448"/>
      <c r="U74" s="448"/>
      <c r="V74" s="448"/>
      <c r="W74" s="448"/>
      <c r="X74" s="447">
        <f t="shared" ref="X74:X106" si="83">IF(AQ75="","",SUM(M74:W74)-(-(AQ75-SUM(M74:W74))/$AQ$3)*SUM($M$2:$W$2))</f>
        <v>120</v>
      </c>
      <c r="Y74" s="466">
        <v>-82</v>
      </c>
      <c r="Z74" s="533">
        <f>+X76</f>
        <v>0</v>
      </c>
      <c r="AA74" s="447">
        <f t="shared" si="1"/>
        <v>120</v>
      </c>
      <c r="AB74" s="343">
        <f>+AC74+AA74</f>
        <v>120</v>
      </c>
      <c r="AC74" s="343"/>
      <c r="AD74" s="344"/>
      <c r="AE74" s="345"/>
      <c r="AF74" s="346"/>
      <c r="AG74" s="347">
        <f t="shared" ref="AG74:AG77" si="84">TRUNC(AF74)+(AF74-TRUNC(AF74))*60/100</f>
        <v>0</v>
      </c>
      <c r="AH74" s="341">
        <f t="shared" ref="AH74:AH77" si="85">+AF74*60</f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48" s="98" customFormat="1" ht="62.25" customHeight="1" x14ac:dyDescent="0.9">
      <c r="B75" s="351">
        <v>13</v>
      </c>
      <c r="C75" s="406">
        <f>+B75</f>
        <v>13</v>
      </c>
      <c r="D75" s="407" t="s">
        <v>474</v>
      </c>
      <c r="E75" s="111"/>
      <c r="F75" s="111" t="s">
        <v>475</v>
      </c>
      <c r="G75" s="539" t="str">
        <f t="shared" ref="G75:G77" si="86">+G74</f>
        <v>Cheristina-blanc</v>
      </c>
      <c r="H75" s="111"/>
      <c r="I75" s="111" t="s">
        <v>477</v>
      </c>
      <c r="J75" s="113">
        <v>51.42</v>
      </c>
      <c r="K75" s="130">
        <v>52</v>
      </c>
      <c r="L75" s="101" t="s">
        <v>17</v>
      </c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123">
        <f t="shared" ref="X75" si="87">+IF(H76="s",0,IF(AA75=0,0,IF(COUNTA(M75:W75)=AK77+0.75,SUMIF($C:$C,B75,$AA:$AA)/AK77,SUMIF($C:$C,B75,$AA:$AA)/(COUNTA(M75:W75)))))</f>
        <v>0</v>
      </c>
      <c r="Y75" s="466"/>
      <c r="Z75" s="534"/>
      <c r="AA75" s="134">
        <f t="shared" si="1"/>
        <v>0</v>
      </c>
      <c r="AB75" s="354">
        <f>+AA75+AC75</f>
        <v>0</v>
      </c>
      <c r="AC75" s="354"/>
      <c r="AD75" s="355">
        <f>+AB74-AB75</f>
        <v>120</v>
      </c>
      <c r="AE75" s="131">
        <f>+IF(((AA76+(AA77/2))*60)=0,"",(J75*AA75)/((AA76+(AA77/2))*60))</f>
        <v>0</v>
      </c>
      <c r="AF75" s="347">
        <f>+AA76+AA77/2</f>
        <v>4.5</v>
      </c>
      <c r="AG75" s="347">
        <f t="shared" si="84"/>
        <v>4.3</v>
      </c>
      <c r="AH75" s="341">
        <f t="shared" si="85"/>
        <v>270</v>
      </c>
      <c r="AI75" s="341">
        <f>+AA75*J75</f>
        <v>0</v>
      </c>
      <c r="AJ75" s="356">
        <f>+AA75-(AF75*K75/K77)</f>
        <v>-4.5882352941176467</v>
      </c>
      <c r="AK75" s="348"/>
      <c r="AL75" s="349"/>
      <c r="AM75" s="341"/>
      <c r="AN75" s="341"/>
      <c r="AO75" s="341"/>
      <c r="AP75" s="341"/>
      <c r="AQ75" s="339">
        <f>-120+AA74</f>
        <v>0</v>
      </c>
      <c r="AR75" s="434"/>
      <c r="AT75" s="390">
        <v>614</v>
      </c>
      <c r="AV75" s="390">
        <f t="shared" ref="AV75" si="88">+AT75-AD75</f>
        <v>494</v>
      </c>
    </row>
    <row r="76" spans="2:48" s="98" customFormat="1" ht="62.25" customHeight="1" x14ac:dyDescent="0.9">
      <c r="B76" s="357">
        <f>+B75</f>
        <v>13</v>
      </c>
      <c r="C76" s="408"/>
      <c r="D76" s="184"/>
      <c r="E76" s="111">
        <f>+B75</f>
        <v>13</v>
      </c>
      <c r="F76" s="409"/>
      <c r="G76" s="539" t="str">
        <f t="shared" si="86"/>
        <v>Cheristina-blanc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48"/>
      <c r="N76" s="448"/>
      <c r="O76" s="448"/>
      <c r="P76" s="448"/>
      <c r="Q76" s="448"/>
      <c r="R76" s="448">
        <v>1</v>
      </c>
      <c r="S76" s="448">
        <v>1</v>
      </c>
      <c r="T76" s="448">
        <v>2</v>
      </c>
      <c r="U76" s="448">
        <v>2</v>
      </c>
      <c r="V76" s="448"/>
      <c r="W76" s="448"/>
      <c r="X76" s="160">
        <f t="shared" ref="X76" si="89">+IF(H76="l",IF(COUNTA(M75:W75)=AK77+0.75,AA75-K75*AK77,AA75-(K75*COUNTA(M75:W75))),IF(H76="s",0,IF(COUNTA(M75:W75)=AK77+0.75,SUMIF($C:$C,B75,$AA:$AA)-K75*AK77,SUMIF($C:$C,B75,$AA:$AA)-K75*COUNTA(M75:W75))))</f>
        <v>0</v>
      </c>
      <c r="Y76" s="466"/>
      <c r="Z76" s="534"/>
      <c r="AA76" s="462">
        <f t="shared" ref="AA76:AA77" si="90">+SUM(M76:W76)-U76*0.75</f>
        <v>4.5</v>
      </c>
      <c r="AB76" s="360"/>
      <c r="AC76" s="360"/>
      <c r="AD76" s="362"/>
      <c r="AE76" s="363"/>
      <c r="AF76" s="346"/>
      <c r="AG76" s="347">
        <f t="shared" si="84"/>
        <v>0</v>
      </c>
      <c r="AH76" s="341">
        <f t="shared" si="85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4.5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48" s="98" customFormat="1" ht="62.25" customHeight="1" thickBot="1" x14ac:dyDescent="0.95">
      <c r="B77" s="364">
        <f>+B75</f>
        <v>13</v>
      </c>
      <c r="C77" s="410"/>
      <c r="D77" s="174" t="s">
        <v>379</v>
      </c>
      <c r="E77" s="175">
        <f>+E76+100</f>
        <v>113</v>
      </c>
      <c r="F77" s="175"/>
      <c r="G77" s="539" t="str">
        <f t="shared" si="86"/>
        <v>Cheristina-blanc</v>
      </c>
      <c r="H77" s="117"/>
      <c r="I77" s="442"/>
      <c r="J77" s="165">
        <f>+IF(K77="","",IF(K75=0,"",(K75*J75)/(K77*60)))</f>
        <v>0.87380392156862752</v>
      </c>
      <c r="K77" s="118">
        <v>51</v>
      </c>
      <c r="L77" s="104" t="s">
        <v>19</v>
      </c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173"/>
      <c r="Y77" s="467">
        <v>0</v>
      </c>
      <c r="Z77" s="371">
        <f>+IF(COUNTA(M75:W75)=$AJ$4+0.25,$AJ$4-(AA75/K75),COUNTA(M75:W75)-(AA75/K75))+Y77</f>
        <v>0</v>
      </c>
      <c r="AA77" s="465">
        <f t="shared" si="90"/>
        <v>0</v>
      </c>
      <c r="AB77" s="367"/>
      <c r="AC77" s="367"/>
      <c r="AD77" s="368">
        <f>+IFERROR(AD75/(K75*$AQ$3),"")</f>
        <v>0.26373626373626374</v>
      </c>
      <c r="AE77" s="369"/>
      <c r="AF77" s="347"/>
      <c r="AG77" s="347">
        <f t="shared" si="84"/>
        <v>0</v>
      </c>
      <c r="AH77" s="341">
        <f t="shared" si="85"/>
        <v>0</v>
      </c>
      <c r="AI77" s="341"/>
      <c r="AJ77" s="356"/>
      <c r="AK77" s="370">
        <f>+$AJ$4</f>
        <v>8.25</v>
      </c>
      <c r="AL77" s="349">
        <f>+IF(AK77=7.75,SUM(M77:S77)+T77*0.75,IF(AK77=8,SUM(M77:T77),IF(AK77=7.25,SUM(M77:S77)+T77*0.25,IF(AK77=8.25,SUM(M77:T77)+U77*0.25,IF(AK77=8.75,SUM(M77:T77)+U77*0.75,0)))))</f>
        <v>0</v>
      </c>
      <c r="AM77" s="341">
        <f>+AL77-AA77</f>
        <v>0</v>
      </c>
      <c r="AN77" s="341"/>
      <c r="AO77" s="341"/>
      <c r="AP77" s="341"/>
      <c r="AQ77" s="369"/>
      <c r="AR77" s="434"/>
      <c r="AT77" s="390">
        <v>1.3494505494505495</v>
      </c>
      <c r="AV77" s="390"/>
    </row>
    <row r="78" spans="2:48" s="98" customFormat="1" ht="58.5" customHeight="1" thickTop="1" x14ac:dyDescent="0.9">
      <c r="B78" s="373">
        <f>+B79</f>
        <v>14</v>
      </c>
      <c r="C78" s="405"/>
      <c r="D78" s="106"/>
      <c r="E78" s="106"/>
      <c r="F78" s="106"/>
      <c r="G78" s="540" t="s">
        <v>429</v>
      </c>
      <c r="H78" s="106"/>
      <c r="I78" s="106"/>
      <c r="J78" s="107" t="s">
        <v>20</v>
      </c>
      <c r="K78" s="108" t="s">
        <v>23</v>
      </c>
      <c r="L78" s="100" t="s">
        <v>21</v>
      </c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48"/>
      <c r="X78" s="447" t="str">
        <f t="shared" si="83"/>
        <v/>
      </c>
      <c r="Y78" s="466">
        <v>0</v>
      </c>
      <c r="Z78" s="533">
        <f>+X80</f>
        <v>-201</v>
      </c>
      <c r="AA78" s="447">
        <f t="shared" si="1"/>
        <v>0</v>
      </c>
      <c r="AB78" s="343">
        <f>+AC78+AA78</f>
        <v>5850</v>
      </c>
      <c r="AC78" s="343">
        <v>5850</v>
      </c>
      <c r="AD78" s="344"/>
      <c r="AE78" s="345"/>
      <c r="AF78" s="346"/>
      <c r="AG78" s="347">
        <f t="shared" si="2"/>
        <v>0</v>
      </c>
      <c r="AH78" s="341">
        <f t="shared" si="3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48" s="98" customFormat="1" ht="58.5" customHeight="1" x14ac:dyDescent="0.9">
      <c r="B79" s="374">
        <v>14</v>
      </c>
      <c r="C79" s="406">
        <f>+B79</f>
        <v>14</v>
      </c>
      <c r="D79" s="407" t="s">
        <v>427</v>
      </c>
      <c r="E79" s="111"/>
      <c r="F79" s="111" t="s">
        <v>428</v>
      </c>
      <c r="G79" s="541" t="str">
        <f t="shared" ref="G79:G81" si="91">+G78</f>
        <v>NEGRONI-202942</v>
      </c>
      <c r="H79" s="111"/>
      <c r="I79" s="111" t="s">
        <v>430</v>
      </c>
      <c r="J79" s="113">
        <v>48.06</v>
      </c>
      <c r="K79" s="471">
        <v>44</v>
      </c>
      <c r="L79" s="101" t="s">
        <v>17</v>
      </c>
      <c r="M79" s="214">
        <v>27</v>
      </c>
      <c r="N79" s="214">
        <v>30</v>
      </c>
      <c r="O79" s="214">
        <v>26</v>
      </c>
      <c r="P79" s="214">
        <v>21</v>
      </c>
      <c r="Q79" s="214">
        <v>22</v>
      </c>
      <c r="R79" s="214">
        <v>20</v>
      </c>
      <c r="S79" s="214">
        <v>16</v>
      </c>
      <c r="T79" s="214">
        <v>0</v>
      </c>
      <c r="U79" s="214">
        <v>0</v>
      </c>
      <c r="V79" s="214"/>
      <c r="W79" s="214"/>
      <c r="X79" s="123">
        <f t="shared" ref="X79" si="92">+IF(H80="s",0,IF(AA79=0,0,IF(COUNTA(M79:W79)=AK81+0.75,SUMIF($C:$C,B79,$AA:$AA)/AK81,SUMIF($C:$C,B79,$AA:$AA)/(COUNTA(M79:W79)))))</f>
        <v>19.636363636363637</v>
      </c>
      <c r="Y79" s="466"/>
      <c r="Z79" s="534"/>
      <c r="AA79" s="134">
        <f t="shared" si="1"/>
        <v>162</v>
      </c>
      <c r="AB79" s="354">
        <f>+AA79+AC79</f>
        <v>5748</v>
      </c>
      <c r="AC79" s="354">
        <v>5586</v>
      </c>
      <c r="AD79" s="355">
        <f>+AB78-AB79</f>
        <v>102</v>
      </c>
      <c r="AE79" s="131">
        <f>+IF(((AA80+(AA81/2))*60)=0,"",(J79*AA79)/((AA80+(AA81/2))*60))</f>
        <v>0.60921126760563382</v>
      </c>
      <c r="AF79" s="347">
        <f>+AA80+AA81/2</f>
        <v>213</v>
      </c>
      <c r="AG79" s="347">
        <f t="shared" si="2"/>
        <v>213</v>
      </c>
      <c r="AH79" s="341">
        <f t="shared" si="3"/>
        <v>12780</v>
      </c>
      <c r="AI79" s="341">
        <f>+AA79*J79</f>
        <v>7785.72</v>
      </c>
      <c r="AJ79" s="356">
        <f>+AA79-(AF79*K79/K81)</f>
        <v>-51</v>
      </c>
      <c r="AK79" s="348"/>
      <c r="AL79" s="349"/>
      <c r="AM79" s="341"/>
      <c r="AN79" s="341"/>
      <c r="AO79" s="341"/>
      <c r="AP79" s="341"/>
      <c r="AQ79" s="339"/>
      <c r="AR79" s="434"/>
      <c r="AT79" s="390">
        <v>567</v>
      </c>
      <c r="AV79" s="390">
        <f t="shared" ref="AV79" si="93">+AT79-AD79</f>
        <v>465</v>
      </c>
    </row>
    <row r="80" spans="2:48" s="98" customFormat="1" ht="58.5" customHeight="1" x14ac:dyDescent="0.9">
      <c r="B80" s="357">
        <f>+B79</f>
        <v>14</v>
      </c>
      <c r="C80" s="408"/>
      <c r="D80" s="184"/>
      <c r="E80" s="111">
        <f>+B79</f>
        <v>14</v>
      </c>
      <c r="F80" s="409"/>
      <c r="G80" s="541" t="str">
        <f t="shared" si="91"/>
        <v>NEGRONI-202942</v>
      </c>
      <c r="H80" s="411"/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48">
        <v>30</v>
      </c>
      <c r="N80" s="448">
        <v>30</v>
      </c>
      <c r="O80" s="448">
        <v>30</v>
      </c>
      <c r="P80" s="448">
        <v>30</v>
      </c>
      <c r="Q80" s="448">
        <v>25</v>
      </c>
      <c r="R80" s="448">
        <v>20</v>
      </c>
      <c r="S80" s="448">
        <v>20</v>
      </c>
      <c r="T80" s="448">
        <v>20</v>
      </c>
      <c r="U80" s="448">
        <v>20</v>
      </c>
      <c r="V80" s="448"/>
      <c r="W80" s="448"/>
      <c r="X80" s="160">
        <f t="shared" ref="X80" si="94">+IF(H80="l",IF(COUNTA(M79:W79)=AK81+0.75,AA79-K79*AK81,AA79-(K79*COUNTA(M79:W79))),IF(H80="s",0,IF(COUNTA(M79:W79)=AK81+0.75,SUMIF($C:$C,B79,$AA:$AA)-K79*AK81,SUMIF($C:$C,B79,$AA:$AA)-K79*COUNTA(M79:W79))))</f>
        <v>-201</v>
      </c>
      <c r="Y80" s="466"/>
      <c r="Z80" s="534"/>
      <c r="AA80" s="462">
        <f t="shared" ref="AA80:AA81" si="95">+SUM(M80:W80)-U80*0.75</f>
        <v>210</v>
      </c>
      <c r="AB80" s="360"/>
      <c r="AC80" s="360"/>
      <c r="AD80" s="362"/>
      <c r="AE80" s="363"/>
      <c r="AF80" s="346"/>
      <c r="AG80" s="347">
        <f t="shared" si="2"/>
        <v>0</v>
      </c>
      <c r="AH80" s="341">
        <f t="shared" si="3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210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59" s="98" customFormat="1" ht="58.5" customHeight="1" thickBot="1" x14ac:dyDescent="0.95">
      <c r="B81" s="364">
        <f>+B79</f>
        <v>14</v>
      </c>
      <c r="C81" s="410"/>
      <c r="D81" s="174" t="s">
        <v>112</v>
      </c>
      <c r="E81" s="175">
        <f>+E80+100</f>
        <v>114</v>
      </c>
      <c r="F81" s="175"/>
      <c r="G81" s="542" t="str">
        <f t="shared" si="91"/>
        <v>NEGRONI-202942</v>
      </c>
      <c r="H81" s="117"/>
      <c r="I81" s="442"/>
      <c r="J81" s="165">
        <f>+IF(K81="","",IF(K79=0,"",(K79*J79)/(K81*60)))</f>
        <v>0.80100000000000016</v>
      </c>
      <c r="K81" s="471">
        <v>44</v>
      </c>
      <c r="L81" s="104" t="s">
        <v>19</v>
      </c>
      <c r="M81" s="216">
        <v>1</v>
      </c>
      <c r="N81" s="216">
        <v>1</v>
      </c>
      <c r="O81" s="216">
        <v>1</v>
      </c>
      <c r="P81" s="216">
        <v>1</v>
      </c>
      <c r="Q81" s="216">
        <v>1</v>
      </c>
      <c r="R81" s="216">
        <v>1</v>
      </c>
      <c r="S81" s="216"/>
      <c r="T81" s="216"/>
      <c r="U81" s="216"/>
      <c r="V81" s="216"/>
      <c r="W81" s="216"/>
      <c r="X81" s="173"/>
      <c r="Y81" s="467">
        <v>43.52</v>
      </c>
      <c r="Z81" s="365">
        <v>43.52</v>
      </c>
      <c r="AA81" s="465">
        <f t="shared" si="95"/>
        <v>6</v>
      </c>
      <c r="AB81" s="367"/>
      <c r="AC81" s="367"/>
      <c r="AD81" s="368">
        <f>+IFERROR(AD79/(K79*$AQ$3),"")</f>
        <v>0.26493506493506491</v>
      </c>
      <c r="AE81" s="369"/>
      <c r="AF81" s="347"/>
      <c r="AG81" s="347">
        <f t="shared" si="2"/>
        <v>0</v>
      </c>
      <c r="AH81" s="341">
        <f t="shared" si="3"/>
        <v>0</v>
      </c>
      <c r="AI81" s="341"/>
      <c r="AJ81" s="356"/>
      <c r="AK81" s="370">
        <f>+$AJ$4</f>
        <v>8.25</v>
      </c>
      <c r="AL81" s="349">
        <f>+IF(AK81=7.75,SUM(M81:S81)+T81*0.75,IF(AK81=8,SUM(M81:T81),IF(AK81=7.25,SUM(M81:S81)+T81*0.25,IF(AK81=8.25,SUM(M81:T81)+U81*0.25,IF(AK81=8.75,SUM(M81:T81)+U81*0.75,0)))))</f>
        <v>6</v>
      </c>
      <c r="AM81" s="341">
        <f>+AL81-AA81</f>
        <v>0</v>
      </c>
      <c r="AN81" s="341"/>
      <c r="AO81" s="341"/>
      <c r="AP81" s="341"/>
      <c r="AQ81" s="369"/>
      <c r="AR81" s="434"/>
      <c r="AT81" s="390">
        <v>1.4727272727272727</v>
      </c>
      <c r="AV81" s="390"/>
    </row>
    <row r="82" spans="2:59" s="98" customFormat="1" ht="58.5" customHeight="1" thickTop="1" x14ac:dyDescent="0.9">
      <c r="B82" s="373">
        <f>+B83</f>
        <v>14</v>
      </c>
      <c r="C82" s="405"/>
      <c r="D82" s="106"/>
      <c r="E82" s="106"/>
      <c r="F82" s="106"/>
      <c r="G82" s="540" t="s">
        <v>481</v>
      </c>
      <c r="H82" s="106"/>
      <c r="I82" s="106"/>
      <c r="J82" s="107" t="s">
        <v>20</v>
      </c>
      <c r="K82" s="108" t="s">
        <v>23</v>
      </c>
      <c r="L82" s="100" t="s">
        <v>21</v>
      </c>
      <c r="M82" s="448">
        <v>120</v>
      </c>
      <c r="N82" s="448">
        <v>60</v>
      </c>
      <c r="O82" s="448"/>
      <c r="P82" s="448"/>
      <c r="Q82" s="448">
        <v>120</v>
      </c>
      <c r="R82" s="448">
        <v>60</v>
      </c>
      <c r="S82" s="448"/>
      <c r="T82" s="448"/>
      <c r="U82" s="448"/>
      <c r="V82" s="448"/>
      <c r="W82" s="448"/>
      <c r="X82" s="447">
        <f t="shared" si="83"/>
        <v>360</v>
      </c>
      <c r="Y82" s="466">
        <v>-104.5</v>
      </c>
      <c r="Z82" s="533">
        <f>+X84</f>
        <v>-495</v>
      </c>
      <c r="AA82" s="447">
        <f t="shared" ref="AA82:AA107" si="96">+SUM(L82:W82)</f>
        <v>360</v>
      </c>
      <c r="AB82" s="343">
        <f>+AC82+AA82</f>
        <v>1080</v>
      </c>
      <c r="AC82" s="343">
        <v>720</v>
      </c>
      <c r="AD82" s="344"/>
      <c r="AE82" s="345"/>
      <c r="AF82" s="346"/>
      <c r="AG82" s="347">
        <f t="shared" si="2"/>
        <v>0</v>
      </c>
      <c r="AH82" s="341">
        <f t="shared" si="3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59" s="98" customFormat="1" ht="58.5" customHeight="1" x14ac:dyDescent="0.9">
      <c r="B83" s="374">
        <v>14</v>
      </c>
      <c r="C83" s="406">
        <f>+B83</f>
        <v>14</v>
      </c>
      <c r="D83" s="407" t="s">
        <v>480</v>
      </c>
      <c r="E83" s="111"/>
      <c r="F83" s="111" t="s">
        <v>35</v>
      </c>
      <c r="G83" s="541" t="str">
        <f t="shared" ref="G83:G85" si="97">+G82</f>
        <v>2396-593-600</v>
      </c>
      <c r="H83" s="111"/>
      <c r="I83" s="111" t="s">
        <v>33</v>
      </c>
      <c r="J83" s="113">
        <v>38.82</v>
      </c>
      <c r="K83" s="130">
        <v>60</v>
      </c>
      <c r="L83" s="101" t="s">
        <v>17</v>
      </c>
      <c r="M83" s="214">
        <v>0</v>
      </c>
      <c r="N83" s="214">
        <v>0</v>
      </c>
      <c r="O83" s="214">
        <v>0</v>
      </c>
      <c r="P83" s="214">
        <v>0</v>
      </c>
      <c r="Q83" s="214">
        <v>0</v>
      </c>
      <c r="R83" s="214">
        <v>0</v>
      </c>
      <c r="S83" s="214">
        <v>0</v>
      </c>
      <c r="T83" s="214">
        <v>0</v>
      </c>
      <c r="U83" s="214">
        <v>0</v>
      </c>
      <c r="V83" s="214"/>
      <c r="W83" s="214"/>
      <c r="X83" s="123">
        <f t="shared" ref="X83" si="98">+IF(H84="s",0,IF(AA83=0,0,IF(COUNTA(M83:W83)=AK85+0.75,SUMIF($C:$C,B83,$AA:$AA)/AK85,SUMIF($C:$C,B83,$AA:$AA)/(COUNTA(M83:W83)))))</f>
        <v>0</v>
      </c>
      <c r="Y83" s="466"/>
      <c r="Z83" s="534"/>
      <c r="AA83" s="134">
        <f t="shared" si="96"/>
        <v>0</v>
      </c>
      <c r="AB83" s="354">
        <f>+AA83+AC83</f>
        <v>0</v>
      </c>
      <c r="AC83" s="354">
        <v>0</v>
      </c>
      <c r="AD83" s="355">
        <f>+AB82-AB83</f>
        <v>1080</v>
      </c>
      <c r="AE83" s="131">
        <f>+IF(((AA84+(AA85/2))*60)=0,"",(J83*AA83)/((AA84+(AA85/2))*60))</f>
        <v>0</v>
      </c>
      <c r="AF83" s="347">
        <f>+AA84+AA85/2</f>
        <v>156.625</v>
      </c>
      <c r="AG83" s="347">
        <f t="shared" si="2"/>
        <v>156.375</v>
      </c>
      <c r="AH83" s="341">
        <f t="shared" si="3"/>
        <v>9397.5</v>
      </c>
      <c r="AI83" s="341">
        <f>+AA83*J83</f>
        <v>0</v>
      </c>
      <c r="AJ83" s="356">
        <f>+AA83-(AF83*K83/K85)</f>
        <v>-218.54651162790697</v>
      </c>
      <c r="AK83" s="348"/>
      <c r="AL83" s="349"/>
      <c r="AM83" s="341"/>
      <c r="AN83" s="341"/>
      <c r="AO83" s="341"/>
      <c r="AP83" s="341"/>
      <c r="AQ83" s="339">
        <f>-300+AA82</f>
        <v>60</v>
      </c>
      <c r="AR83" s="434"/>
      <c r="AT83" s="390">
        <v>420</v>
      </c>
      <c r="AV83" s="390">
        <f t="shared" ref="AV83" si="99">+AT83-AD83</f>
        <v>-660</v>
      </c>
    </row>
    <row r="84" spans="2:59" s="98" customFormat="1" ht="58.5" customHeight="1" x14ac:dyDescent="0.9">
      <c r="B84" s="357">
        <f>+B83</f>
        <v>14</v>
      </c>
      <c r="C84" s="408"/>
      <c r="D84" s="184"/>
      <c r="E84" s="111">
        <f>+B83</f>
        <v>14</v>
      </c>
      <c r="F84" s="409"/>
      <c r="G84" s="541" t="str">
        <f t="shared" si="97"/>
        <v>2396-593-600</v>
      </c>
      <c r="H84" s="411" t="s">
        <v>413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48">
        <f>5+8</f>
        <v>13</v>
      </c>
      <c r="N84" s="448">
        <f>5+8</f>
        <v>13</v>
      </c>
      <c r="O84" s="448">
        <v>13</v>
      </c>
      <c r="P84" s="448">
        <v>13</v>
      </c>
      <c r="Q84" s="448">
        <f>13+5</f>
        <v>18</v>
      </c>
      <c r="R84" s="448">
        <v>23</v>
      </c>
      <c r="S84" s="448">
        <v>23</v>
      </c>
      <c r="T84" s="448">
        <v>23</v>
      </c>
      <c r="U84" s="448">
        <v>23</v>
      </c>
      <c r="V84" s="448"/>
      <c r="W84" s="448"/>
      <c r="X84" s="160">
        <f t="shared" ref="X84" si="100">+IF(H84="l",IF(COUNTA(M83:W83)=AK85+0.75,AA83-K83*AK85,AA83-(K83*COUNTA(M83:W83))),IF(H84="s",0,IF(COUNTA(M83:W83)=AK85+0.75,SUMIF($C:$C,B83,$AA:$AA)-K83*AK85,SUMIF($C:$C,B83,$AA:$AA)-K83*COUNTA(M83:W83))))</f>
        <v>-495</v>
      </c>
      <c r="Y84" s="466"/>
      <c r="Z84" s="534"/>
      <c r="AA84" s="462">
        <f t="shared" ref="AA84:AA85" si="101">+SUM(M84:W84)-U84*0.75</f>
        <v>144.75</v>
      </c>
      <c r="AB84" s="360"/>
      <c r="AC84" s="360"/>
      <c r="AD84" s="362"/>
      <c r="AE84" s="363"/>
      <c r="AF84" s="346"/>
      <c r="AG84" s="347">
        <f t="shared" si="2"/>
        <v>0</v>
      </c>
      <c r="AH84" s="341">
        <f t="shared" si="3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144.75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59" s="98" customFormat="1" ht="58.5" customHeight="1" thickBot="1" x14ac:dyDescent="0.95">
      <c r="B85" s="364">
        <f>+B83</f>
        <v>14</v>
      </c>
      <c r="C85" s="410"/>
      <c r="D85" s="174" t="s">
        <v>112</v>
      </c>
      <c r="E85" s="175">
        <f>+E84+100</f>
        <v>114</v>
      </c>
      <c r="F85" s="175"/>
      <c r="G85" s="542" t="str">
        <f t="shared" si="97"/>
        <v>2396-593-600</v>
      </c>
      <c r="H85" s="117"/>
      <c r="I85" s="442"/>
      <c r="J85" s="165">
        <f>+IF(K85="","",IF(K83=0,"",(K83*J83)/(K85*60)))</f>
        <v>0.90279069767441855</v>
      </c>
      <c r="K85" s="118">
        <v>43</v>
      </c>
      <c r="L85" s="104" t="s">
        <v>19</v>
      </c>
      <c r="M85" s="216">
        <v>2</v>
      </c>
      <c r="N85" s="216">
        <v>3</v>
      </c>
      <c r="O85" s="216">
        <v>3</v>
      </c>
      <c r="P85" s="216">
        <v>3</v>
      </c>
      <c r="Q85" s="216">
        <v>3</v>
      </c>
      <c r="R85" s="216">
        <v>3</v>
      </c>
      <c r="S85" s="216">
        <v>3</v>
      </c>
      <c r="T85" s="216">
        <v>3</v>
      </c>
      <c r="U85" s="216">
        <v>3</v>
      </c>
      <c r="V85" s="216"/>
      <c r="W85" s="216"/>
      <c r="X85" s="173"/>
      <c r="Y85" s="467">
        <v>0</v>
      </c>
      <c r="Z85" s="371">
        <f>+IF(COUNTA(M83:W83)=$AJ$4+0.25,$AJ$4-(AA83/K83),COUNTA(M83:W83)-(AA83/K83))+Y85</f>
        <v>9</v>
      </c>
      <c r="AA85" s="465">
        <f t="shared" si="101"/>
        <v>23.75</v>
      </c>
      <c r="AB85" s="367"/>
      <c r="AC85" s="367"/>
      <c r="AD85" s="368">
        <f>+IFERROR(AD83/(K83*$AQ$3),"")</f>
        <v>2.0571428571428569</v>
      </c>
      <c r="AE85" s="369"/>
      <c r="AF85" s="347"/>
      <c r="AG85" s="347">
        <f t="shared" si="2"/>
        <v>0</v>
      </c>
      <c r="AH85" s="341">
        <f t="shared" si="3"/>
        <v>0</v>
      </c>
      <c r="AI85" s="341"/>
      <c r="AJ85" s="356"/>
      <c r="AK85" s="370">
        <f>+$AJ$4</f>
        <v>8.25</v>
      </c>
      <c r="AL85" s="349">
        <f>+IF(AK85=7.75,SUM(M85:S85)+T85*0.75,IF(AK85=8,SUM(M85:T85),IF(AK85=7.25,SUM(M85:S85)+T85*0.25,IF(AK85=8.25,SUM(M85:T85)+U85*0.25,IF(AK85=8.75,SUM(M85:T85)+U85*0.75,0)))))</f>
        <v>23.75</v>
      </c>
      <c r="AM85" s="341">
        <f>+AL85-AA85</f>
        <v>0</v>
      </c>
      <c r="AN85" s="341"/>
      <c r="AO85" s="341"/>
      <c r="AP85" s="341"/>
      <c r="AQ85" s="369"/>
      <c r="AR85" s="434"/>
      <c r="AT85" s="390">
        <v>0.78688524590163933</v>
      </c>
      <c r="AV85" s="390"/>
    </row>
    <row r="86" spans="2:59" s="98" customFormat="1" ht="62.25" customHeight="1" thickTop="1" x14ac:dyDescent="0.9">
      <c r="B86" s="342">
        <f>+B87</f>
        <v>15</v>
      </c>
      <c r="C86" s="405"/>
      <c r="D86" s="106"/>
      <c r="E86" s="106"/>
      <c r="F86" s="106"/>
      <c r="G86" s="539" t="s">
        <v>435</v>
      </c>
      <c r="H86" s="106"/>
      <c r="I86" s="106"/>
      <c r="J86" s="107" t="s">
        <v>20</v>
      </c>
      <c r="K86" s="108" t="s">
        <v>23</v>
      </c>
      <c r="L86" s="100" t="s">
        <v>21</v>
      </c>
      <c r="M86" s="448"/>
      <c r="N86" s="448"/>
      <c r="O86" s="448"/>
      <c r="P86" s="448"/>
      <c r="Q86" s="448"/>
      <c r="R86" s="448"/>
      <c r="S86" s="448"/>
      <c r="T86" s="448"/>
      <c r="U86" s="448"/>
      <c r="V86" s="448"/>
      <c r="W86" s="448"/>
      <c r="X86" s="447" t="str">
        <f t="shared" si="83"/>
        <v/>
      </c>
      <c r="Y86" s="466">
        <v>0</v>
      </c>
      <c r="Z86" s="533">
        <f>+X88</f>
        <v>0</v>
      </c>
      <c r="AA86" s="447">
        <f t="shared" si="96"/>
        <v>0</v>
      </c>
      <c r="AB86" s="343">
        <f>+AC86+AA86</f>
        <v>4409</v>
      </c>
      <c r="AC86" s="343">
        <v>4409</v>
      </c>
      <c r="AD86" s="344"/>
      <c r="AE86" s="345"/>
      <c r="AF86" s="346"/>
      <c r="AG86" s="347">
        <f t="shared" si="2"/>
        <v>0</v>
      </c>
      <c r="AH86" s="341">
        <f t="shared" si="3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59" s="98" customFormat="1" ht="62.25" customHeight="1" x14ac:dyDescent="1.35">
      <c r="B87" s="351">
        <v>15</v>
      </c>
      <c r="C87" s="406">
        <f>+B87</f>
        <v>15</v>
      </c>
      <c r="D87" s="407" t="s">
        <v>436</v>
      </c>
      <c r="E87" s="111"/>
      <c r="F87" s="111" t="s">
        <v>35</v>
      </c>
      <c r="G87" s="539" t="str">
        <f t="shared" ref="G87:G89" si="102">+G86</f>
        <v>2076-780-803</v>
      </c>
      <c r="H87" s="111"/>
      <c r="I87" s="111" t="s">
        <v>38</v>
      </c>
      <c r="J87" s="113">
        <v>38.729999999999997</v>
      </c>
      <c r="K87" s="130">
        <v>58</v>
      </c>
      <c r="L87" s="101" t="s">
        <v>17</v>
      </c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123">
        <f t="shared" ref="X87" si="103">+IF(H88="s",0,IF(AA87=0,0,IF(COUNTA(M87:W87)=AK89+0.75,SUMIF($C:$C,B87,$AA:$AA)/AK89,SUMIF($C:$C,B87,$AA:$AA)/(COUNTA(M87:W87)))))</f>
        <v>0</v>
      </c>
      <c r="Y87" s="466"/>
      <c r="Z87" s="534"/>
      <c r="AA87" s="134">
        <f t="shared" si="96"/>
        <v>0</v>
      </c>
      <c r="AB87" s="354">
        <f>+AA87+AC87</f>
        <v>3880</v>
      </c>
      <c r="AC87" s="354">
        <v>3880</v>
      </c>
      <c r="AD87" s="355">
        <f>+AB86-AB87</f>
        <v>529</v>
      </c>
      <c r="AE87" s="131">
        <f>+IF(((AA88+(AA89/2))*60)=0,"",(J87*AA87)/((AA88+(AA89/2))*60))</f>
        <v>0</v>
      </c>
      <c r="AF87" s="347">
        <f>+AA88+AA89/2</f>
        <v>8.25</v>
      </c>
      <c r="AG87" s="347">
        <f t="shared" si="2"/>
        <v>8.15</v>
      </c>
      <c r="AH87" s="341">
        <f t="shared" si="3"/>
        <v>495</v>
      </c>
      <c r="AI87" s="341">
        <f>+AA87*J87</f>
        <v>0</v>
      </c>
      <c r="AJ87" s="356">
        <f>+AA87-(AF87*K87/K89)</f>
        <v>-11.392857142857142</v>
      </c>
      <c r="AK87" s="348"/>
      <c r="AL87" s="349"/>
      <c r="AM87" s="341"/>
      <c r="AN87" s="341"/>
      <c r="AO87" s="341"/>
      <c r="AP87" s="341"/>
      <c r="AQ87" s="339"/>
      <c r="AR87" s="434"/>
      <c r="AT87" s="390">
        <v>555</v>
      </c>
      <c r="AV87" s="390">
        <f t="shared" ref="AV87" si="104">+AT87-AD87</f>
        <v>26</v>
      </c>
      <c r="AW87" s="535"/>
      <c r="AX87" s="535"/>
      <c r="AY87" s="535"/>
      <c r="AZ87" s="535"/>
      <c r="BA87" s="535"/>
      <c r="BB87" s="535"/>
      <c r="BC87" s="535"/>
      <c r="BD87" s="535"/>
      <c r="BE87" s="535"/>
      <c r="BF87" s="535"/>
    </row>
    <row r="88" spans="2:59" s="98" customFormat="1" ht="62.25" customHeight="1" x14ac:dyDescent="0.9">
      <c r="B88" s="357">
        <f>+B87</f>
        <v>15</v>
      </c>
      <c r="C88" s="408"/>
      <c r="D88" s="184"/>
      <c r="E88" s="111">
        <f>+B87</f>
        <v>15</v>
      </c>
      <c r="F88" s="412"/>
      <c r="G88" s="539" t="str">
        <f t="shared" si="102"/>
        <v>2076-780-803</v>
      </c>
      <c r="H88" s="411" t="s">
        <v>412</v>
      </c>
      <c r="I88" s="113">
        <f>+IFERROR(IF(K89=0,0,IF((LOOKUP(2,1/(M88:W88&lt;&gt;""),M88:W88)-K89)&lt;0,0,IF(K89=0,"",LOOKUP(2,1/(M88:W88&lt;&gt;""),M88:W88)-K89))),0)</f>
        <v>0</v>
      </c>
      <c r="J88" s="113">
        <v>1</v>
      </c>
      <c r="K88" s="114" t="s">
        <v>22</v>
      </c>
      <c r="L88" s="102" t="s">
        <v>18</v>
      </c>
      <c r="M88" s="448">
        <v>1</v>
      </c>
      <c r="N88" s="448">
        <v>1</v>
      </c>
      <c r="O88" s="448">
        <v>1</v>
      </c>
      <c r="P88" s="448">
        <v>1</v>
      </c>
      <c r="Q88" s="448">
        <v>1</v>
      </c>
      <c r="R88" s="448">
        <v>1</v>
      </c>
      <c r="S88" s="448">
        <v>1</v>
      </c>
      <c r="T88" s="448">
        <v>1</v>
      </c>
      <c r="U88" s="448">
        <v>1</v>
      </c>
      <c r="V88" s="448"/>
      <c r="W88" s="448"/>
      <c r="X88" s="160">
        <f t="shared" ref="X88" si="105">+IF(H88="l",IF(COUNTA(M87:W87)=AK89+0.75,AA87-K87*AK89,AA87-(K87*COUNTA(M87:W87))),IF(H88="s",0,IF(COUNTA(M87:W87)=AK89+0.75,SUMIF($C:$C,B87,$AA:$AA)-K87*AK89,SUMIF($C:$C,B87,$AA:$AA)-K87*COUNTA(M87:W87))))</f>
        <v>0</v>
      </c>
      <c r="Y88" s="466"/>
      <c r="Z88" s="534"/>
      <c r="AA88" s="462">
        <f t="shared" ref="AA88:AA89" si="106">+SUM(M88:W88)-U88*0.75</f>
        <v>8.25</v>
      </c>
      <c r="AB88" s="360"/>
      <c r="AC88" s="360"/>
      <c r="AD88" s="362"/>
      <c r="AE88" s="363"/>
      <c r="AF88" s="346"/>
      <c r="AG88" s="347">
        <f t="shared" si="2"/>
        <v>0</v>
      </c>
      <c r="AH88" s="341">
        <f t="shared" si="3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8.25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59" s="98" customFormat="1" ht="62.25" customHeight="1" thickBot="1" x14ac:dyDescent="0.95">
      <c r="B89" s="364">
        <f>+B87</f>
        <v>15</v>
      </c>
      <c r="C89" s="410"/>
      <c r="D89" s="174" t="s">
        <v>93</v>
      </c>
      <c r="E89" s="175">
        <f>+E88+100</f>
        <v>115</v>
      </c>
      <c r="F89" s="175"/>
      <c r="G89" s="539" t="str">
        <f t="shared" si="102"/>
        <v>2076-780-803</v>
      </c>
      <c r="H89" s="117"/>
      <c r="I89" s="442"/>
      <c r="J89" s="165">
        <f>+IF(K89="","",IF(K87=0,"",(K87*J87)/(K89*60)))</f>
        <v>0.89140476190476181</v>
      </c>
      <c r="K89" s="118">
        <v>42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18.93</v>
      </c>
      <c r="Z89" s="365">
        <v>15.46</v>
      </c>
      <c r="AA89" s="465">
        <f t="shared" si="106"/>
        <v>0</v>
      </c>
      <c r="AB89" s="367"/>
      <c r="AC89" s="367"/>
      <c r="AD89" s="368">
        <f>+IFERROR(AD87/(K87*$AQ$3),"")</f>
        <v>1.0423645320197044</v>
      </c>
      <c r="AE89" s="369"/>
      <c r="AF89" s="347"/>
      <c r="AG89" s="347">
        <f t="shared" si="2"/>
        <v>0</v>
      </c>
      <c r="AH89" s="341">
        <f t="shared" si="3"/>
        <v>0</v>
      </c>
      <c r="AI89" s="341"/>
      <c r="AJ89" s="356"/>
      <c r="AK89" s="370">
        <f>+$AJ$4</f>
        <v>8.25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1.0935960591133005</v>
      </c>
      <c r="AV89" s="390"/>
    </row>
    <row r="90" spans="2:59" s="98" customFormat="1" ht="62.25" customHeight="1" thickTop="1" x14ac:dyDescent="0.9">
      <c r="B90" s="373">
        <f>+B91</f>
        <v>16</v>
      </c>
      <c r="C90" s="405"/>
      <c r="D90" s="106"/>
      <c r="E90" s="106"/>
      <c r="F90" s="106"/>
      <c r="G90" s="540" t="s">
        <v>432</v>
      </c>
      <c r="H90" s="106"/>
      <c r="I90" s="106"/>
      <c r="J90" s="107" t="s">
        <v>20</v>
      </c>
      <c r="K90" s="108" t="s">
        <v>23</v>
      </c>
      <c r="L90" s="100" t="s">
        <v>21</v>
      </c>
      <c r="M90" s="448"/>
      <c r="N90" s="448"/>
      <c r="O90" s="448"/>
      <c r="P90" s="448"/>
      <c r="Q90" s="448"/>
      <c r="R90" s="448"/>
      <c r="S90" s="448"/>
      <c r="T90" s="448"/>
      <c r="U90" s="448"/>
      <c r="V90" s="448"/>
      <c r="W90" s="448"/>
      <c r="X90" s="447" t="str">
        <f t="shared" si="83"/>
        <v/>
      </c>
      <c r="Y90" s="466">
        <v>-966</v>
      </c>
      <c r="Z90" s="533">
        <f>+X92</f>
        <v>0</v>
      </c>
      <c r="AA90" s="447">
        <f t="shared" si="96"/>
        <v>0</v>
      </c>
      <c r="AB90" s="343">
        <f>+AC90+AA90</f>
        <v>3661</v>
      </c>
      <c r="AC90" s="343">
        <v>3661</v>
      </c>
      <c r="AD90" s="344"/>
      <c r="AE90" s="345"/>
      <c r="AF90" s="346"/>
      <c r="AG90" s="347">
        <f t="shared" si="2"/>
        <v>0</v>
      </c>
      <c r="AH90" s="341">
        <f t="shared" si="3"/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59" s="98" customFormat="1" ht="62.25" customHeight="1" x14ac:dyDescent="0.9">
      <c r="B91" s="374">
        <v>16</v>
      </c>
      <c r="C91" s="406">
        <f>+B91</f>
        <v>16</v>
      </c>
      <c r="D91" s="407" t="s">
        <v>431</v>
      </c>
      <c r="E91" s="111"/>
      <c r="F91" s="111" t="s">
        <v>35</v>
      </c>
      <c r="G91" s="541" t="str">
        <f t="shared" ref="G91:G93" si="107">+G90</f>
        <v>2158-755-712</v>
      </c>
      <c r="H91" s="111"/>
      <c r="I91" s="111" t="s">
        <v>33</v>
      </c>
      <c r="J91" s="113">
        <v>51.42</v>
      </c>
      <c r="K91" s="130">
        <v>52</v>
      </c>
      <c r="L91" s="101" t="s">
        <v>17</v>
      </c>
      <c r="M91" s="214"/>
      <c r="N91" s="214"/>
      <c r="O91" s="214"/>
      <c r="P91" s="214"/>
      <c r="Q91" s="214"/>
      <c r="R91" s="214"/>
      <c r="S91" s="214"/>
      <c r="T91" s="214"/>
      <c r="U91" s="214"/>
      <c r="V91" s="214"/>
      <c r="W91" s="214"/>
      <c r="X91" s="123">
        <f t="shared" ref="X91" si="108">+IF(H92="s",0,IF(AA91=0,0,IF(COUNTA(M91:W91)=AK93+0.75,SUMIF($C:$C,B91,$AA:$AA)/AK93,SUMIF($C:$C,B91,$AA:$AA)/(COUNTA(M91:W91)))))</f>
        <v>0</v>
      </c>
      <c r="Y91" s="466"/>
      <c r="Z91" s="534"/>
      <c r="AA91" s="134">
        <f t="shared" si="96"/>
        <v>0</v>
      </c>
      <c r="AB91" s="354">
        <f>+AA91+AC91</f>
        <v>3659</v>
      </c>
      <c r="AC91" s="354">
        <v>3659</v>
      </c>
      <c r="AD91" s="355">
        <f>+AB90-AB91</f>
        <v>2</v>
      </c>
      <c r="AE91" s="131" t="str">
        <f>+IF(((AA92+(AA93/2))*60)=0,"",(J91*AA91)/((AA92+(AA93/2))*60))</f>
        <v/>
      </c>
      <c r="AF91" s="347">
        <f>+AA92+AA93/2</f>
        <v>0</v>
      </c>
      <c r="AG91" s="347">
        <f t="shared" si="2"/>
        <v>0</v>
      </c>
      <c r="AH91" s="341">
        <f t="shared" si="3"/>
        <v>0</v>
      </c>
      <c r="AI91" s="341">
        <f>+AA91*J91</f>
        <v>0</v>
      </c>
      <c r="AJ91" s="356">
        <f>+AA91-(AF91*K91/K93)</f>
        <v>0</v>
      </c>
      <c r="AK91" s="348"/>
      <c r="AL91" s="349"/>
      <c r="AM91" s="341"/>
      <c r="AN91" s="341"/>
      <c r="AO91" s="341"/>
      <c r="AP91" s="341"/>
      <c r="AQ91" s="339" t="str">
        <f t="shared" ref="AQ91" si="109">IF(AR91=0,"",AT91-(($AQ$3*K91)+($AQ$3*K91)*AR91)+AA90)</f>
        <v/>
      </c>
      <c r="AR91" s="434"/>
      <c r="AT91" s="390">
        <v>2</v>
      </c>
      <c r="AV91" s="390">
        <f t="shared" ref="AV91" si="110">+AT91-AD91</f>
        <v>0</v>
      </c>
      <c r="AW91" s="536"/>
      <c r="AX91" s="536"/>
      <c r="AY91" s="536"/>
      <c r="AZ91" s="536"/>
      <c r="BA91" s="536"/>
      <c r="BB91" s="536"/>
      <c r="BC91" s="536"/>
      <c r="BD91" s="536"/>
      <c r="BE91" s="536"/>
      <c r="BF91" s="536"/>
      <c r="BG91" s="536"/>
    </row>
    <row r="92" spans="2:59" s="98" customFormat="1" ht="62.25" customHeight="1" x14ac:dyDescent="0.9">
      <c r="B92" s="357">
        <f>+B91</f>
        <v>16</v>
      </c>
      <c r="C92" s="408"/>
      <c r="D92" s="184"/>
      <c r="E92" s="111">
        <f>+B91</f>
        <v>16</v>
      </c>
      <c r="F92" s="409"/>
      <c r="G92" s="541" t="str">
        <f t="shared" si="107"/>
        <v>2158-755-712</v>
      </c>
      <c r="H92" s="411" t="s">
        <v>414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48"/>
      <c r="N92" s="448"/>
      <c r="O92" s="448"/>
      <c r="P92" s="448"/>
      <c r="Q92" s="448"/>
      <c r="R92" s="448"/>
      <c r="S92" s="448"/>
      <c r="T92" s="448"/>
      <c r="U92" s="448"/>
      <c r="V92" s="448"/>
      <c r="W92" s="448"/>
      <c r="X92" s="160">
        <f t="shared" ref="X92" si="111">+IF(H92="l",IF(COUNTA(M91:W91)=AK93+0.75,AA91-K91*AK93,AA91-(K91*COUNTA(M91:W91))),IF(H92="s",0,IF(COUNTA(M91:W91)=AK93+0.75,SUMIF($C:$C,B91,$AA:$AA)-K91*AK93,SUMIF($C:$C,B91,$AA:$AA)-K91*COUNTA(M91:W91))))</f>
        <v>0</v>
      </c>
      <c r="Y92" s="466"/>
      <c r="Z92" s="534"/>
      <c r="AA92" s="462">
        <f t="shared" ref="AA92:AA93" si="112">+SUM(M92:W92)-U92*0.75</f>
        <v>0</v>
      </c>
      <c r="AB92" s="360"/>
      <c r="AC92" s="360"/>
      <c r="AD92" s="362"/>
      <c r="AE92" s="363"/>
      <c r="AF92" s="346"/>
      <c r="AG92" s="347">
        <f t="shared" si="2"/>
        <v>0</v>
      </c>
      <c r="AH92" s="341">
        <f t="shared" si="3"/>
        <v>0</v>
      </c>
      <c r="AI92" s="341"/>
      <c r="AJ92" s="341"/>
      <c r="AK92" s="348"/>
      <c r="AL92" s="349">
        <f>+IF(AK93=7.75,SUM(M92:S92)+T92*0.75,IF(AK93=8,SUM(M92:T92),IF(AK93=7.25,SUM(M92:S92)+T92*0.25,IF(AK93=8.25,SUM(M92:T92)+U92*0.25,IF(AK93=8.75,SUM(M92:T92)+U92*0.75,0)))))</f>
        <v>0</v>
      </c>
      <c r="AM92" s="341">
        <f>+AL92-AA92</f>
        <v>0</v>
      </c>
      <c r="AN92" s="341"/>
      <c r="AO92" s="341"/>
      <c r="AP92" s="341"/>
      <c r="AQ92" s="438"/>
      <c r="AR92" s="434"/>
      <c r="AT92" s="390"/>
      <c r="AV92" s="390"/>
    </row>
    <row r="93" spans="2:59" s="98" customFormat="1" ht="62.25" customHeight="1" thickBot="1" x14ac:dyDescent="0.95">
      <c r="B93" s="375">
        <f>+B91</f>
        <v>16</v>
      </c>
      <c r="C93" s="410"/>
      <c r="D93" s="413" t="s">
        <v>152</v>
      </c>
      <c r="E93" s="175">
        <f>+E92+100</f>
        <v>116</v>
      </c>
      <c r="F93" s="175"/>
      <c r="G93" s="542" t="str">
        <f t="shared" si="107"/>
        <v>2158-755-712</v>
      </c>
      <c r="H93" s="117"/>
      <c r="I93" s="442"/>
      <c r="J93" s="165">
        <f>+IF(K93="","",IF(K91=0,"",(K91*J91)/(K93*60)))</f>
        <v>0.87380392156862752</v>
      </c>
      <c r="K93" s="118">
        <v>51</v>
      </c>
      <c r="L93" s="104" t="s">
        <v>19</v>
      </c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173"/>
      <c r="Y93" s="365">
        <v>18.93</v>
      </c>
      <c r="Z93" s="365">
        <v>18.93</v>
      </c>
      <c r="AA93" s="465">
        <f t="shared" si="112"/>
        <v>0</v>
      </c>
      <c r="AB93" s="367"/>
      <c r="AC93" s="367"/>
      <c r="AD93" s="368">
        <f>+IFERROR(AD91/(K91*$AQ$3),"")</f>
        <v>4.3956043956043956E-3</v>
      </c>
      <c r="AE93" s="369"/>
      <c r="AF93" s="347"/>
      <c r="AG93" s="347">
        <f t="shared" si="2"/>
        <v>0</v>
      </c>
      <c r="AH93" s="341">
        <f t="shared" si="3"/>
        <v>0</v>
      </c>
      <c r="AI93" s="341"/>
      <c r="AJ93" s="356"/>
      <c r="AK93" s="370">
        <f>+$AJ$4</f>
        <v>8.25</v>
      </c>
      <c r="AL93" s="349">
        <f>+IF(AK93=7.75,SUM(M93:S93)+T93*0.75,IF(AK93=8,SUM(M93:T93),IF(AK93=7.25,SUM(M93:S93)+T93*0.25,IF(AK93=8.25,SUM(M93:T93)+U93*0.25,IF(AK93=8.75,SUM(M93:T93)+U93*0.75,0)))))</f>
        <v>0</v>
      </c>
      <c r="AM93" s="341">
        <f>+AL93-AA93</f>
        <v>0</v>
      </c>
      <c r="AN93" s="341"/>
      <c r="AO93" s="341"/>
      <c r="AP93" s="341"/>
      <c r="AQ93" s="369"/>
      <c r="AR93" s="434"/>
      <c r="AT93" s="390">
        <v>4.3956043956043956E-3</v>
      </c>
      <c r="AV93" s="390"/>
    </row>
    <row r="94" spans="2:59" s="98" customFormat="1" ht="62.25" customHeight="1" thickTop="1" x14ac:dyDescent="0.9">
      <c r="B94" s="373">
        <f>+B95</f>
        <v>16</v>
      </c>
      <c r="C94" s="405"/>
      <c r="D94" s="106"/>
      <c r="E94" s="106"/>
      <c r="F94" s="106"/>
      <c r="G94" s="540" t="s">
        <v>476</v>
      </c>
      <c r="H94" s="106"/>
      <c r="I94" s="106"/>
      <c r="J94" s="107" t="s">
        <v>20</v>
      </c>
      <c r="K94" s="108" t="s">
        <v>23</v>
      </c>
      <c r="L94" s="100" t="s">
        <v>21</v>
      </c>
      <c r="M94" s="448">
        <v>120</v>
      </c>
      <c r="N94" s="448">
        <v>180</v>
      </c>
      <c r="O94" s="448">
        <v>120</v>
      </c>
      <c r="P94" s="448">
        <v>120</v>
      </c>
      <c r="Q94" s="448">
        <v>60</v>
      </c>
      <c r="R94" s="448"/>
      <c r="S94" s="448"/>
      <c r="T94" s="448"/>
      <c r="U94" s="448"/>
      <c r="V94" s="448"/>
      <c r="W94" s="448"/>
      <c r="X94" s="447">
        <f t="shared" si="83"/>
        <v>600</v>
      </c>
      <c r="Y94" s="466">
        <v>0</v>
      </c>
      <c r="Z94" s="533">
        <f>+X96</f>
        <v>-757</v>
      </c>
      <c r="AA94" s="447">
        <f t="shared" si="96"/>
        <v>600</v>
      </c>
      <c r="AB94" s="343">
        <f>+AC94+AA94</f>
        <v>2280</v>
      </c>
      <c r="AC94" s="343">
        <v>1680</v>
      </c>
      <c r="AD94" s="344"/>
      <c r="AE94" s="345"/>
      <c r="AF94" s="346"/>
      <c r="AG94" s="347">
        <f t="shared" si="2"/>
        <v>0</v>
      </c>
      <c r="AH94" s="341">
        <f t="shared" si="3"/>
        <v>0</v>
      </c>
      <c r="AI94" s="341"/>
      <c r="AJ94" s="341"/>
      <c r="AK94" s="348"/>
      <c r="AL94" s="349"/>
      <c r="AM94" s="341"/>
      <c r="AN94" s="341"/>
      <c r="AO94" s="341"/>
      <c r="AP94" s="341"/>
      <c r="AQ94" s="350"/>
      <c r="AR94" s="434"/>
      <c r="AT94" s="390"/>
      <c r="AV94" s="390"/>
    </row>
    <row r="95" spans="2:59" s="98" customFormat="1" ht="62.25" customHeight="1" x14ac:dyDescent="0.9">
      <c r="B95" s="374">
        <v>16</v>
      </c>
      <c r="C95" s="406">
        <f>+B95</f>
        <v>16</v>
      </c>
      <c r="D95" s="407" t="s">
        <v>474</v>
      </c>
      <c r="E95" s="111"/>
      <c r="F95" s="111" t="s">
        <v>475</v>
      </c>
      <c r="G95" s="541" t="str">
        <f t="shared" ref="G95:G97" si="113">+G94</f>
        <v>Cheristina-blanc</v>
      </c>
      <c r="H95" s="111"/>
      <c r="I95" s="111" t="s">
        <v>477</v>
      </c>
      <c r="J95" s="113">
        <v>21.04</v>
      </c>
      <c r="K95" s="130">
        <v>140</v>
      </c>
      <c r="L95" s="101" t="s">
        <v>17</v>
      </c>
      <c r="M95" s="214">
        <v>30</v>
      </c>
      <c r="N95" s="214">
        <v>45</v>
      </c>
      <c r="O95" s="214">
        <v>50</v>
      </c>
      <c r="P95" s="214">
        <v>35</v>
      </c>
      <c r="Q95" s="214">
        <v>55</v>
      </c>
      <c r="R95" s="214">
        <v>60</v>
      </c>
      <c r="S95" s="214">
        <v>55</v>
      </c>
      <c r="T95" s="214">
        <v>60</v>
      </c>
      <c r="U95" s="214">
        <v>8</v>
      </c>
      <c r="V95" s="214"/>
      <c r="W95" s="214"/>
      <c r="X95" s="123">
        <f t="shared" ref="X95" si="114">+IF(H96="s",0,IF(AA95=0,0,IF(COUNTA(M95:W95)=AK97+0.75,SUMIF($C:$C,B95,$AA:$AA)/AK97,SUMIF($C:$C,B95,$AA:$AA)/(COUNTA(M95:W95)))))</f>
        <v>48.242424242424242</v>
      </c>
      <c r="Y95" s="466"/>
      <c r="Z95" s="534"/>
      <c r="AA95" s="134">
        <f t="shared" si="96"/>
        <v>398</v>
      </c>
      <c r="AB95" s="354">
        <f>+AA95+AC95</f>
        <v>782</v>
      </c>
      <c r="AC95" s="354">
        <v>384</v>
      </c>
      <c r="AD95" s="355">
        <f>+AB94-AB95</f>
        <v>1498</v>
      </c>
      <c r="AE95" s="131">
        <f>+IF(((AA96+(AA97/2))*60)=0,"",(J95*AA95)/((AA96+(AA97/2))*60))</f>
        <v>0.32139397428516597</v>
      </c>
      <c r="AF95" s="347">
        <f>+AA96+AA97/2</f>
        <v>434.25</v>
      </c>
      <c r="AG95" s="347">
        <f t="shared" si="2"/>
        <v>434.15</v>
      </c>
      <c r="AH95" s="341">
        <f t="shared" si="3"/>
        <v>26055</v>
      </c>
      <c r="AI95" s="341">
        <f>+AA95*J95</f>
        <v>8373.92</v>
      </c>
      <c r="AJ95" s="356">
        <f>+AA95-(AF95*K95/K97)</f>
        <v>-687.625</v>
      </c>
      <c r="AK95" s="348"/>
      <c r="AL95" s="349"/>
      <c r="AM95" s="341"/>
      <c r="AN95" s="341"/>
      <c r="AO95" s="341"/>
      <c r="AP95" s="341"/>
      <c r="AQ95" s="339">
        <f>-600+AA94</f>
        <v>0</v>
      </c>
      <c r="AR95" s="434">
        <v>1.5</v>
      </c>
      <c r="AT95" s="390">
        <v>1255</v>
      </c>
      <c r="AV95" s="390">
        <f t="shared" ref="AV95" si="115">+AT95-AD95</f>
        <v>-243</v>
      </c>
      <c r="AW95" s="536"/>
      <c r="AX95" s="536"/>
      <c r="AY95" s="536"/>
      <c r="AZ95" s="536"/>
      <c r="BA95" s="536"/>
      <c r="BB95" s="536"/>
      <c r="BC95" s="536"/>
      <c r="BD95" s="536"/>
      <c r="BE95" s="536"/>
      <c r="BF95" s="536"/>
      <c r="BG95" s="536"/>
    </row>
    <row r="96" spans="2:59" s="98" customFormat="1" ht="62.25" customHeight="1" x14ac:dyDescent="0.9">
      <c r="B96" s="357">
        <f>+B95</f>
        <v>16</v>
      </c>
      <c r="C96" s="408"/>
      <c r="D96" s="184"/>
      <c r="E96" s="111">
        <f>+B95</f>
        <v>16</v>
      </c>
      <c r="F96" s="409"/>
      <c r="G96" s="541" t="str">
        <f t="shared" si="113"/>
        <v>Cheristina-blanc</v>
      </c>
      <c r="H96" s="411" t="s">
        <v>413</v>
      </c>
      <c r="I96" s="113">
        <f>+IFERROR(IF(K97=0,0,IF((LOOKUP(2,1/(M96:W96&lt;&gt;""),M96:W96)-K97)&lt;0,0,IF(K97=0,"",LOOKUP(2,1/(M96:W96&lt;&gt;""),M96:W96)-K97))),0)</f>
        <v>0</v>
      </c>
      <c r="J96" s="113"/>
      <c r="K96" s="114" t="s">
        <v>22</v>
      </c>
      <c r="L96" s="102" t="s">
        <v>18</v>
      </c>
      <c r="M96" s="448">
        <v>50</v>
      </c>
      <c r="N96" s="448">
        <v>53</v>
      </c>
      <c r="O96" s="448">
        <v>53</v>
      </c>
      <c r="P96" s="448">
        <v>53</v>
      </c>
      <c r="Q96" s="448">
        <v>53</v>
      </c>
      <c r="R96" s="448">
        <v>53</v>
      </c>
      <c r="S96" s="448">
        <v>53</v>
      </c>
      <c r="T96" s="448">
        <v>53</v>
      </c>
      <c r="U96" s="448">
        <v>53</v>
      </c>
      <c r="V96" s="448"/>
      <c r="W96" s="448"/>
      <c r="X96" s="160">
        <f t="shared" ref="X96" si="116">+IF(H96="l",IF(COUNTA(M95:W95)=AK97+0.75,AA95-K95*AK97,AA95-(K95*COUNTA(M95:W95))),IF(H96="s",0,IF(COUNTA(M95:W95)=AK97+0.75,SUMIF($C:$C,B95,$AA:$AA)-K95*AK97,SUMIF($C:$C,B95,$AA:$AA)-K95*COUNTA(M95:W95))))</f>
        <v>-757</v>
      </c>
      <c r="Y96" s="466"/>
      <c r="Z96" s="534"/>
      <c r="AA96" s="462">
        <f t="shared" ref="AA96:AA97" si="117">+SUM(M96:W96)-U96*0.75</f>
        <v>434.25</v>
      </c>
      <c r="AB96" s="360"/>
      <c r="AC96" s="360"/>
      <c r="AD96" s="362"/>
      <c r="AE96" s="363"/>
      <c r="AF96" s="346"/>
      <c r="AG96" s="347">
        <f t="shared" si="2"/>
        <v>0</v>
      </c>
      <c r="AH96" s="341">
        <f t="shared" si="3"/>
        <v>0</v>
      </c>
      <c r="AI96" s="341"/>
      <c r="AJ96" s="341"/>
      <c r="AK96" s="348"/>
      <c r="AL96" s="349">
        <f>+IF(AK97=7.75,SUM(M96:S96)+T96*0.75,IF(AK97=8,SUM(M96:T96),IF(AK97=7.25,SUM(M96:S96)+T96*0.25,IF(AK97=8.25,SUM(M96:T96)+U96*0.25,IF(AK97=8.75,SUM(M96:T96)+U96*0.75,0)))))</f>
        <v>434.25</v>
      </c>
      <c r="AM96" s="341">
        <f>+AL96-AA96</f>
        <v>0</v>
      </c>
      <c r="AN96" s="341"/>
      <c r="AO96" s="341"/>
      <c r="AP96" s="341"/>
      <c r="AQ96" s="438"/>
      <c r="AR96" s="434"/>
      <c r="AT96" s="390"/>
      <c r="AV96" s="390"/>
    </row>
    <row r="97" spans="2:48" s="98" customFormat="1" ht="62.25" customHeight="1" thickBot="1" x14ac:dyDescent="0.95">
      <c r="B97" s="375">
        <f>+B95</f>
        <v>16</v>
      </c>
      <c r="C97" s="410"/>
      <c r="D97" s="413" t="s">
        <v>152</v>
      </c>
      <c r="E97" s="175">
        <f>+E96+100</f>
        <v>116</v>
      </c>
      <c r="F97" s="175"/>
      <c r="G97" s="542" t="str">
        <f t="shared" si="113"/>
        <v>Cheristina-blanc</v>
      </c>
      <c r="H97" s="117"/>
      <c r="I97" s="442"/>
      <c r="J97" s="165">
        <f>+IF(K97="","",IF(K95=0,"",(K95*J95)/(K97*60)))</f>
        <v>0.87666666666666659</v>
      </c>
      <c r="K97" s="118">
        <v>56</v>
      </c>
      <c r="L97" s="104" t="s">
        <v>19</v>
      </c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173"/>
      <c r="Y97" s="467">
        <v>22.51</v>
      </c>
      <c r="Z97" s="371">
        <f>+IF(COUNTA(M95:W95)=$AJ$4+0.25,$AJ$4-(AA95/K95),COUNTA(M95:W95)-(AA95/K95))+Y97</f>
        <v>28.667142857142856</v>
      </c>
      <c r="AA97" s="465">
        <f t="shared" si="117"/>
        <v>0</v>
      </c>
      <c r="AB97" s="367"/>
      <c r="AC97" s="367"/>
      <c r="AD97" s="368">
        <f>+IFERROR(AD95/(K95*$AQ$3),"")</f>
        <v>1.2228571428571429</v>
      </c>
      <c r="AE97" s="369"/>
      <c r="AF97" s="347"/>
      <c r="AG97" s="347">
        <f t="shared" si="2"/>
        <v>0</v>
      </c>
      <c r="AH97" s="341">
        <f t="shared" si="3"/>
        <v>0</v>
      </c>
      <c r="AI97" s="341"/>
      <c r="AJ97" s="356"/>
      <c r="AK97" s="370">
        <f>+$AJ$4</f>
        <v>8.25</v>
      </c>
      <c r="AL97" s="349">
        <f>+IF(AK97=7.75,SUM(M97:S97)+T97*0.75,IF(AK97=8,SUM(M97:T97),IF(AK97=7.25,SUM(M97:S97)+T97*0.25,IF(AK97=8.25,SUM(M97:T97)+U97*0.25,IF(AK97=8.75,SUM(M97:T97)+U97*0.75,0)))))</f>
        <v>0</v>
      </c>
      <c r="AM97" s="341">
        <f>+AL97-AA97</f>
        <v>0</v>
      </c>
      <c r="AN97" s="341"/>
      <c r="AO97" s="341"/>
      <c r="AP97" s="341"/>
      <c r="AQ97" s="369"/>
      <c r="AR97" s="434"/>
      <c r="AT97" s="390">
        <v>1.0244897959183674</v>
      </c>
      <c r="AV97" s="390"/>
    </row>
    <row r="98" spans="2:48" s="98" customFormat="1" ht="62.25" customHeight="1" thickTop="1" x14ac:dyDescent="0.9">
      <c r="B98" s="342">
        <f>+B99</f>
        <v>17</v>
      </c>
      <c r="C98" s="405"/>
      <c r="D98" s="106"/>
      <c r="E98" s="106"/>
      <c r="F98" s="106"/>
      <c r="G98" s="539" t="s">
        <v>442</v>
      </c>
      <c r="H98" s="106"/>
      <c r="I98" s="111"/>
      <c r="J98" s="107" t="s">
        <v>20</v>
      </c>
      <c r="K98" s="108" t="s">
        <v>23</v>
      </c>
      <c r="L98" s="100" t="s">
        <v>21</v>
      </c>
      <c r="M98" s="448">
        <v>120</v>
      </c>
      <c r="N98" s="448">
        <v>60</v>
      </c>
      <c r="O98" s="448"/>
      <c r="P98" s="448"/>
      <c r="Q98" s="448">
        <v>60</v>
      </c>
      <c r="R98" s="448">
        <v>120</v>
      </c>
      <c r="S98" s="448"/>
      <c r="T98" s="448"/>
      <c r="U98" s="448"/>
      <c r="V98" s="448"/>
      <c r="W98" s="448"/>
      <c r="X98" s="447">
        <f t="shared" si="83"/>
        <v>360</v>
      </c>
      <c r="Y98" s="466">
        <v>-288.75</v>
      </c>
      <c r="Z98" s="533">
        <f>+X100</f>
        <v>0.75</v>
      </c>
      <c r="AA98" s="447">
        <f t="shared" si="96"/>
        <v>360</v>
      </c>
      <c r="AB98" s="343">
        <f>+AC98+AA98</f>
        <v>1800</v>
      </c>
      <c r="AC98" s="343">
        <v>1440</v>
      </c>
      <c r="AD98" s="344"/>
      <c r="AE98" s="345"/>
      <c r="AF98" s="346"/>
      <c r="AG98" s="347">
        <f t="shared" ref="AG98:AG109" si="118">TRUNC(AF98)+(AF98-TRUNC(AF98))*60/100</f>
        <v>0</v>
      </c>
      <c r="AH98" s="341">
        <f t="shared" ref="AH98:AH109" si="119">+AF98*60</f>
        <v>0</v>
      </c>
      <c r="AI98" s="341"/>
      <c r="AJ98" s="341"/>
      <c r="AK98" s="348"/>
      <c r="AL98" s="349"/>
      <c r="AM98" s="341"/>
      <c r="AN98" s="341"/>
      <c r="AO98" s="341"/>
      <c r="AP98" s="341"/>
      <c r="AQ98" s="350"/>
      <c r="AR98" s="434"/>
      <c r="AT98" s="390"/>
      <c r="AV98" s="390"/>
    </row>
    <row r="99" spans="2:48" s="98" customFormat="1" ht="62.25" customHeight="1" x14ac:dyDescent="0.9">
      <c r="B99" s="351">
        <v>17</v>
      </c>
      <c r="C99" s="406">
        <f>+B99</f>
        <v>17</v>
      </c>
      <c r="D99" s="407" t="s">
        <v>441</v>
      </c>
      <c r="E99" s="111"/>
      <c r="F99" s="111" t="s">
        <v>35</v>
      </c>
      <c r="G99" s="539" t="str">
        <f t="shared" ref="G99:G101" si="120">+G98</f>
        <v>2259-600-730</v>
      </c>
      <c r="H99" s="111"/>
      <c r="I99" s="111" t="s">
        <v>33</v>
      </c>
      <c r="J99" s="113">
        <v>34.450000000000003</v>
      </c>
      <c r="K99" s="130">
        <v>61</v>
      </c>
      <c r="L99" s="101" t="s">
        <v>17</v>
      </c>
      <c r="M99" s="214">
        <v>30</v>
      </c>
      <c r="N99" s="214">
        <v>40</v>
      </c>
      <c r="O99" s="214">
        <v>45</v>
      </c>
      <c r="P99" s="214">
        <v>55</v>
      </c>
      <c r="Q99" s="214">
        <v>80</v>
      </c>
      <c r="R99" s="214">
        <v>43</v>
      </c>
      <c r="S99" s="214">
        <v>113</v>
      </c>
      <c r="T99" s="214">
        <v>60</v>
      </c>
      <c r="U99" s="214">
        <v>38</v>
      </c>
      <c r="V99" s="214"/>
      <c r="W99" s="214"/>
      <c r="X99" s="123">
        <f t="shared" ref="X99" si="121">+IF(H100="s",0,IF(AA99=0,0,IF(COUNTA(M99:W99)=AK101+0.75,SUMIF($C:$C,B99,$AA:$AA)/AK101,SUMIF($C:$C,B99,$AA:$AA)/(COUNTA(M99:W99)))))</f>
        <v>61.090909090909093</v>
      </c>
      <c r="Y99" s="466"/>
      <c r="Z99" s="534"/>
      <c r="AA99" s="134">
        <f t="shared" si="96"/>
        <v>504</v>
      </c>
      <c r="AB99" s="354">
        <f>+AA99+AC99</f>
        <v>794</v>
      </c>
      <c r="AC99" s="354">
        <v>290</v>
      </c>
      <c r="AD99" s="355">
        <f>+AB98-AB99</f>
        <v>1006</v>
      </c>
      <c r="AE99" s="131">
        <f>+IF(((AA100+(AA101/2))*60)=0,"",(J99*AA99)/((AA100+(AA101/2))*60))</f>
        <v>0.89939393939393952</v>
      </c>
      <c r="AF99" s="347">
        <f>+AA100+AA101/2</f>
        <v>321.75</v>
      </c>
      <c r="AG99" s="347">
        <f t="shared" si="118"/>
        <v>321.45</v>
      </c>
      <c r="AH99" s="341">
        <f t="shared" si="119"/>
        <v>19305</v>
      </c>
      <c r="AI99" s="341">
        <f>+AA99*J99</f>
        <v>17362.800000000003</v>
      </c>
      <c r="AJ99" s="356">
        <f>+AA99-(AF99*K99/K101)</f>
        <v>-12.493421052631561</v>
      </c>
      <c r="AK99" s="348"/>
      <c r="AL99" s="349"/>
      <c r="AM99" s="341"/>
      <c r="AN99" s="341"/>
      <c r="AO99" s="341"/>
      <c r="AP99" s="341"/>
      <c r="AQ99" s="339">
        <f t="shared" ref="AQ99" si="122">IF(AR99=0,"",AT99-(($AQ$3*K99)+($AQ$3*K99)*AR99)+AA98)</f>
        <v>120.625</v>
      </c>
      <c r="AR99" s="434">
        <v>1.5</v>
      </c>
      <c r="AT99" s="390">
        <v>1095</v>
      </c>
      <c r="AV99" s="390">
        <f t="shared" ref="AV99" si="123">+AT99-AD99</f>
        <v>89</v>
      </c>
    </row>
    <row r="100" spans="2:48" s="98" customFormat="1" ht="62.25" customHeight="1" x14ac:dyDescent="0.9">
      <c r="B100" s="357">
        <f>+B99</f>
        <v>17</v>
      </c>
      <c r="C100" s="408"/>
      <c r="D100" s="184"/>
      <c r="E100" s="111">
        <f>+B99</f>
        <v>17</v>
      </c>
      <c r="F100" s="409"/>
      <c r="G100" s="539" t="str">
        <f t="shared" si="120"/>
        <v>2259-600-730</v>
      </c>
      <c r="H100" s="411" t="s">
        <v>413</v>
      </c>
      <c r="I100" s="113">
        <f>+IFERROR(IF(K101=0,0,IF((LOOKUP(2,1/(M100:W100&lt;&gt;""),M100:W100)-K101)&lt;0,0,IF(K101=0,"",LOOKUP(2,1/(M100:W100&lt;&gt;""),M100:W100)-K101))),0)</f>
        <v>1</v>
      </c>
      <c r="J100" s="113">
        <v>0</v>
      </c>
      <c r="K100" s="114" t="s">
        <v>22</v>
      </c>
      <c r="L100" s="102" t="s">
        <v>18</v>
      </c>
      <c r="M100" s="448">
        <v>39</v>
      </c>
      <c r="N100" s="448">
        <v>39</v>
      </c>
      <c r="O100" s="448">
        <v>39</v>
      </c>
      <c r="P100" s="448">
        <v>39</v>
      </c>
      <c r="Q100" s="448">
        <v>39</v>
      </c>
      <c r="R100" s="448">
        <v>39</v>
      </c>
      <c r="S100" s="448">
        <v>39</v>
      </c>
      <c r="T100" s="448">
        <v>39</v>
      </c>
      <c r="U100" s="448">
        <v>39</v>
      </c>
      <c r="V100" s="448"/>
      <c r="W100" s="448"/>
      <c r="X100" s="160">
        <f t="shared" ref="X100" si="124">+IF(H100="l",IF(COUNTA(M99:W99)=AK101+0.75,AA99-K99*AK101,AA99-(K99*COUNTA(M99:W99))),IF(H100="s",0,IF(COUNTA(M99:W99)=AK101+0.75,SUMIF($C:$C,B99,$AA:$AA)-K99*AK101,SUMIF($C:$C,B99,$AA:$AA)-K99*COUNTA(M99:W99))))</f>
        <v>0.75</v>
      </c>
      <c r="Y100" s="466"/>
      <c r="Z100" s="534"/>
      <c r="AA100" s="462">
        <f t="shared" ref="AA100:AA101" si="125">+SUM(M100:W100)-U100*0.75</f>
        <v>321.75</v>
      </c>
      <c r="AB100" s="360"/>
      <c r="AC100" s="360"/>
      <c r="AD100" s="362"/>
      <c r="AE100" s="363"/>
      <c r="AF100" s="346"/>
      <c r="AG100" s="347">
        <f t="shared" si="118"/>
        <v>0</v>
      </c>
      <c r="AH100" s="341">
        <f t="shared" si="119"/>
        <v>0</v>
      </c>
      <c r="AI100" s="341"/>
      <c r="AJ100" s="341"/>
      <c r="AK100" s="348"/>
      <c r="AL100" s="349">
        <f>+IF(AK101=7.75,SUM(M100:S100)+T100*0.75,IF(AK101=8,SUM(M100:T100),IF(AK101=7.25,SUM(M100:S100)+T100*0.25,IF(AK101=8.25,SUM(M100:T100)+U100*0.25,IF(AK101=8.75,SUM(M100:T100)+U100*0.75,0)))))</f>
        <v>321.75</v>
      </c>
      <c r="AM100" s="341">
        <f>+AL100-AA100</f>
        <v>0</v>
      </c>
      <c r="AN100" s="341"/>
      <c r="AO100" s="341"/>
      <c r="AP100" s="341"/>
      <c r="AQ100" s="438"/>
      <c r="AR100" s="434"/>
      <c r="AT100" s="390"/>
      <c r="AV100" s="390"/>
    </row>
    <row r="101" spans="2:48" s="98" customFormat="1" ht="62.25" customHeight="1" thickBot="1" x14ac:dyDescent="0.95">
      <c r="B101" s="364">
        <f>+B99</f>
        <v>17</v>
      </c>
      <c r="C101" s="410"/>
      <c r="D101" s="174" t="s">
        <v>379</v>
      </c>
      <c r="E101" s="175">
        <f>+E100+100</f>
        <v>117</v>
      </c>
      <c r="F101" s="175"/>
      <c r="G101" s="539" t="str">
        <f t="shared" si="120"/>
        <v>2259-600-730</v>
      </c>
      <c r="H101" s="117"/>
      <c r="I101" s="442"/>
      <c r="J101" s="165">
        <f>+IF(K101="","",IF(K99=0,"",(K99*J99)/(K101*60)))</f>
        <v>0.92168859649122814</v>
      </c>
      <c r="K101" s="118">
        <v>38</v>
      </c>
      <c r="L101" s="104" t="s">
        <v>19</v>
      </c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173"/>
      <c r="Y101" s="467">
        <v>30.02</v>
      </c>
      <c r="Z101" s="371">
        <f>6.1167+IF(COUNTA(M99:W99)=$AJ$4+0.25,$AJ$4-(AA99/K99),COUNTA(M99:W99)-(AA99/K99))+Y101</f>
        <v>36.874404918032788</v>
      </c>
      <c r="AA101" s="465">
        <f t="shared" si="125"/>
        <v>0</v>
      </c>
      <c r="AB101" s="367"/>
      <c r="AC101" s="367"/>
      <c r="AD101" s="368">
        <f>+IFERROR(AD99/(K99*$AQ$3),"")</f>
        <v>1.8847775175644028</v>
      </c>
      <c r="AE101" s="369"/>
      <c r="AF101" s="347"/>
      <c r="AG101" s="347">
        <f t="shared" si="118"/>
        <v>0</v>
      </c>
      <c r="AH101" s="341">
        <f t="shared" si="119"/>
        <v>0</v>
      </c>
      <c r="AI101" s="341"/>
      <c r="AJ101" s="356"/>
      <c r="AK101" s="370">
        <f>+$AJ$4</f>
        <v>8.25</v>
      </c>
      <c r="AL101" s="349">
        <f>+IF(AK101=7.75,SUM(M101:S101)+T101*0.75,IF(AK101=8,SUM(M101:T101),IF(AK101=7.25,SUM(M101:S101)+T101*0.25,IF(AK101=8.25,SUM(M101:T101)+U101*0.25,IF(AK101=8.75,SUM(M101:T101)+U101*0.75,0)))))</f>
        <v>0</v>
      </c>
      <c r="AM101" s="341">
        <f>+AL101-AA101</f>
        <v>0</v>
      </c>
      <c r="AN101" s="341"/>
      <c r="AO101" s="341"/>
      <c r="AP101" s="341"/>
      <c r="AQ101" s="369"/>
      <c r="AR101" s="434"/>
      <c r="AT101" s="390">
        <v>1.9252747252747253</v>
      </c>
      <c r="AV101" s="390"/>
    </row>
    <row r="102" spans="2:48" s="98" customFormat="1" ht="62.25" customHeight="1" thickTop="1" x14ac:dyDescent="0.9">
      <c r="B102" s="373">
        <f>+B103</f>
        <v>18</v>
      </c>
      <c r="C102" s="405"/>
      <c r="D102" s="106"/>
      <c r="E102" s="106"/>
      <c r="F102" s="106"/>
      <c r="G102" s="540" t="s">
        <v>432</v>
      </c>
      <c r="H102" s="106"/>
      <c r="I102" s="106"/>
      <c r="J102" s="107" t="s">
        <v>20</v>
      </c>
      <c r="K102" s="108" t="s">
        <v>23</v>
      </c>
      <c r="L102" s="100" t="s">
        <v>21</v>
      </c>
      <c r="M102" s="448"/>
      <c r="N102" s="448"/>
      <c r="O102" s="448"/>
      <c r="P102" s="448"/>
      <c r="Q102" s="448"/>
      <c r="R102" s="448"/>
      <c r="S102" s="448"/>
      <c r="T102" s="448"/>
      <c r="U102" s="448"/>
      <c r="V102" s="448"/>
      <c r="W102" s="448"/>
      <c r="X102" s="447" t="str">
        <f t="shared" si="83"/>
        <v/>
      </c>
      <c r="Y102" s="466">
        <v>-92</v>
      </c>
      <c r="Z102" s="533">
        <f>+X104</f>
        <v>-134</v>
      </c>
      <c r="AA102" s="447">
        <f t="shared" si="96"/>
        <v>0</v>
      </c>
      <c r="AB102" s="343">
        <f>+AC102+AA102</f>
        <v>5533</v>
      </c>
      <c r="AC102" s="343">
        <v>5533</v>
      </c>
      <c r="AD102" s="344"/>
      <c r="AE102" s="345"/>
      <c r="AF102" s="346"/>
      <c r="AG102" s="347">
        <f t="shared" si="118"/>
        <v>0</v>
      </c>
      <c r="AH102" s="341">
        <f t="shared" si="119"/>
        <v>0</v>
      </c>
      <c r="AI102" s="341"/>
      <c r="AJ102" s="341"/>
      <c r="AK102" s="348"/>
      <c r="AL102" s="349"/>
      <c r="AM102" s="341"/>
      <c r="AN102" s="341"/>
      <c r="AO102" s="341"/>
      <c r="AP102" s="341"/>
      <c r="AQ102" s="350"/>
      <c r="AR102" s="434"/>
      <c r="AT102" s="390"/>
      <c r="AV102" s="390"/>
    </row>
    <row r="103" spans="2:48" s="98" customFormat="1" ht="62.25" customHeight="1" x14ac:dyDescent="0.9">
      <c r="B103" s="374">
        <v>18</v>
      </c>
      <c r="C103" s="406">
        <f>+B103</f>
        <v>18</v>
      </c>
      <c r="D103" s="407" t="s">
        <v>431</v>
      </c>
      <c r="E103" s="111"/>
      <c r="F103" s="111" t="s">
        <v>35</v>
      </c>
      <c r="G103" s="541" t="str">
        <f t="shared" ref="G103:G109" si="126">+G102</f>
        <v>2158-755-712</v>
      </c>
      <c r="H103" s="111"/>
      <c r="I103" s="111" t="s">
        <v>33</v>
      </c>
      <c r="J103" s="113">
        <v>51.42</v>
      </c>
      <c r="K103" s="130">
        <v>52</v>
      </c>
      <c r="L103" s="101" t="s">
        <v>17</v>
      </c>
      <c r="M103" s="214">
        <v>30</v>
      </c>
      <c r="N103" s="214">
        <v>25</v>
      </c>
      <c r="O103" s="214">
        <v>25</v>
      </c>
      <c r="P103" s="214">
        <v>20</v>
      </c>
      <c r="Q103" s="214">
        <v>33</v>
      </c>
      <c r="R103" s="214">
        <v>45</v>
      </c>
      <c r="S103" s="214"/>
      <c r="T103" s="214"/>
      <c r="U103" s="214"/>
      <c r="V103" s="214"/>
      <c r="W103" s="214"/>
      <c r="X103" s="123">
        <f t="shared" ref="X103" si="127">+IF(H104="s",0,IF(AA103=0,0,IF(COUNTA(M103:W103)=AK105+0.75,SUMIF($C:$C,B103,$AA:$AA)/AK105,SUMIF($C:$C,B103,$AA:$AA)/(COUNTA(M103:W103)))))</f>
        <v>29.666666666666668</v>
      </c>
      <c r="Y103" s="466"/>
      <c r="Z103" s="534"/>
      <c r="AA103" s="134">
        <f t="shared" si="96"/>
        <v>178</v>
      </c>
      <c r="AB103" s="354">
        <f>+AA103+AC103</f>
        <v>5533</v>
      </c>
      <c r="AC103" s="354">
        <v>5355</v>
      </c>
      <c r="AD103" s="355">
        <f>+AB102-AB103</f>
        <v>0</v>
      </c>
      <c r="AE103" s="131">
        <f>+IF(((AA104+(AA105/2))*60)=0,"",(J103*AA103)/((AA104+(AA105/2))*60))</f>
        <v>0.82013978494623663</v>
      </c>
      <c r="AF103" s="347">
        <f>+AA104+AA105/2</f>
        <v>186</v>
      </c>
      <c r="AG103" s="347">
        <f t="shared" si="118"/>
        <v>186</v>
      </c>
      <c r="AH103" s="341">
        <f t="shared" si="119"/>
        <v>11160</v>
      </c>
      <c r="AI103" s="341">
        <f>+AA103*J103</f>
        <v>9152.76</v>
      </c>
      <c r="AJ103" s="356">
        <f>+AA103-(AF103*K103/K105)</f>
        <v>-11.64705882352942</v>
      </c>
      <c r="AK103" s="348"/>
      <c r="AL103" s="349"/>
      <c r="AM103" s="341"/>
      <c r="AN103" s="341"/>
      <c r="AO103" s="341"/>
      <c r="AP103" s="341"/>
      <c r="AQ103" s="339"/>
      <c r="AR103" s="434"/>
      <c r="AT103" s="390">
        <v>541</v>
      </c>
      <c r="AV103" s="390">
        <f t="shared" ref="AV103" si="128">+AT103-AD103</f>
        <v>541</v>
      </c>
    </row>
    <row r="104" spans="2:48" s="98" customFormat="1" ht="62.25" customHeight="1" x14ac:dyDescent="0.9">
      <c r="B104" s="357">
        <f>+B103</f>
        <v>18</v>
      </c>
      <c r="C104" s="408"/>
      <c r="D104" s="184"/>
      <c r="E104" s="111">
        <f>+B103</f>
        <v>18</v>
      </c>
      <c r="F104" s="409"/>
      <c r="G104" s="541" t="str">
        <f t="shared" si="126"/>
        <v>2158-755-712</v>
      </c>
      <c r="H104" s="411"/>
      <c r="I104" s="113">
        <f>+IFERROR(IF(K105=0,0,IF((LOOKUP(2,1/(M104:W104&lt;&gt;""),M104:W104)-K105)&lt;0,0,IF(K105=0,"",LOOKUP(2,1/(M104:W104&lt;&gt;""),M104:W104)-K105))),0)</f>
        <v>0</v>
      </c>
      <c r="J104" s="113"/>
      <c r="K104" s="114" t="s">
        <v>22</v>
      </c>
      <c r="L104" s="102" t="s">
        <v>18</v>
      </c>
      <c r="M104" s="448">
        <v>40</v>
      </c>
      <c r="N104" s="448">
        <v>38</v>
      </c>
      <c r="O104" s="448">
        <v>30</v>
      </c>
      <c r="P104" s="448">
        <v>25</v>
      </c>
      <c r="Q104" s="448">
        <v>25</v>
      </c>
      <c r="R104" s="448">
        <v>25</v>
      </c>
      <c r="S104" s="448"/>
      <c r="T104" s="448"/>
      <c r="U104" s="448"/>
      <c r="V104" s="448"/>
      <c r="W104" s="448"/>
      <c r="X104" s="160">
        <f t="shared" ref="X104" si="129">+IF(H104="l",IF(COUNTA(M103:W103)=AK105+0.75,AA103-K103*AK105,AA103-(K103*COUNTA(M103:W103))),IF(H104="s",0,IF(COUNTA(M103:W103)=AK105+0.75,SUMIF($C:$C,B103,$AA:$AA)-K103*AK105,SUMIF($C:$C,B103,$AA:$AA)-K103*COUNTA(M103:W103))))</f>
        <v>-134</v>
      </c>
      <c r="Y104" s="466"/>
      <c r="Z104" s="534"/>
      <c r="AA104" s="462">
        <f t="shared" ref="AA104:AA105" si="130">+SUM(M104:W104)-U104*0.75</f>
        <v>183</v>
      </c>
      <c r="AB104" s="361"/>
      <c r="AC104" s="361"/>
      <c r="AD104" s="362"/>
      <c r="AE104" s="363"/>
      <c r="AF104" s="346"/>
      <c r="AG104" s="347">
        <f t="shared" si="118"/>
        <v>0</v>
      </c>
      <c r="AH104" s="341">
        <f t="shared" si="119"/>
        <v>0</v>
      </c>
      <c r="AI104" s="341"/>
      <c r="AJ104" s="341"/>
      <c r="AK104" s="348"/>
      <c r="AL104" s="349">
        <f>+IF(AK105=7.75,SUM(M104:S104)+T104*0.75,IF(AK105=8,SUM(M104:T104),IF(AK105=7.25,SUM(M104:S104)+T104*0.25,IF(AK105=8.25,SUM(M104:T104)+U104*0.25,IF(AK105=8.75,SUM(M104:T104)+U104*0.75,0)))))</f>
        <v>183</v>
      </c>
      <c r="AM104" s="341">
        <f>+AL104-AA104</f>
        <v>0</v>
      </c>
      <c r="AN104" s="341"/>
      <c r="AO104" s="341"/>
      <c r="AP104" s="341"/>
      <c r="AQ104" s="438"/>
      <c r="AR104" s="434"/>
      <c r="AT104" s="390"/>
      <c r="AV104" s="390"/>
    </row>
    <row r="105" spans="2:48" s="98" customFormat="1" ht="62.25" customHeight="1" thickBot="1" x14ac:dyDescent="0.95">
      <c r="B105" s="375">
        <f>+B103</f>
        <v>18</v>
      </c>
      <c r="C105" s="410"/>
      <c r="D105" s="413" t="s">
        <v>308</v>
      </c>
      <c r="E105" s="175">
        <f>+E104+100</f>
        <v>118</v>
      </c>
      <c r="F105" s="175"/>
      <c r="G105" s="542" t="str">
        <f t="shared" si="126"/>
        <v>2158-755-712</v>
      </c>
      <c r="H105" s="117"/>
      <c r="I105" s="442"/>
      <c r="J105" s="165">
        <f>+IF(K105="","",IF(K103=0,"",(K103*J103)/(K105*60)))</f>
        <v>0.87380392156862752</v>
      </c>
      <c r="K105" s="118">
        <v>51</v>
      </c>
      <c r="L105" s="104" t="s">
        <v>19</v>
      </c>
      <c r="M105" s="216">
        <v>1</v>
      </c>
      <c r="N105" s="216">
        <v>1</v>
      </c>
      <c r="O105" s="216">
        <v>1</v>
      </c>
      <c r="P105" s="216">
        <v>1</v>
      </c>
      <c r="Q105" s="216">
        <v>1</v>
      </c>
      <c r="R105" s="216">
        <v>1</v>
      </c>
      <c r="S105" s="216"/>
      <c r="T105" s="216"/>
      <c r="U105" s="216"/>
      <c r="V105" s="216"/>
      <c r="W105" s="216"/>
      <c r="X105" s="173"/>
      <c r="Y105" s="467">
        <v>28.44</v>
      </c>
      <c r="Z105" s="365">
        <v>28.44</v>
      </c>
      <c r="AA105" s="465">
        <f t="shared" si="130"/>
        <v>6</v>
      </c>
      <c r="AB105" s="367"/>
      <c r="AC105" s="367"/>
      <c r="AD105" s="368">
        <f>+IFERROR(AD103/(K103*$AQ$3),"")</f>
        <v>0</v>
      </c>
      <c r="AE105" s="369"/>
      <c r="AF105" s="347"/>
      <c r="AG105" s="347">
        <f t="shared" si="118"/>
        <v>0</v>
      </c>
      <c r="AH105" s="341">
        <f t="shared" si="119"/>
        <v>0</v>
      </c>
      <c r="AI105" s="341"/>
      <c r="AJ105" s="356"/>
      <c r="AK105" s="370">
        <f>+$AJ$4</f>
        <v>8.25</v>
      </c>
      <c r="AL105" s="349">
        <f>+IF(AK105=7.75,SUM(M105:S105)+T105*0.75,IF(AK105=8,SUM(M105:T105),IF(AK105=7.25,SUM(M105:S105)+T105*0.25,IF(AK105=8.25,SUM(M105:T105)+U105*0.25,IF(AK105=8.75,SUM(M105:T105)+U105*0.75,0)))))</f>
        <v>6</v>
      </c>
      <c r="AM105" s="341">
        <f>+AL105-AA105</f>
        <v>0</v>
      </c>
      <c r="AN105" s="341"/>
      <c r="AO105" s="341"/>
      <c r="AP105" s="341"/>
      <c r="AQ105" s="369"/>
      <c r="AR105" s="434"/>
      <c r="AT105" s="390">
        <v>1.189010989010989</v>
      </c>
      <c r="AV105" s="390"/>
    </row>
    <row r="106" spans="2:48" s="98" customFormat="1" ht="62.25" customHeight="1" thickTop="1" x14ac:dyDescent="0.9">
      <c r="B106" s="373">
        <f>+B107</f>
        <v>18</v>
      </c>
      <c r="C106" s="405"/>
      <c r="D106" s="106"/>
      <c r="E106" s="106"/>
      <c r="F106" s="106"/>
      <c r="G106" s="540" t="s">
        <v>481</v>
      </c>
      <c r="H106" s="106"/>
      <c r="I106" s="106"/>
      <c r="J106" s="107" t="s">
        <v>20</v>
      </c>
      <c r="K106" s="108" t="s">
        <v>23</v>
      </c>
      <c r="L106" s="100" t="s">
        <v>21</v>
      </c>
      <c r="M106" s="448">
        <v>180</v>
      </c>
      <c r="N106" s="448">
        <v>210</v>
      </c>
      <c r="O106" s="448"/>
      <c r="P106" s="448"/>
      <c r="Q106" s="448"/>
      <c r="R106" s="448"/>
      <c r="S106" s="448"/>
      <c r="T106" s="448"/>
      <c r="U106" s="448"/>
      <c r="V106" s="448"/>
      <c r="W106" s="448"/>
      <c r="X106" s="447">
        <f t="shared" si="83"/>
        <v>390</v>
      </c>
      <c r="Y106" s="466">
        <v>0</v>
      </c>
      <c r="Z106" s="533">
        <f>+X108</f>
        <v>-180</v>
      </c>
      <c r="AA106" s="447">
        <f t="shared" si="96"/>
        <v>390</v>
      </c>
      <c r="AB106" s="343">
        <f>+AC106+AA106</f>
        <v>870</v>
      </c>
      <c r="AC106" s="343">
        <v>480</v>
      </c>
      <c r="AD106" s="344"/>
      <c r="AE106" s="345"/>
      <c r="AF106" s="346"/>
      <c r="AG106" s="347">
        <f t="shared" si="118"/>
        <v>0</v>
      </c>
      <c r="AH106" s="341">
        <f t="shared" si="119"/>
        <v>0</v>
      </c>
      <c r="AI106" s="341"/>
      <c r="AJ106" s="341"/>
      <c r="AK106" s="348"/>
      <c r="AL106" s="349"/>
      <c r="AM106" s="341"/>
      <c r="AN106" s="341"/>
      <c r="AO106" s="341"/>
      <c r="AP106" s="341"/>
      <c r="AQ106" s="350"/>
      <c r="AR106" s="434"/>
      <c r="AT106" s="390"/>
      <c r="AV106" s="390"/>
    </row>
    <row r="107" spans="2:48" s="98" customFormat="1" ht="62.25" customHeight="1" x14ac:dyDescent="0.9">
      <c r="B107" s="374">
        <v>18</v>
      </c>
      <c r="C107" s="406">
        <f>+B107</f>
        <v>18</v>
      </c>
      <c r="D107" s="407" t="s">
        <v>480</v>
      </c>
      <c r="E107" s="111"/>
      <c r="F107" s="111" t="s">
        <v>35</v>
      </c>
      <c r="G107" s="541" t="str">
        <f t="shared" si="126"/>
        <v>2396-593-600</v>
      </c>
      <c r="H107" s="111"/>
      <c r="I107" s="111" t="s">
        <v>33</v>
      </c>
      <c r="J107" s="113">
        <v>38.82</v>
      </c>
      <c r="K107" s="130">
        <v>60</v>
      </c>
      <c r="L107" s="101" t="s">
        <v>17</v>
      </c>
      <c r="M107" s="214"/>
      <c r="N107" s="214"/>
      <c r="O107" s="214"/>
      <c r="P107" s="214"/>
      <c r="Q107" s="214"/>
      <c r="R107" s="214"/>
      <c r="S107" s="214">
        <v>0</v>
      </c>
      <c r="T107" s="214">
        <v>0</v>
      </c>
      <c r="U107" s="214">
        <v>0</v>
      </c>
      <c r="V107" s="214"/>
      <c r="W107" s="214"/>
      <c r="X107" s="123">
        <f t="shared" ref="X107" si="131">+IF(H108="s",0,IF(AA107=0,0,IF(COUNTA(M107:W107)=AK109+0.75,SUMIF($C:$C,B107,$AA:$AA)/AK109,SUMIF($C:$C,B107,$AA:$AA)/(COUNTA(M107:W107)))))</f>
        <v>0</v>
      </c>
      <c r="Y107" s="466"/>
      <c r="Z107" s="534"/>
      <c r="AA107" s="134">
        <f t="shared" si="96"/>
        <v>0</v>
      </c>
      <c r="AB107" s="354">
        <f>+AA107+AC107</f>
        <v>0</v>
      </c>
      <c r="AC107" s="354">
        <v>0</v>
      </c>
      <c r="AD107" s="355">
        <f>+AB106-AB107</f>
        <v>870</v>
      </c>
      <c r="AE107" s="131">
        <f>+IF(((AA108+(AA109/2))*60)=0,"",(J107*AA107)/((AA108+(AA109/2))*60))</f>
        <v>0</v>
      </c>
      <c r="AF107" s="347">
        <f>+AA108+AA109/2</f>
        <v>230.625</v>
      </c>
      <c r="AG107" s="347">
        <f t="shared" si="118"/>
        <v>230.375</v>
      </c>
      <c r="AH107" s="341">
        <f t="shared" si="119"/>
        <v>13837.5</v>
      </c>
      <c r="AI107" s="341">
        <f>+AA107*J107</f>
        <v>0</v>
      </c>
      <c r="AJ107" s="356">
        <f>+AA107-(AF107*K107/K109)</f>
        <v>-321.80232558139534</v>
      </c>
      <c r="AK107" s="348"/>
      <c r="AL107" s="349"/>
      <c r="AM107" s="341"/>
      <c r="AN107" s="341"/>
      <c r="AO107" s="341"/>
      <c r="AP107" s="341"/>
      <c r="AQ107" s="339">
        <f>-300+AA106</f>
        <v>90</v>
      </c>
      <c r="AR107" s="434"/>
      <c r="AT107" s="390">
        <v>180</v>
      </c>
      <c r="AV107" s="390">
        <f t="shared" ref="AV107" si="132">+AT107-AD107</f>
        <v>-690</v>
      </c>
    </row>
    <row r="108" spans="2:48" s="98" customFormat="1" ht="62.25" customHeight="1" x14ac:dyDescent="0.9">
      <c r="B108" s="357">
        <f>+B107</f>
        <v>18</v>
      </c>
      <c r="C108" s="408"/>
      <c r="D108" s="184"/>
      <c r="E108" s="111">
        <f>+B107</f>
        <v>18</v>
      </c>
      <c r="F108" s="409"/>
      <c r="G108" s="541" t="str">
        <f t="shared" si="126"/>
        <v>2396-593-600</v>
      </c>
      <c r="H108" s="411" t="s">
        <v>413</v>
      </c>
      <c r="I108" s="113">
        <f>+IFERROR(IF(K109=0,0,IF((LOOKUP(2,1/(M108:W108&lt;&gt;""),M108:W108)-K109)&lt;0,0,IF(K109=0,"",LOOKUP(2,1/(M108:W108&lt;&gt;""),M108:W108)-K109))),0)</f>
        <v>7</v>
      </c>
      <c r="J108" s="113"/>
      <c r="K108" s="114" t="s">
        <v>22</v>
      </c>
      <c r="L108" s="102" t="s">
        <v>18</v>
      </c>
      <c r="M108" s="448">
        <v>10</v>
      </c>
      <c r="N108" s="448">
        <v>12</v>
      </c>
      <c r="O108" s="448">
        <v>20</v>
      </c>
      <c r="P108" s="448">
        <v>25</v>
      </c>
      <c r="Q108" s="448">
        <v>25</v>
      </c>
      <c r="R108" s="448">
        <v>25</v>
      </c>
      <c r="S108" s="448">
        <v>50</v>
      </c>
      <c r="T108" s="448">
        <v>50</v>
      </c>
      <c r="U108" s="448">
        <v>50</v>
      </c>
      <c r="V108" s="448"/>
      <c r="W108" s="448"/>
      <c r="X108" s="160">
        <f t="shared" ref="X108" si="133">+IF(H108="l",IF(COUNTA(M107:W107)=AK109+0.75,AA107-K107*AK109,AA107-(K107*COUNTA(M107:W107))),IF(H108="s",0,IF(COUNTA(M107:W107)=AK109+0.75,SUMIF($C:$C,B107,$AA:$AA)-K107*AK109,SUMIF($C:$C,B107,$AA:$AA)-K107*COUNTA(M107:W107))))</f>
        <v>-180</v>
      </c>
      <c r="Y108" s="466"/>
      <c r="Z108" s="534"/>
      <c r="AA108" s="462">
        <f t="shared" ref="AA108:AA109" si="134">+SUM(M108:W108)-U108*0.75</f>
        <v>229.5</v>
      </c>
      <c r="AB108" s="361"/>
      <c r="AC108" s="361"/>
      <c r="AD108" s="362"/>
      <c r="AE108" s="363"/>
      <c r="AF108" s="346"/>
      <c r="AG108" s="347">
        <f t="shared" si="118"/>
        <v>0</v>
      </c>
      <c r="AH108" s="341">
        <f t="shared" si="119"/>
        <v>0</v>
      </c>
      <c r="AI108" s="341"/>
      <c r="AJ108" s="341"/>
      <c r="AK108" s="348"/>
      <c r="AL108" s="349" t="e">
        <f>+IF(AK109=7.75,SUM(M108:S108)+U108*0.75,IF(AK109=8,SUM(M108:U108),IF(AK109=7.25,SUM(M108:S108)+U108*0.25,IF(AK109=8.25,SUM(M108:U108)+#REF!*0.25,IF(AK109=8.75,SUM(M108:U108)+#REF!*0.75,0)))))</f>
        <v>#REF!</v>
      </c>
      <c r="AM108" s="341" t="e">
        <f>+AL108-AA108</f>
        <v>#REF!</v>
      </c>
      <c r="AN108" s="341"/>
      <c r="AO108" s="341"/>
      <c r="AP108" s="341"/>
      <c r="AQ108" s="438"/>
      <c r="AR108" s="434"/>
      <c r="AT108" s="390"/>
      <c r="AV108" s="390"/>
    </row>
    <row r="109" spans="2:48" s="98" customFormat="1" ht="62.25" customHeight="1" thickBot="1" x14ac:dyDescent="0.95">
      <c r="B109" s="375">
        <f>+B107</f>
        <v>18</v>
      </c>
      <c r="C109" s="410"/>
      <c r="D109" s="413" t="s">
        <v>308</v>
      </c>
      <c r="E109" s="175">
        <f>+E108+100</f>
        <v>118</v>
      </c>
      <c r="F109" s="175"/>
      <c r="G109" s="542" t="str">
        <f t="shared" si="126"/>
        <v>2396-593-600</v>
      </c>
      <c r="H109" s="117"/>
      <c r="I109" s="442"/>
      <c r="J109" s="165">
        <f>+IF(K109="","",IF(K107=0,"",(K107*J107)/(K109*60)))</f>
        <v>0.90279069767441855</v>
      </c>
      <c r="K109" s="118">
        <v>43</v>
      </c>
      <c r="L109" s="104" t="s">
        <v>19</v>
      </c>
      <c r="M109" s="216"/>
      <c r="N109" s="216"/>
      <c r="O109" s="216"/>
      <c r="P109" s="216"/>
      <c r="Q109" s="216"/>
      <c r="R109" s="216"/>
      <c r="S109" s="216">
        <v>1</v>
      </c>
      <c r="T109" s="216">
        <v>1</v>
      </c>
      <c r="U109" s="216">
        <v>1</v>
      </c>
      <c r="V109" s="216"/>
      <c r="W109" s="216"/>
      <c r="X109" s="173"/>
      <c r="Y109" s="467">
        <v>0</v>
      </c>
      <c r="Z109" s="371">
        <f>+IF(COUNTA(M107:W107)=$AJ$4+0.25,$AJ$4-(AA107/K107),COUNTA(M107:W107)-(AA107/K107))+Y109</f>
        <v>3</v>
      </c>
      <c r="AA109" s="465">
        <f t="shared" si="134"/>
        <v>2.25</v>
      </c>
      <c r="AB109" s="367"/>
      <c r="AC109" s="367"/>
      <c r="AD109" s="368">
        <f>+IFERROR(AD107/(K107*$AQ$3),"")</f>
        <v>1.6571428571428573</v>
      </c>
      <c r="AE109" s="369"/>
      <c r="AF109" s="347"/>
      <c r="AG109" s="347">
        <f t="shared" si="118"/>
        <v>0</v>
      </c>
      <c r="AH109" s="341">
        <f t="shared" si="119"/>
        <v>0</v>
      </c>
      <c r="AI109" s="341"/>
      <c r="AJ109" s="356"/>
      <c r="AK109" s="370">
        <f>+$AJ$4</f>
        <v>8.25</v>
      </c>
      <c r="AL109" s="349">
        <f>+IF(AK109=7.75,SUM(M109:S109)+T109*0.75,IF(AK109=8,SUM(M109:T109),IF(AK109=7.25,SUM(M109:S109)+T109*0.25,IF(AK109=8.25,SUM(M109:T109)+U109*0.25,IF(AK109=8.75,SUM(M109:T109)+U109*0.75,0)))))</f>
        <v>2.25</v>
      </c>
      <c r="AM109" s="341">
        <f>+AL109-AA109</f>
        <v>0</v>
      </c>
      <c r="AN109" s="341"/>
      <c r="AO109" s="341"/>
      <c r="AP109" s="341"/>
      <c r="AQ109" s="369"/>
      <c r="AR109" s="434"/>
      <c r="AT109" s="390">
        <v>0.39560439560439559</v>
      </c>
      <c r="AV109" s="390"/>
    </row>
    <row r="110" spans="2:48" s="419" customFormat="1" ht="91.5" customHeight="1" thickTop="1" thickBot="1" x14ac:dyDescent="0.95">
      <c r="B110" s="414"/>
      <c r="C110" s="414"/>
      <c r="D110" s="415"/>
      <c r="E110" s="415"/>
      <c r="F110" s="415"/>
      <c r="G110" s="415"/>
      <c r="H110" s="415"/>
      <c r="I110" s="415"/>
      <c r="J110" s="415"/>
      <c r="K110" s="415"/>
      <c r="L110" s="416"/>
      <c r="M110" s="416"/>
      <c r="N110" s="416"/>
      <c r="O110" s="416"/>
      <c r="P110" s="416"/>
      <c r="Q110" s="416"/>
      <c r="R110" s="416"/>
      <c r="S110" s="416"/>
      <c r="T110" s="416"/>
      <c r="U110" s="416"/>
      <c r="V110" s="416"/>
      <c r="W110" s="416"/>
      <c r="X110" s="415"/>
      <c r="Y110" s="415"/>
      <c r="Z110" s="415"/>
      <c r="AA110" s="415"/>
      <c r="AB110" s="415"/>
      <c r="AC110" s="415"/>
      <c r="AD110" s="415"/>
      <c r="AE110" s="417"/>
      <c r="AF110" s="418"/>
      <c r="AG110" s="418"/>
      <c r="AK110" s="420"/>
      <c r="AL110" s="421"/>
      <c r="AR110" s="435"/>
    </row>
    <row r="111" spans="2:48" s="419" customFormat="1" ht="91.5" customHeight="1" thickTop="1" thickBot="1" x14ac:dyDescent="0.95">
      <c r="B111" s="414"/>
      <c r="C111" s="414"/>
      <c r="D111" s="415"/>
      <c r="E111" s="415"/>
      <c r="F111" s="415"/>
      <c r="G111" s="415"/>
      <c r="H111" s="415"/>
      <c r="I111" s="415"/>
      <c r="J111" s="415"/>
      <c r="K111" s="415"/>
      <c r="L111" s="378" t="s">
        <v>21</v>
      </c>
      <c r="M111" s="379">
        <f t="shared" ref="M111:W111" si="135">+SUMIF($L$6:$L$110,$L$111,M6:M110)</f>
        <v>1360</v>
      </c>
      <c r="N111" s="379">
        <f t="shared" si="135"/>
        <v>1390</v>
      </c>
      <c r="O111" s="379">
        <f t="shared" si="135"/>
        <v>340</v>
      </c>
      <c r="P111" s="379">
        <f t="shared" si="135"/>
        <v>290</v>
      </c>
      <c r="Q111" s="379">
        <f t="shared" si="135"/>
        <v>826</v>
      </c>
      <c r="R111" s="379">
        <f t="shared" si="135"/>
        <v>730</v>
      </c>
      <c r="S111" s="379">
        <f t="shared" si="135"/>
        <v>0</v>
      </c>
      <c r="T111" s="379">
        <f t="shared" si="135"/>
        <v>0</v>
      </c>
      <c r="U111" s="379">
        <f t="shared" si="135"/>
        <v>2</v>
      </c>
      <c r="V111" s="379">
        <f t="shared" si="135"/>
        <v>0</v>
      </c>
      <c r="W111" s="379">
        <f t="shared" si="135"/>
        <v>0</v>
      </c>
      <c r="X111" s="332"/>
      <c r="Y111" s="332"/>
      <c r="Z111" s="537">
        <f>+SUM(M111:W111)</f>
        <v>4938</v>
      </c>
      <c r="AA111" s="538"/>
      <c r="AB111" s="415"/>
      <c r="AC111" s="415"/>
      <c r="AD111" s="415"/>
      <c r="AE111" s="417"/>
      <c r="AF111" s="418"/>
      <c r="AG111" s="418"/>
      <c r="AK111" s="420"/>
      <c r="AR111" s="435"/>
    </row>
    <row r="112" spans="2:48" s="419" customFormat="1" ht="91.5" customHeight="1" thickTop="1" thickBot="1" x14ac:dyDescent="0.95">
      <c r="B112" s="414"/>
      <c r="C112" s="414"/>
      <c r="D112" s="415"/>
      <c r="E112" s="415"/>
      <c r="F112" s="415"/>
      <c r="G112" s="415"/>
      <c r="H112" s="415"/>
      <c r="I112" s="415"/>
      <c r="J112" s="415"/>
      <c r="K112" s="415"/>
      <c r="L112" s="380"/>
      <c r="M112" s="376"/>
      <c r="N112" s="376"/>
      <c r="O112" s="376"/>
      <c r="P112" s="376"/>
      <c r="Q112" s="376"/>
      <c r="R112" s="376"/>
      <c r="S112" s="376"/>
      <c r="T112" s="376"/>
      <c r="U112" s="376"/>
      <c r="V112" s="376"/>
      <c r="W112" s="376"/>
      <c r="X112" s="332"/>
      <c r="Y112" s="332"/>
      <c r="Z112" s="332"/>
      <c r="AA112" s="332"/>
      <c r="AB112" s="415"/>
      <c r="AC112" s="415"/>
      <c r="AD112" s="415"/>
      <c r="AE112" s="417"/>
      <c r="AF112" s="418"/>
      <c r="AG112" s="418"/>
      <c r="AK112" s="420"/>
      <c r="AR112" s="435"/>
    </row>
    <row r="113" spans="2:44" s="419" customFormat="1" ht="91.5" customHeight="1" thickTop="1" thickBot="1" x14ac:dyDescent="0.95">
      <c r="B113" s="414"/>
      <c r="C113" s="414"/>
      <c r="D113" s="415"/>
      <c r="E113" s="415"/>
      <c r="F113" s="415"/>
      <c r="G113" s="415"/>
      <c r="H113" s="415"/>
      <c r="I113" s="415"/>
      <c r="J113" s="415"/>
      <c r="K113" s="415"/>
      <c r="L113" s="378" t="s">
        <v>17</v>
      </c>
      <c r="M113" s="379">
        <f t="shared" ref="M113:W113" si="136">+SUMIF($L$6:$L$110,$L$113,M6:M110)</f>
        <v>504</v>
      </c>
      <c r="N113" s="379">
        <f t="shared" si="136"/>
        <v>547</v>
      </c>
      <c r="O113" s="379">
        <f t="shared" si="136"/>
        <v>537</v>
      </c>
      <c r="P113" s="379">
        <f t="shared" si="136"/>
        <v>470</v>
      </c>
      <c r="Q113" s="379">
        <f t="shared" si="136"/>
        <v>528</v>
      </c>
      <c r="R113" s="379">
        <f t="shared" si="136"/>
        <v>513</v>
      </c>
      <c r="S113" s="379">
        <f t="shared" si="136"/>
        <v>531</v>
      </c>
      <c r="T113" s="379">
        <f t="shared" si="136"/>
        <v>446</v>
      </c>
      <c r="U113" s="379">
        <f t="shared" si="136"/>
        <v>158</v>
      </c>
      <c r="V113" s="379">
        <f t="shared" si="136"/>
        <v>0</v>
      </c>
      <c r="W113" s="379">
        <f t="shared" si="136"/>
        <v>0</v>
      </c>
      <c r="X113" s="332"/>
      <c r="Y113" s="332"/>
      <c r="Z113" s="537">
        <f>+SUM(M113:W113)</f>
        <v>4234</v>
      </c>
      <c r="AA113" s="538"/>
      <c r="AB113" s="415"/>
      <c r="AC113" s="415"/>
      <c r="AD113" s="415"/>
      <c r="AE113" s="417"/>
      <c r="AF113" s="418"/>
      <c r="AG113" s="418"/>
      <c r="AK113" s="420"/>
      <c r="AR113" s="435"/>
    </row>
    <row r="114" spans="2:44" s="419" customFormat="1" ht="91.5" customHeight="1" thickTop="1" thickBot="1" x14ac:dyDescent="0.95">
      <c r="B114" s="414"/>
      <c r="C114" s="414"/>
      <c r="D114" s="415"/>
      <c r="E114" s="415"/>
      <c r="F114" s="415"/>
      <c r="G114" s="415"/>
      <c r="H114" s="415"/>
      <c r="I114" s="415"/>
      <c r="J114" s="415"/>
      <c r="K114" s="415"/>
      <c r="L114" s="380"/>
      <c r="M114" s="376"/>
      <c r="N114" s="376"/>
      <c r="O114" s="376"/>
      <c r="P114" s="376"/>
      <c r="Q114" s="376"/>
      <c r="R114" s="376"/>
      <c r="S114" s="376"/>
      <c r="T114" s="376"/>
      <c r="U114" s="376"/>
      <c r="V114" s="376"/>
      <c r="W114" s="376"/>
      <c r="X114" s="332"/>
      <c r="Y114" s="332"/>
      <c r="Z114" s="332"/>
      <c r="AA114" s="332"/>
      <c r="AB114" s="415"/>
      <c r="AC114" s="415"/>
      <c r="AD114" s="415"/>
      <c r="AE114" s="417"/>
      <c r="AF114" s="418"/>
      <c r="AG114" s="418"/>
      <c r="AK114" s="420"/>
      <c r="AR114" s="435"/>
    </row>
    <row r="115" spans="2:44" s="419" customFormat="1" ht="91.5" customHeight="1" thickTop="1" thickBot="1" x14ac:dyDescent="0.95">
      <c r="B115" s="414"/>
      <c r="C115" s="414"/>
      <c r="D115" s="422"/>
      <c r="E115" s="422"/>
      <c r="F115" s="422"/>
      <c r="G115" s="422"/>
      <c r="H115" s="422"/>
      <c r="I115" s="422"/>
      <c r="J115" s="423"/>
      <c r="K115" s="422"/>
      <c r="L115" s="378" t="s">
        <v>19</v>
      </c>
      <c r="M115" s="379">
        <f t="shared" ref="M115:W115" si="137">+SUMIF($L$6:$L$110,$L$115,M6:M110)</f>
        <v>5</v>
      </c>
      <c r="N115" s="379">
        <f t="shared" si="137"/>
        <v>6</v>
      </c>
      <c r="O115" s="379">
        <f t="shared" si="137"/>
        <v>6</v>
      </c>
      <c r="P115" s="379">
        <f t="shared" si="137"/>
        <v>6</v>
      </c>
      <c r="Q115" s="379">
        <f t="shared" si="137"/>
        <v>6</v>
      </c>
      <c r="R115" s="379">
        <f t="shared" si="137"/>
        <v>6</v>
      </c>
      <c r="S115" s="379">
        <f t="shared" si="137"/>
        <v>5</v>
      </c>
      <c r="T115" s="379">
        <f t="shared" si="137"/>
        <v>5</v>
      </c>
      <c r="U115" s="379">
        <f t="shared" si="137"/>
        <v>5</v>
      </c>
      <c r="V115" s="379">
        <f t="shared" si="137"/>
        <v>0</v>
      </c>
      <c r="W115" s="379">
        <f t="shared" si="137"/>
        <v>0</v>
      </c>
      <c r="X115" s="381"/>
      <c r="Y115" s="381"/>
      <c r="Z115" s="332"/>
      <c r="AA115" s="332"/>
      <c r="AB115" s="415"/>
      <c r="AC115" s="415"/>
      <c r="AD115" s="415"/>
      <c r="AE115" s="417"/>
      <c r="AF115" s="418"/>
      <c r="AG115" s="418"/>
      <c r="AK115" s="420"/>
      <c r="AR115" s="435"/>
    </row>
    <row r="116" spans="2:44" s="419" customFormat="1" ht="62.25" customHeight="1" thickTop="1" x14ac:dyDescent="0.9">
      <c r="B116" s="414"/>
      <c r="C116" s="414"/>
      <c r="D116" s="422"/>
      <c r="E116" s="422"/>
      <c r="F116" s="422"/>
      <c r="G116" s="422"/>
      <c r="H116" s="422"/>
      <c r="I116" s="424"/>
      <c r="J116" s="423"/>
      <c r="K116" s="422"/>
      <c r="L116" s="380"/>
      <c r="M116" s="382"/>
      <c r="N116" s="377"/>
      <c r="O116" s="377"/>
      <c r="P116" s="377"/>
      <c r="Q116" s="377"/>
      <c r="R116" s="377"/>
      <c r="S116" s="377"/>
      <c r="T116" s="377"/>
      <c r="U116" s="377"/>
      <c r="V116" s="377"/>
      <c r="W116" s="377"/>
      <c r="X116" s="332"/>
      <c r="Y116" s="332"/>
      <c r="Z116" s="332"/>
      <c r="AA116" s="332"/>
      <c r="AB116" s="415"/>
      <c r="AC116" s="415"/>
      <c r="AD116" s="425"/>
      <c r="AE116" s="417"/>
      <c r="AF116" s="418"/>
      <c r="AG116" s="418"/>
      <c r="AK116" s="420"/>
      <c r="AR116" s="435"/>
    </row>
    <row r="117" spans="2:44" s="98" customFormat="1" ht="62.25" customHeight="1" thickBot="1" x14ac:dyDescent="0.95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384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91"/>
      <c r="AC117" s="91"/>
      <c r="AD117" s="91"/>
      <c r="AE117" s="95"/>
      <c r="AF117" s="158"/>
      <c r="AG117" s="158"/>
      <c r="AK117" s="183"/>
      <c r="AR117" s="434"/>
    </row>
    <row r="118" spans="2:44" s="98" customFormat="1" ht="88.5" customHeight="1" thickTop="1" thickBot="1" x14ac:dyDescent="0.95">
      <c r="B118" s="94"/>
      <c r="C118" s="94"/>
      <c r="D118" s="92"/>
      <c r="E118" s="92"/>
      <c r="F118" s="92"/>
      <c r="G118" s="92"/>
      <c r="H118" s="92"/>
      <c r="I118" s="91"/>
      <c r="J118" s="93"/>
      <c r="K118" s="212" t="s">
        <v>18</v>
      </c>
      <c r="L118" s="385" t="s">
        <v>180</v>
      </c>
      <c r="M118" s="379">
        <f t="shared" ref="M118:W118" si="138">+IF(M121=0,0,SUMIFS($J$6:$J$110,$L$6:$L$110,$K$118))</f>
        <v>9</v>
      </c>
      <c r="N118" s="379">
        <f t="shared" si="138"/>
        <v>9</v>
      </c>
      <c r="O118" s="379">
        <f t="shared" si="138"/>
        <v>9</v>
      </c>
      <c r="P118" s="379">
        <f t="shared" si="138"/>
        <v>9</v>
      </c>
      <c r="Q118" s="379">
        <f t="shared" si="138"/>
        <v>9</v>
      </c>
      <c r="R118" s="379">
        <f t="shared" si="138"/>
        <v>9</v>
      </c>
      <c r="S118" s="379">
        <f t="shared" si="138"/>
        <v>9</v>
      </c>
      <c r="T118" s="379">
        <f t="shared" si="138"/>
        <v>9</v>
      </c>
      <c r="U118" s="379">
        <f t="shared" si="138"/>
        <v>9</v>
      </c>
      <c r="V118" s="379">
        <f t="shared" si="138"/>
        <v>0</v>
      </c>
      <c r="W118" s="379">
        <f t="shared" si="138"/>
        <v>0</v>
      </c>
      <c r="X118" s="383"/>
      <c r="Y118" s="383"/>
      <c r="Z118" s="340"/>
      <c r="AA118" s="340"/>
      <c r="AB118" s="91"/>
      <c r="AC118" s="91"/>
      <c r="AD118" s="91"/>
      <c r="AE118" s="95"/>
      <c r="AF118" s="158"/>
      <c r="AG118" s="158"/>
      <c r="AK118" s="183"/>
      <c r="AR118" s="434"/>
    </row>
    <row r="119" spans="2:44" s="98" customFormat="1" ht="62.25" customHeight="1" thickTop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212"/>
      <c r="L119" s="384"/>
      <c r="M119" s="386"/>
      <c r="N119" s="386"/>
      <c r="O119" s="386"/>
      <c r="P119" s="386"/>
      <c r="Q119" s="386"/>
      <c r="R119" s="386"/>
      <c r="S119" s="386"/>
      <c r="T119" s="386"/>
      <c r="U119" s="386"/>
      <c r="V119" s="386"/>
      <c r="W119" s="386"/>
      <c r="X119" s="340"/>
      <c r="Y119" s="340"/>
      <c r="Z119" s="340"/>
      <c r="AA119" s="340"/>
      <c r="AB119" s="91"/>
      <c r="AC119" s="91"/>
      <c r="AD119" s="91"/>
      <c r="AE119" s="95"/>
      <c r="AF119" s="158"/>
      <c r="AG119" s="158"/>
      <c r="AK119" s="183"/>
      <c r="AR119" s="434"/>
    </row>
    <row r="120" spans="2:44" s="98" customFormat="1" ht="62.25" customHeight="1" thickBot="1" x14ac:dyDescent="0.95">
      <c r="B120" s="94"/>
      <c r="C120" s="94"/>
      <c r="D120" s="92"/>
      <c r="E120" s="92"/>
      <c r="F120" s="92"/>
      <c r="G120" s="92"/>
      <c r="H120" s="92"/>
      <c r="I120" s="92"/>
      <c r="J120" s="93"/>
      <c r="K120" s="212"/>
      <c r="L120" s="384"/>
      <c r="M120" s="340"/>
      <c r="N120" s="340"/>
      <c r="O120" s="340"/>
      <c r="P120" s="340"/>
      <c r="Q120" s="387"/>
      <c r="R120" s="387"/>
      <c r="S120" s="387"/>
      <c r="T120" s="387"/>
      <c r="U120" s="387"/>
      <c r="V120" s="387"/>
      <c r="W120" s="387"/>
      <c r="X120" s="340"/>
      <c r="Y120" s="340"/>
      <c r="Z120" s="340"/>
      <c r="AA120" s="340"/>
      <c r="AB120" s="91"/>
      <c r="AC120" s="91"/>
      <c r="AD120" s="91"/>
      <c r="AE120" s="95"/>
      <c r="AF120" s="158"/>
      <c r="AG120" s="158"/>
      <c r="AK120" s="183"/>
      <c r="AR120" s="434"/>
    </row>
    <row r="121" spans="2:44" s="98" customFormat="1" ht="98.25" customHeight="1" thickTop="1" thickBot="1" x14ac:dyDescent="0.95">
      <c r="B121" s="94"/>
      <c r="C121" s="94"/>
      <c r="D121" s="92"/>
      <c r="E121" s="92"/>
      <c r="F121" s="92"/>
      <c r="G121" s="92"/>
      <c r="H121" s="92"/>
      <c r="I121" s="92"/>
      <c r="J121" s="93"/>
      <c r="K121" s="212"/>
      <c r="L121" s="385" t="s">
        <v>18</v>
      </c>
      <c r="M121" s="379">
        <f t="shared" ref="M121:W121" si="139">+SUMIF($L$6:$L$110,$L$121,M6:M110)</f>
        <v>594</v>
      </c>
      <c r="N121" s="379">
        <f t="shared" si="139"/>
        <v>596</v>
      </c>
      <c r="O121" s="379">
        <f t="shared" si="139"/>
        <v>596</v>
      </c>
      <c r="P121" s="379">
        <f t="shared" si="139"/>
        <v>596</v>
      </c>
      <c r="Q121" s="379">
        <f t="shared" si="139"/>
        <v>596</v>
      </c>
      <c r="R121" s="379">
        <f t="shared" si="139"/>
        <v>596</v>
      </c>
      <c r="S121" s="379">
        <f t="shared" si="139"/>
        <v>596</v>
      </c>
      <c r="T121" s="379">
        <f t="shared" si="139"/>
        <v>596</v>
      </c>
      <c r="U121" s="379">
        <f t="shared" si="139"/>
        <v>596</v>
      </c>
      <c r="V121" s="379">
        <f t="shared" si="139"/>
        <v>0</v>
      </c>
      <c r="W121" s="379">
        <f t="shared" si="139"/>
        <v>0</v>
      </c>
      <c r="X121" s="340"/>
      <c r="Y121" s="340"/>
      <c r="Z121" s="340"/>
      <c r="AA121" s="340"/>
      <c r="AB121" s="91"/>
      <c r="AC121" s="91"/>
      <c r="AD121" s="91"/>
      <c r="AE121" s="95"/>
      <c r="AF121" s="158"/>
      <c r="AG121" s="158"/>
      <c r="AK121" s="183"/>
      <c r="AR121" s="434"/>
    </row>
    <row r="122" spans="2:44" s="98" customFormat="1" ht="62.25" customHeight="1" thickTop="1" x14ac:dyDescent="0.9">
      <c r="B122" s="94"/>
      <c r="C122" s="94"/>
      <c r="D122" s="92"/>
      <c r="E122" s="92"/>
      <c r="F122" s="92"/>
      <c r="G122" s="92"/>
      <c r="H122" s="92"/>
      <c r="I122" s="92"/>
      <c r="J122" s="93"/>
      <c r="K122" s="212"/>
      <c r="L122" s="384"/>
      <c r="M122" s="388"/>
      <c r="N122" s="388"/>
      <c r="O122" s="388"/>
      <c r="P122" s="388"/>
      <c r="Q122" s="388"/>
      <c r="R122" s="388"/>
      <c r="S122" s="388"/>
      <c r="T122" s="388"/>
      <c r="U122" s="388"/>
      <c r="V122" s="388"/>
      <c r="W122" s="388"/>
      <c r="X122" s="340"/>
      <c r="Y122" s="340"/>
      <c r="Z122" s="340"/>
      <c r="AA122" s="340"/>
      <c r="AB122" s="91"/>
      <c r="AC122" s="91"/>
      <c r="AD122" s="91"/>
      <c r="AE122" s="95"/>
      <c r="AF122" s="158"/>
      <c r="AG122" s="158"/>
      <c r="AK122" s="183"/>
      <c r="AR122" s="434"/>
    </row>
    <row r="123" spans="2:44" s="98" customFormat="1" ht="62.25" customHeight="1" thickBot="1" x14ac:dyDescent="0.95">
      <c r="B123" s="94"/>
      <c r="C123" s="94"/>
      <c r="D123" s="92"/>
      <c r="E123" s="92"/>
      <c r="F123" s="92"/>
      <c r="G123" s="92"/>
      <c r="H123" s="92"/>
      <c r="I123" s="92"/>
      <c r="J123" s="93"/>
      <c r="K123" s="212"/>
      <c r="L123" s="384"/>
      <c r="M123" s="340"/>
      <c r="N123" s="340"/>
      <c r="O123" s="340"/>
      <c r="P123" s="340"/>
      <c r="Q123" s="387"/>
      <c r="R123" s="387"/>
      <c r="S123" s="387"/>
      <c r="T123" s="387"/>
      <c r="U123" s="387"/>
      <c r="V123" s="387"/>
      <c r="W123" s="387"/>
      <c r="X123" s="340"/>
      <c r="Y123" s="340"/>
      <c r="Z123" s="340"/>
      <c r="AA123" s="340"/>
      <c r="AB123" s="91"/>
      <c r="AC123" s="91"/>
      <c r="AD123" s="91"/>
      <c r="AE123" s="95"/>
      <c r="AF123" s="158"/>
      <c r="AG123" s="158"/>
      <c r="AK123" s="183"/>
      <c r="AR123" s="434"/>
    </row>
    <row r="124" spans="2:44" s="98" customFormat="1" ht="94.5" customHeight="1" thickTop="1" thickBot="1" x14ac:dyDescent="0.95">
      <c r="B124" s="94"/>
      <c r="C124" s="94"/>
      <c r="D124" s="92"/>
      <c r="E124" s="92"/>
      <c r="F124" s="92"/>
      <c r="G124" s="92"/>
      <c r="H124" s="92"/>
      <c r="I124" s="92"/>
      <c r="J124" s="93"/>
      <c r="K124" s="92"/>
      <c r="L124" s="385" t="s">
        <v>13</v>
      </c>
      <c r="M124" s="379">
        <f>+M121+M118+M115</f>
        <v>608</v>
      </c>
      <c r="N124" s="379">
        <f t="shared" ref="N124:W124" si="140">+N121+N118+N115</f>
        <v>611</v>
      </c>
      <c r="O124" s="379">
        <f t="shared" si="140"/>
        <v>611</v>
      </c>
      <c r="P124" s="379">
        <f t="shared" si="140"/>
        <v>611</v>
      </c>
      <c r="Q124" s="379">
        <f t="shared" si="140"/>
        <v>611</v>
      </c>
      <c r="R124" s="379">
        <f t="shared" si="140"/>
        <v>611</v>
      </c>
      <c r="S124" s="379">
        <f t="shared" si="140"/>
        <v>610</v>
      </c>
      <c r="T124" s="379">
        <f t="shared" si="140"/>
        <v>610</v>
      </c>
      <c r="U124" s="379">
        <f t="shared" si="140"/>
        <v>610</v>
      </c>
      <c r="V124" s="379">
        <f t="shared" si="140"/>
        <v>0</v>
      </c>
      <c r="W124" s="379">
        <f t="shared" si="140"/>
        <v>0</v>
      </c>
      <c r="X124" s="340"/>
      <c r="Y124" s="340"/>
      <c r="Z124" s="340"/>
      <c r="AA124" s="340"/>
      <c r="AB124" s="91"/>
      <c r="AC124" s="91"/>
      <c r="AD124" s="91"/>
      <c r="AE124" s="95"/>
      <c r="AF124" s="155"/>
      <c r="AG124" s="155"/>
      <c r="AK124" s="183"/>
      <c r="AR124" s="434"/>
    </row>
    <row r="125" spans="2:44" s="98" customFormat="1" ht="62.25" thickTop="1" x14ac:dyDescent="0.9">
      <c r="B125" s="94"/>
      <c r="C125" s="94"/>
      <c r="D125" s="92"/>
      <c r="E125" s="92"/>
      <c r="F125" s="92"/>
      <c r="G125" s="92"/>
      <c r="H125" s="92"/>
      <c r="I125" s="92"/>
      <c r="J125" s="93"/>
      <c r="K125" s="92"/>
      <c r="L125" s="389"/>
      <c r="M125" s="340"/>
      <c r="N125" s="340"/>
      <c r="O125" s="340"/>
      <c r="P125" s="340"/>
      <c r="Q125" s="340"/>
      <c r="R125" s="340"/>
      <c r="S125" s="340"/>
      <c r="T125" s="340"/>
      <c r="U125" s="340"/>
      <c r="V125" s="340"/>
      <c r="W125" s="340"/>
      <c r="X125" s="340"/>
      <c r="Y125" s="340"/>
      <c r="Z125" s="340"/>
      <c r="AA125" s="340"/>
      <c r="AB125" s="91"/>
      <c r="AC125" s="91"/>
      <c r="AD125" s="91"/>
      <c r="AE125" s="95"/>
      <c r="AF125" s="158"/>
      <c r="AG125" s="158"/>
      <c r="AK125" s="183"/>
      <c r="AR125" s="434"/>
    </row>
    <row r="126" spans="2:44" x14ac:dyDescent="0.9">
      <c r="J126" s="91"/>
      <c r="K126" s="91"/>
      <c r="T126" s="515"/>
      <c r="U126" s="515"/>
      <c r="V126" s="515"/>
      <c r="AF126" s="158"/>
      <c r="AG126" s="158"/>
    </row>
    <row r="127" spans="2:44" ht="105" customHeight="1" x14ac:dyDescent="0.9">
      <c r="B127" s="426"/>
      <c r="AF127" s="158"/>
      <c r="AG127" s="158"/>
    </row>
    <row r="128" spans="2:44" s="98" customFormat="1" x14ac:dyDescent="0.9">
      <c r="B128" s="94"/>
      <c r="C128" s="94"/>
      <c r="D128" s="92"/>
      <c r="E128" s="92"/>
      <c r="F128" s="92"/>
      <c r="G128" s="92"/>
      <c r="H128" s="92"/>
      <c r="I128" s="92"/>
      <c r="J128" s="93"/>
      <c r="K128" s="92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8"/>
      <c r="AG128" s="158"/>
      <c r="AK128" s="183"/>
      <c r="AR128" s="434"/>
    </row>
    <row r="129" spans="2:44" s="98" customFormat="1" x14ac:dyDescent="0.9">
      <c r="B129" s="94"/>
      <c r="C129" s="94"/>
      <c r="D129" s="92"/>
      <c r="E129" s="92"/>
      <c r="F129" s="92"/>
      <c r="G129" s="92"/>
      <c r="H129" s="92"/>
      <c r="I129" s="91"/>
      <c r="J129" s="93"/>
      <c r="K129" s="92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8"/>
      <c r="AG129" s="158"/>
      <c r="AK129" s="183"/>
      <c r="AR129" s="434"/>
    </row>
    <row r="130" spans="2:44" s="98" customFormat="1" x14ac:dyDescent="0.9">
      <c r="B130" s="94"/>
      <c r="C130" s="94"/>
      <c r="D130" s="92"/>
      <c r="E130" s="92"/>
      <c r="F130" s="92"/>
      <c r="G130" s="92"/>
      <c r="H130" s="92"/>
      <c r="I130" s="92"/>
      <c r="J130" s="93"/>
      <c r="K130" s="92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/>
      <c r="AF130" s="158"/>
      <c r="AG130" s="158"/>
      <c r="AK130" s="183"/>
      <c r="AR130" s="434"/>
    </row>
    <row r="131" spans="2:44" s="98" customFormat="1" ht="66" customHeight="1" x14ac:dyDescent="0.9">
      <c r="B131" s="94"/>
      <c r="C131" s="94"/>
      <c r="D131" s="92"/>
      <c r="E131" s="92"/>
      <c r="F131" s="92"/>
      <c r="G131" s="92"/>
      <c r="H131" s="92"/>
      <c r="I131" s="92"/>
      <c r="J131" s="93"/>
      <c r="K131" s="92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/>
      <c r="AF131" s="158"/>
      <c r="AG131" s="158"/>
      <c r="AK131" s="183"/>
      <c r="AR131" s="434"/>
    </row>
    <row r="133" spans="2:44" s="92" customFormat="1" x14ac:dyDescent="0.7">
      <c r="B133" s="94"/>
      <c r="C133" s="94"/>
      <c r="D133" s="92">
        <v>2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5"/>
      <c r="AG133" s="155"/>
      <c r="AH133" s="98"/>
      <c r="AI133" s="98"/>
      <c r="AJ133" s="98"/>
      <c r="AK133" s="183"/>
      <c r="AL133" s="91"/>
      <c r="AM133" s="91"/>
      <c r="AR133" s="243"/>
    </row>
    <row r="134" spans="2:44" s="92" customFormat="1" x14ac:dyDescent="0.7">
      <c r="B134" s="94"/>
      <c r="C134" s="94"/>
      <c r="H134" s="92">
        <v>1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5"/>
      <c r="AF134" s="155"/>
      <c r="AG134" s="155"/>
      <c r="AH134" s="98"/>
      <c r="AI134" s="98"/>
      <c r="AJ134" s="98"/>
      <c r="AK134" s="183"/>
      <c r="AL134" s="91"/>
      <c r="AM134" s="91"/>
      <c r="AR134" s="243"/>
    </row>
    <row r="135" spans="2:44" s="92" customFormat="1" x14ac:dyDescent="0.7">
      <c r="B135" s="94"/>
      <c r="C135" s="94"/>
      <c r="H135" s="92">
        <v>2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5"/>
      <c r="AF135" s="155"/>
      <c r="AG135" s="155"/>
      <c r="AH135" s="98"/>
      <c r="AI135" s="98"/>
      <c r="AJ135" s="98"/>
      <c r="AK135" s="183"/>
      <c r="AL135" s="91"/>
      <c r="AM135" s="91"/>
      <c r="AR135" s="243"/>
    </row>
    <row r="136" spans="2:44" s="92" customFormat="1" x14ac:dyDescent="0.7">
      <c r="B136" s="94"/>
      <c r="C136" s="94"/>
      <c r="H136" s="92">
        <v>3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5"/>
      <c r="AF136" s="155"/>
      <c r="AG136" s="155"/>
      <c r="AH136" s="98"/>
      <c r="AI136" s="98"/>
      <c r="AJ136" s="98"/>
      <c r="AK136" s="183"/>
      <c r="AL136" s="91"/>
      <c r="AM136" s="91"/>
      <c r="AR136" s="243"/>
    </row>
    <row r="137" spans="2:44" s="92" customFormat="1" x14ac:dyDescent="0.7">
      <c r="B137" s="94"/>
      <c r="C137" s="94"/>
      <c r="H137" s="92">
        <v>4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5"/>
      <c r="AF137" s="155"/>
      <c r="AG137" s="155"/>
      <c r="AH137" s="98"/>
      <c r="AI137" s="98"/>
      <c r="AJ137" s="98"/>
      <c r="AK137" s="183"/>
      <c r="AL137" s="91"/>
      <c r="AM137" s="91"/>
      <c r="AR137" s="243"/>
    </row>
    <row r="138" spans="2:44" s="92" customFormat="1" x14ac:dyDescent="0.7">
      <c r="B138" s="94"/>
      <c r="C138" s="94"/>
      <c r="H138" s="92">
        <v>5</v>
      </c>
      <c r="J138" s="93"/>
      <c r="L138" s="99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5"/>
      <c r="AF138" s="155"/>
      <c r="AG138" s="155"/>
      <c r="AH138" s="98"/>
      <c r="AI138" s="98"/>
      <c r="AJ138" s="98"/>
      <c r="AK138" s="183"/>
      <c r="AL138" s="91"/>
      <c r="AM138" s="91"/>
      <c r="AR138" s="243"/>
    </row>
    <row r="139" spans="2:44" s="92" customFormat="1" x14ac:dyDescent="0.7">
      <c r="B139" s="94"/>
      <c r="C139" s="94"/>
      <c r="H139" s="92">
        <v>6</v>
      </c>
      <c r="J139" s="93"/>
      <c r="L139" s="99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5"/>
      <c r="AF139" s="155"/>
      <c r="AG139" s="155"/>
      <c r="AH139" s="98"/>
      <c r="AI139" s="98"/>
      <c r="AJ139" s="98"/>
      <c r="AK139" s="183"/>
      <c r="AL139" s="91"/>
      <c r="AM139" s="91"/>
      <c r="AR139" s="243"/>
    </row>
    <row r="140" spans="2:44" s="92" customFormat="1" x14ac:dyDescent="0.7">
      <c r="B140" s="94"/>
      <c r="C140" s="94"/>
      <c r="H140" s="92">
        <v>7</v>
      </c>
      <c r="J140" s="93"/>
      <c r="L140" s="99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5"/>
      <c r="AF140" s="155"/>
      <c r="AG140" s="155"/>
      <c r="AH140" s="98"/>
      <c r="AI140" s="98"/>
      <c r="AJ140" s="98"/>
      <c r="AK140" s="183"/>
      <c r="AL140" s="91"/>
      <c r="AM140" s="91"/>
      <c r="AR140" s="243"/>
    </row>
    <row r="141" spans="2:44" s="92" customFormat="1" x14ac:dyDescent="0.7">
      <c r="B141" s="94"/>
      <c r="C141" s="94"/>
      <c r="H141" s="92">
        <v>8</v>
      </c>
      <c r="J141" s="93"/>
      <c r="L141" s="99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5"/>
      <c r="AF141" s="155"/>
      <c r="AG141" s="155"/>
      <c r="AH141" s="98"/>
      <c r="AI141" s="98"/>
      <c r="AJ141" s="98"/>
      <c r="AK141" s="183"/>
      <c r="AL141" s="91"/>
      <c r="AM141" s="91"/>
      <c r="AR141" s="243"/>
    </row>
    <row r="142" spans="2:44" s="92" customFormat="1" x14ac:dyDescent="0.7">
      <c r="B142" s="94"/>
      <c r="C142" s="94"/>
      <c r="H142" s="92">
        <v>11</v>
      </c>
      <c r="J142" s="93"/>
      <c r="L142" s="99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  <c r="AC142" s="91"/>
      <c r="AD142" s="91"/>
      <c r="AE142" s="95"/>
      <c r="AF142" s="155"/>
      <c r="AG142" s="155"/>
      <c r="AH142" s="98"/>
      <c r="AI142" s="98"/>
      <c r="AJ142" s="98"/>
      <c r="AK142" s="183"/>
      <c r="AL142" s="91"/>
      <c r="AM142" s="91"/>
      <c r="AR142" s="243"/>
    </row>
    <row r="143" spans="2:44" s="92" customFormat="1" x14ac:dyDescent="0.7">
      <c r="B143" s="94"/>
      <c r="C143" s="94"/>
      <c r="H143" s="92">
        <v>12</v>
      </c>
      <c r="J143" s="93"/>
      <c r="L143" s="99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  <c r="AC143" s="91"/>
      <c r="AD143" s="91"/>
      <c r="AE143" s="95"/>
      <c r="AF143" s="155"/>
      <c r="AG143" s="155"/>
      <c r="AH143" s="98"/>
      <c r="AI143" s="98"/>
      <c r="AJ143" s="98"/>
      <c r="AK143" s="183"/>
      <c r="AL143" s="91"/>
      <c r="AM143" s="91"/>
      <c r="AR143" s="243"/>
    </row>
    <row r="144" spans="2:44" s="92" customFormat="1" x14ac:dyDescent="0.7">
      <c r="B144" s="94"/>
      <c r="C144" s="94"/>
      <c r="H144" s="92">
        <v>13</v>
      </c>
      <c r="J144" s="93"/>
      <c r="L144" s="99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  <c r="AC144" s="91"/>
      <c r="AD144" s="91"/>
      <c r="AE144" s="95"/>
      <c r="AF144" s="155"/>
      <c r="AG144" s="155"/>
      <c r="AH144" s="98"/>
      <c r="AI144" s="98"/>
      <c r="AJ144" s="98"/>
      <c r="AK144" s="183"/>
      <c r="AL144" s="91"/>
      <c r="AM144" s="91"/>
      <c r="AR144" s="243"/>
    </row>
    <row r="145" spans="2:44" s="92" customFormat="1" x14ac:dyDescent="0.7">
      <c r="B145" s="94"/>
      <c r="C145" s="94"/>
      <c r="H145" s="92">
        <v>14</v>
      </c>
      <c r="J145" s="93"/>
      <c r="L145" s="99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  <c r="AC145" s="91"/>
      <c r="AD145" s="91"/>
      <c r="AE145" s="95"/>
      <c r="AF145" s="155"/>
      <c r="AG145" s="155"/>
      <c r="AH145" s="98"/>
      <c r="AI145" s="98"/>
      <c r="AJ145" s="98"/>
      <c r="AK145" s="183"/>
      <c r="AL145" s="91"/>
      <c r="AM145" s="91"/>
      <c r="AR145" s="243"/>
    </row>
    <row r="146" spans="2:44" s="92" customFormat="1" x14ac:dyDescent="0.7">
      <c r="B146" s="94"/>
      <c r="C146" s="94"/>
      <c r="H146" s="92">
        <v>15</v>
      </c>
      <c r="J146" s="93"/>
      <c r="L146" s="99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  <c r="AC146" s="91"/>
      <c r="AD146" s="91"/>
      <c r="AE146" s="95"/>
      <c r="AF146" s="155"/>
      <c r="AG146" s="155"/>
      <c r="AH146" s="98"/>
      <c r="AI146" s="98"/>
      <c r="AJ146" s="98"/>
      <c r="AK146" s="183"/>
      <c r="AL146" s="91"/>
      <c r="AM146" s="91"/>
      <c r="AR146" s="243"/>
    </row>
    <row r="147" spans="2:44" s="92" customFormat="1" x14ac:dyDescent="0.7">
      <c r="B147" s="94"/>
      <c r="C147" s="94"/>
      <c r="H147" s="92">
        <v>17</v>
      </c>
      <c r="J147" s="93"/>
      <c r="L147" s="99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  <c r="AC147" s="91"/>
      <c r="AD147" s="91"/>
      <c r="AE147" s="95"/>
      <c r="AF147" s="155"/>
      <c r="AG147" s="155"/>
      <c r="AH147" s="98"/>
      <c r="AI147" s="98"/>
      <c r="AJ147" s="98"/>
      <c r="AK147" s="183"/>
      <c r="AL147" s="91"/>
      <c r="AM147" s="91"/>
      <c r="AR147" s="243"/>
    </row>
    <row r="148" spans="2:44" s="92" customFormat="1" x14ac:dyDescent="0.7">
      <c r="B148" s="94"/>
      <c r="C148" s="94"/>
      <c r="H148" s="92">
        <v>18</v>
      </c>
      <c r="J148" s="93"/>
      <c r="L148" s="99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  <c r="AC148" s="91"/>
      <c r="AD148" s="91"/>
      <c r="AE148" s="95"/>
      <c r="AF148" s="155"/>
      <c r="AG148" s="155"/>
      <c r="AH148" s="98"/>
      <c r="AI148" s="98"/>
      <c r="AJ148" s="98"/>
      <c r="AK148" s="183"/>
      <c r="AL148" s="91"/>
      <c r="AM148" s="91"/>
      <c r="AR148" s="243"/>
    </row>
    <row r="149" spans="2:44" s="92" customFormat="1" x14ac:dyDescent="0.7">
      <c r="B149" s="94"/>
      <c r="C149" s="94"/>
      <c r="H149" s="92">
        <v>19</v>
      </c>
      <c r="J149" s="93"/>
      <c r="L149" s="99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  <c r="AC149" s="91"/>
      <c r="AD149" s="91"/>
      <c r="AE149" s="95"/>
      <c r="AF149" s="155"/>
      <c r="AG149" s="155"/>
      <c r="AH149" s="98"/>
      <c r="AI149" s="98"/>
      <c r="AJ149" s="98"/>
      <c r="AK149" s="183"/>
      <c r="AL149" s="91"/>
      <c r="AM149" s="91"/>
      <c r="AR149" s="243"/>
    </row>
    <row r="205" spans="2:44" s="92" customFormat="1" x14ac:dyDescent="0.7">
      <c r="B205" s="94"/>
      <c r="C205" s="94"/>
      <c r="G205" s="92">
        <v>1</v>
      </c>
      <c r="J205" s="93"/>
      <c r="L205" s="99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  <c r="AC205" s="91"/>
      <c r="AD205" s="91"/>
      <c r="AE205" s="95"/>
      <c r="AF205" s="155"/>
      <c r="AG205" s="155"/>
      <c r="AH205" s="98"/>
      <c r="AI205" s="98"/>
      <c r="AJ205" s="98"/>
      <c r="AK205" s="183"/>
      <c r="AL205" s="91"/>
      <c r="AM205" s="91"/>
      <c r="AR205" s="243"/>
    </row>
  </sheetData>
  <sheetProtection algorithmName="SHA-512" hashValue="D508hHeJBVge1k+mw22xsxuyjBD1Gth+ZRmauNPEAVu3F3IzdZ+sMMsZUcyOcqR3yX/tfgPQl5CWzhssSfg/bQ==" saltValue="YR+0irWaqTajpO+yJwhF/g==" spinCount="100000" sheet="1" autoFilter="0"/>
  <autoFilter ref="A5:CR109">
    <filterColumn colId="9" showButton="0"/>
  </autoFilter>
  <mergeCells count="75">
    <mergeCell ref="T126:V126"/>
    <mergeCell ref="G74:G77"/>
    <mergeCell ref="Z74:Z76"/>
    <mergeCell ref="G102:G105"/>
    <mergeCell ref="Z102:Z104"/>
    <mergeCell ref="G106:G109"/>
    <mergeCell ref="Z106:Z108"/>
    <mergeCell ref="Z111:AA111"/>
    <mergeCell ref="Z113:AA113"/>
    <mergeCell ref="G94:G97"/>
    <mergeCell ref="Z94:Z96"/>
    <mergeCell ref="AW95:BG95"/>
    <mergeCell ref="G98:G101"/>
    <mergeCell ref="Z98:Z100"/>
    <mergeCell ref="G82:G85"/>
    <mergeCell ref="Z82:Z84"/>
    <mergeCell ref="G86:G89"/>
    <mergeCell ref="Z86:Z88"/>
    <mergeCell ref="AW87:BF87"/>
    <mergeCell ref="G90:G93"/>
    <mergeCell ref="Z90:Z92"/>
    <mergeCell ref="AW91:BG91"/>
    <mergeCell ref="G66:G69"/>
    <mergeCell ref="Z66:Z68"/>
    <mergeCell ref="G70:G73"/>
    <mergeCell ref="Z70:Z72"/>
    <mergeCell ref="G78:G81"/>
    <mergeCell ref="Z78:Z80"/>
    <mergeCell ref="G62:G65"/>
    <mergeCell ref="Z62:Z64"/>
    <mergeCell ref="AW63:BF63"/>
    <mergeCell ref="G46:G49"/>
    <mergeCell ref="Z46:Z48"/>
    <mergeCell ref="AW47:BF47"/>
    <mergeCell ref="G50:G53"/>
    <mergeCell ref="Z50:Z52"/>
    <mergeCell ref="AW51:BF51"/>
    <mergeCell ref="G54:G57"/>
    <mergeCell ref="Z54:Z56"/>
    <mergeCell ref="G58:G61"/>
    <mergeCell ref="Z58:Z60"/>
    <mergeCell ref="AW59:BF59"/>
    <mergeCell ref="G34:G37"/>
    <mergeCell ref="Z34:Z36"/>
    <mergeCell ref="G42:G45"/>
    <mergeCell ref="Z42:Z44"/>
    <mergeCell ref="G22:G25"/>
    <mergeCell ref="Z22:Z24"/>
    <mergeCell ref="G38:G41"/>
    <mergeCell ref="Z38:Z40"/>
    <mergeCell ref="AW23:BF23"/>
    <mergeCell ref="G26:G29"/>
    <mergeCell ref="Z26:Z28"/>
    <mergeCell ref="G30:G33"/>
    <mergeCell ref="Z30:Z32"/>
    <mergeCell ref="G14:G17"/>
    <mergeCell ref="Z14:Z16"/>
    <mergeCell ref="AW15:BF15"/>
    <mergeCell ref="G18:G21"/>
    <mergeCell ref="Z18:Z20"/>
    <mergeCell ref="AW19:BF19"/>
    <mergeCell ref="J5:K5"/>
    <mergeCell ref="G6:G9"/>
    <mergeCell ref="Z6:Z8"/>
    <mergeCell ref="AW7:BF7"/>
    <mergeCell ref="G10:G13"/>
    <mergeCell ref="Z10:Z12"/>
    <mergeCell ref="AW11:BF11"/>
    <mergeCell ref="AD1:AE1"/>
    <mergeCell ref="AD2:AE3"/>
    <mergeCell ref="H3:I3"/>
    <mergeCell ref="K3:L3"/>
    <mergeCell ref="B4:G4"/>
    <mergeCell ref="K4:L4"/>
    <mergeCell ref="AD4:AE4"/>
  </mergeCells>
  <conditionalFormatting sqref="AD2:AE3">
    <cfRule type="cellIs" dxfId="10742" priority="937" operator="lessThan">
      <formula>0.85</formula>
    </cfRule>
  </conditionalFormatting>
  <conditionalFormatting sqref="AM1:AM5 AM110:AM1048576">
    <cfRule type="cellIs" dxfId="10741" priority="936" operator="notEqual">
      <formula>0</formula>
    </cfRule>
  </conditionalFormatting>
  <conditionalFormatting sqref="AQ110:AQ112 AQ58 AQ6 AQ46 AQ42 AQ98">
    <cfRule type="cellIs" dxfId="10740" priority="935" operator="lessThan">
      <formula>0</formula>
    </cfRule>
  </conditionalFormatting>
  <conditionalFormatting sqref="X110:Y110">
    <cfRule type="cellIs" dxfId="10739" priority="934" operator="lessThan">
      <formula>0</formula>
    </cfRule>
  </conditionalFormatting>
  <conditionalFormatting sqref="AM26:AM29">
    <cfRule type="cellIs" dxfId="10738" priority="932" operator="notEqual">
      <formula>0</formula>
    </cfRule>
  </conditionalFormatting>
  <conditionalFormatting sqref="I28">
    <cfRule type="cellIs" dxfId="10737" priority="931" operator="greaterThan">
      <formula>0</formula>
    </cfRule>
  </conditionalFormatting>
  <conditionalFormatting sqref="J28">
    <cfRule type="cellIs" dxfId="10736" priority="930" operator="greaterThan">
      <formula>0</formula>
    </cfRule>
  </conditionalFormatting>
  <conditionalFormatting sqref="AM78:AM81">
    <cfRule type="cellIs" dxfId="10735" priority="928" operator="notEqual">
      <formula>0</formula>
    </cfRule>
  </conditionalFormatting>
  <conditionalFormatting sqref="I80">
    <cfRule type="cellIs" dxfId="10734" priority="927" operator="greaterThan">
      <formula>0</formula>
    </cfRule>
  </conditionalFormatting>
  <conditionalFormatting sqref="AM22:AM25">
    <cfRule type="cellIs" dxfId="10733" priority="925" operator="notEqual">
      <formula>0</formula>
    </cfRule>
  </conditionalFormatting>
  <conditionalFormatting sqref="I24">
    <cfRule type="cellIs" dxfId="10732" priority="924" operator="greaterThan">
      <formula>0</formula>
    </cfRule>
  </conditionalFormatting>
  <conditionalFormatting sqref="J24">
    <cfRule type="cellIs" dxfId="10731" priority="923" operator="greaterThan">
      <formula>0</formula>
    </cfRule>
  </conditionalFormatting>
  <conditionalFormatting sqref="AM14:AM17">
    <cfRule type="cellIs" dxfId="10730" priority="921" operator="notEqual">
      <formula>0</formula>
    </cfRule>
  </conditionalFormatting>
  <conditionalFormatting sqref="I16">
    <cfRule type="cellIs" dxfId="10729" priority="920" operator="greaterThan">
      <formula>0</formula>
    </cfRule>
  </conditionalFormatting>
  <conditionalFormatting sqref="AM66:AM69">
    <cfRule type="cellIs" dxfId="10728" priority="915" operator="notEqual">
      <formula>0</formula>
    </cfRule>
  </conditionalFormatting>
  <conditionalFormatting sqref="I68">
    <cfRule type="cellIs" dxfId="10727" priority="914" operator="greaterThan">
      <formula>0</formula>
    </cfRule>
  </conditionalFormatting>
  <conditionalFormatting sqref="J68">
    <cfRule type="cellIs" dxfId="10726" priority="913" operator="greaterThan">
      <formula>0</formula>
    </cfRule>
  </conditionalFormatting>
  <conditionalFormatting sqref="AM70:AM73">
    <cfRule type="cellIs" dxfId="10725" priority="910" operator="notEqual">
      <formula>0</formula>
    </cfRule>
  </conditionalFormatting>
  <conditionalFormatting sqref="I72">
    <cfRule type="cellIs" dxfId="10724" priority="909" operator="greaterThan">
      <formula>0</formula>
    </cfRule>
  </conditionalFormatting>
  <conditionalFormatting sqref="J72">
    <cfRule type="cellIs" dxfId="10723" priority="908" operator="greaterThan">
      <formula>0</formula>
    </cfRule>
  </conditionalFormatting>
  <conditionalFormatting sqref="AM86:AM89">
    <cfRule type="cellIs" dxfId="10722" priority="906" operator="notEqual">
      <formula>0</formula>
    </cfRule>
  </conditionalFormatting>
  <conditionalFormatting sqref="I88">
    <cfRule type="cellIs" dxfId="10721" priority="905" operator="greaterThan">
      <formula>0</formula>
    </cfRule>
  </conditionalFormatting>
  <conditionalFormatting sqref="AM90:AM93">
    <cfRule type="cellIs" dxfId="10720" priority="903" operator="notEqual">
      <formula>0</formula>
    </cfRule>
  </conditionalFormatting>
  <conditionalFormatting sqref="I92">
    <cfRule type="cellIs" dxfId="10719" priority="902" operator="greaterThan">
      <formula>0</formula>
    </cfRule>
  </conditionalFormatting>
  <conditionalFormatting sqref="AM102:AM105">
    <cfRule type="cellIs" dxfId="10718" priority="900" operator="notEqual">
      <formula>0</formula>
    </cfRule>
  </conditionalFormatting>
  <conditionalFormatting sqref="I104">
    <cfRule type="cellIs" dxfId="10717" priority="899" operator="greaterThan">
      <formula>0</formula>
    </cfRule>
  </conditionalFormatting>
  <conditionalFormatting sqref="J88">
    <cfRule type="cellIs" dxfId="10716" priority="898" operator="greaterThan">
      <formula>0</formula>
    </cfRule>
  </conditionalFormatting>
  <conditionalFormatting sqref="J92">
    <cfRule type="cellIs" dxfId="10715" priority="897" operator="greaterThan">
      <formula>0</formula>
    </cfRule>
  </conditionalFormatting>
  <conditionalFormatting sqref="J104">
    <cfRule type="cellIs" dxfId="10714" priority="896" operator="greaterThan">
      <formula>0</formula>
    </cfRule>
  </conditionalFormatting>
  <conditionalFormatting sqref="AM34:AM37">
    <cfRule type="cellIs" dxfId="10713" priority="894" operator="notEqual">
      <formula>0</formula>
    </cfRule>
  </conditionalFormatting>
  <conditionalFormatting sqref="I36">
    <cfRule type="cellIs" dxfId="10712" priority="893" operator="greaterThan">
      <formula>0</formula>
    </cfRule>
  </conditionalFormatting>
  <conditionalFormatting sqref="J36">
    <cfRule type="cellIs" dxfId="10711" priority="892" operator="greaterThan">
      <formula>0</formula>
    </cfRule>
  </conditionalFormatting>
  <conditionalFormatting sqref="J16">
    <cfRule type="cellIs" dxfId="10710" priority="891" operator="greaterThan">
      <formula>0</formula>
    </cfRule>
  </conditionalFormatting>
  <conditionalFormatting sqref="AM58:AM61">
    <cfRule type="cellIs" dxfId="10709" priority="889" operator="notEqual">
      <formula>0</formula>
    </cfRule>
  </conditionalFormatting>
  <conditionalFormatting sqref="I60">
    <cfRule type="cellIs" dxfId="10708" priority="888" operator="greaterThan">
      <formula>0</formula>
    </cfRule>
  </conditionalFormatting>
  <conditionalFormatting sqref="J60">
    <cfRule type="cellIs" dxfId="10707" priority="887" operator="greaterThan">
      <formula>0</formula>
    </cfRule>
  </conditionalFormatting>
  <conditionalFormatting sqref="AM46:AM49">
    <cfRule type="cellIs" dxfId="10706" priority="885" operator="notEqual">
      <formula>0</formula>
    </cfRule>
  </conditionalFormatting>
  <conditionalFormatting sqref="I48">
    <cfRule type="cellIs" dxfId="10705" priority="884" operator="greaterThan">
      <formula>0</formula>
    </cfRule>
  </conditionalFormatting>
  <conditionalFormatting sqref="J80">
    <cfRule type="cellIs" dxfId="10704" priority="879" operator="greaterThan">
      <formula>0</formula>
    </cfRule>
  </conditionalFormatting>
  <conditionalFormatting sqref="AM54:AM57">
    <cfRule type="cellIs" dxfId="10703" priority="877" operator="notEqual">
      <formula>0</formula>
    </cfRule>
  </conditionalFormatting>
  <conditionalFormatting sqref="I56">
    <cfRule type="cellIs" dxfId="10702" priority="876" operator="greaterThan">
      <formula>0</formula>
    </cfRule>
  </conditionalFormatting>
  <conditionalFormatting sqref="J56">
    <cfRule type="cellIs" dxfId="10701" priority="875" operator="greaterThan">
      <formula>0</formula>
    </cfRule>
  </conditionalFormatting>
  <conditionalFormatting sqref="AQ6 AQ14 AQ22 AQ26 AQ30 AQ34 AQ42 AQ46 AQ50 AQ54 AQ58 AQ66 AQ70 AQ78 AQ82 AQ86 AQ90 AQ94 AQ98 AQ102">
    <cfRule type="cellIs" dxfId="10700" priority="874" operator="lessThan">
      <formula>0</formula>
    </cfRule>
  </conditionalFormatting>
  <conditionalFormatting sqref="AQ8:AQ9 AQ16:AQ17 AQ24:AQ26 AQ28:AQ30 AQ32:AQ34 AQ36:AQ37 AQ44:AQ45 AQ48:AQ50 AQ52:AQ54 AQ56:AQ58 AQ60:AQ61 AQ68:AQ70 AQ72:AQ73 AQ80:AQ82 AQ84:AQ86 AQ88:AQ90 AQ92:AQ94 AQ96:AQ97 AQ100:AQ102 AQ104:AQ105 AQ22 AQ66 AQ14 AQ78">
    <cfRule type="cellIs" dxfId="10699" priority="873" operator="lessThan">
      <formula>0</formula>
    </cfRule>
  </conditionalFormatting>
  <conditionalFormatting sqref="AQ8:AQ9 AQ16:AQ17 AQ24:AQ26 AQ28:AQ30 AQ32:AQ34 AQ36:AQ37 AQ44:AQ45 AQ48:AQ50 AQ52:AQ54 AQ56:AQ58 AQ60:AQ61 AQ68:AQ70 AQ72:AQ73 AQ80:AQ82 AQ84:AQ86 AQ88:AQ90 AQ92:AQ94 AQ96:AQ97 AQ100:AQ102 AQ104:AQ105 AQ22 AQ66 AQ14 AQ78">
    <cfRule type="cellIs" dxfId="10698" priority="872" operator="lessThan">
      <formula>0</formula>
    </cfRule>
  </conditionalFormatting>
  <conditionalFormatting sqref="AQ8:AQ9 AQ16:AQ17 AQ24:AQ26 AQ28:AQ30 AQ32:AQ34 AQ36:AQ37 AQ44:AQ45 AQ48:AQ50 AQ52:AQ54 AQ56:AQ58 AQ60:AQ61 AQ68:AQ70 AQ72:AQ73 AQ80:AQ82 AQ84:AQ86 AQ88:AQ90 AQ92:AQ94 AQ96:AQ97 AQ100:AQ102 AQ104:AQ105 AQ22 AQ66 AQ14 AQ78">
    <cfRule type="cellIs" dxfId="10697" priority="871" operator="lessThan">
      <formula>0</formula>
    </cfRule>
  </conditionalFormatting>
  <conditionalFormatting sqref="AQ8:AQ9 AQ16:AQ17 AQ24:AQ26 AQ28:AQ30 AQ32:AQ34 AQ36:AQ37 AQ44:AQ45 AQ48:AQ50 AQ52:AQ54 AQ56:AQ58 AQ60:AQ61 AQ68:AQ70 AQ72:AQ73 AQ80:AQ82 AQ84:AQ86 AQ88:AQ90 AQ92:AQ94 AQ96:AQ97 AQ100:AQ102 AQ104:AQ105 AQ22 AQ66 AQ14 AQ78">
    <cfRule type="cellIs" dxfId="10696" priority="870" operator="lessThan">
      <formula>0</formula>
    </cfRule>
  </conditionalFormatting>
  <conditionalFormatting sqref="AQ8:AQ9 AQ16:AQ17 AQ24:AQ25 AQ28:AQ29 AQ32:AQ33 AQ36:AQ37 AQ44:AQ45 AQ48:AQ49 AQ52:AQ53 AQ56:AQ57 AQ60:AQ61 AQ68:AQ69 AQ72:AQ73 AQ80:AQ81 AQ84:AQ85 AQ88:AQ89 AQ92:AQ93 AQ96:AQ97 AQ100:AQ101 AQ104:AQ105">
    <cfRule type="cellIs" dxfId="10695" priority="869" operator="lessThan">
      <formula>0</formula>
    </cfRule>
  </conditionalFormatting>
  <conditionalFormatting sqref="AQ8:AQ9 AQ16:AQ17 AQ24:AQ25 AQ28:AQ29 AQ32:AQ33 AQ36:AQ37 AQ44:AQ45 AQ48:AQ49 AQ52:AQ53 AQ56:AQ57 AQ60:AQ61 AQ68:AQ69 AQ72:AQ73 AQ80:AQ81 AQ84:AQ85 AQ88:AQ89 AQ92:AQ93 AQ96:AQ97 AQ100:AQ101 AQ104:AQ105">
    <cfRule type="cellIs" dxfId="10694" priority="868" operator="lessThan">
      <formula>0</formula>
    </cfRule>
  </conditionalFormatting>
  <conditionalFormatting sqref="AQ8:AQ9 AQ16:AQ17 AQ24:AQ25 AQ28:AQ29 AQ32:AQ33 AQ36:AQ37 AQ44:AQ45 AQ48:AQ49 AQ52:AQ53 AQ56:AQ57 AQ60:AQ61 AQ68:AQ69 AQ72:AQ73 AQ80:AQ81 AQ84:AQ85 AQ88:AQ89 AQ92:AQ93 AQ96:AQ97 AQ100:AQ101 AQ104:AQ105">
    <cfRule type="cellIs" dxfId="10693" priority="867" operator="lessThan">
      <formula>0</formula>
    </cfRule>
  </conditionalFormatting>
  <conditionalFormatting sqref="AQ8:AQ9 AQ16:AQ17 AQ24:AQ25 AQ28:AQ29 AQ32:AQ33 AQ36:AQ37 AQ44:AQ45 AQ48:AQ49 AQ52:AQ53 AQ56:AQ57 AQ60:AQ61 AQ68:AQ69 AQ72:AQ73 AQ80:AQ81 AQ84:AQ85 AQ88:AQ89 AQ92:AQ93 AQ96:AQ97 AQ100:AQ101 AQ104:AQ105">
    <cfRule type="cellIs" dxfId="10692" priority="866" operator="lessThan">
      <formula>0</formula>
    </cfRule>
  </conditionalFormatting>
  <conditionalFormatting sqref="AQ15 AQ23 AQ27 AQ35 AQ47 AQ51 AQ55 AQ59 AQ67 AQ71 AQ79 AQ83 AQ87 AQ91 AQ95 AQ103 AQ7 AQ31 AQ43 AQ99">
    <cfRule type="cellIs" dxfId="10691" priority="865" operator="lessThan">
      <formula>0</formula>
    </cfRule>
  </conditionalFormatting>
  <conditionalFormatting sqref="AQ15 AQ23 AQ27 AQ35 AQ47 AQ51 AQ55 AQ59 AQ67 AQ71 AQ79 AQ83 AQ87 AQ91 AQ95 AQ103 AQ7 AQ31 AQ43 AQ99">
    <cfRule type="cellIs" dxfId="10690" priority="864" operator="lessThan">
      <formula>0</formula>
    </cfRule>
  </conditionalFormatting>
  <conditionalFormatting sqref="AQ15 AQ23 AQ27 AQ35 AQ47 AQ51 AQ55 AQ59 AQ67 AQ71 AQ79 AQ83 AQ87 AQ91 AQ95 AQ103 AQ7 AQ31 AQ43 AQ99">
    <cfRule type="cellIs" dxfId="10689" priority="863" operator="lessThan">
      <formula>0</formula>
    </cfRule>
  </conditionalFormatting>
  <conditionalFormatting sqref="AQ15 AQ23 AQ27 AQ35 AQ47 AQ51 AQ55 AQ59 AQ67 AQ71 AQ79 AQ83 AQ87 AQ91 AQ95 AQ103 AQ7 AQ31 AQ43 AQ99">
    <cfRule type="cellIs" dxfId="10688" priority="862" operator="lessThan">
      <formula>0</formula>
    </cfRule>
  </conditionalFormatting>
  <conditionalFormatting sqref="AQ15 AQ23 AQ27 AQ35 AQ47 AQ51 AQ55 AQ59 AQ67 AQ71 AQ79 AQ83 AQ87 AQ91 AQ95 AQ103 AQ7 AQ31 AQ43 AQ99">
    <cfRule type="cellIs" dxfId="10687" priority="861" operator="lessThan">
      <formula>0</formula>
    </cfRule>
  </conditionalFormatting>
  <conditionalFormatting sqref="AQ15 AQ23 AQ27 AQ35 AQ47 AQ51 AQ55 AQ59 AQ67 AQ71 AQ79 AQ83 AQ87 AQ91 AQ95 AQ103 AQ7 AQ31 AQ43 AQ99">
    <cfRule type="cellIs" dxfId="10686" priority="860" operator="lessThan">
      <formula>0</formula>
    </cfRule>
  </conditionalFormatting>
  <conditionalFormatting sqref="AQ15 AQ23 AQ27 AQ35 AQ47 AQ51 AQ55 AQ59 AQ67 AQ71 AQ79 AQ83 AQ87 AQ91 AQ95 AQ103 AQ7 AQ31 AQ43 AQ99">
    <cfRule type="cellIs" dxfId="10685" priority="859" operator="lessThan">
      <formula>0</formula>
    </cfRule>
  </conditionalFormatting>
  <conditionalFormatting sqref="AQ15 AQ23 AQ27 AQ35 AQ47 AQ51 AQ55 AQ59 AQ67 AQ71 AQ79 AQ83 AQ87 AQ91 AQ95 AQ103 AQ7 AQ31 AQ43 AQ99">
    <cfRule type="cellIs" dxfId="10684" priority="858" operator="lessThan">
      <formula>0</formula>
    </cfRule>
  </conditionalFormatting>
  <conditionalFormatting sqref="AQ15 AQ23 AQ27 AQ35 AQ47 AQ51 AQ55 AQ59 AQ67 AQ71 AQ79 AQ83 AQ87 AQ91 AQ95 AQ103 AQ7 AQ31 AQ43 AQ99">
    <cfRule type="cellIs" dxfId="10683" priority="857" operator="lessThan">
      <formula>0</formula>
    </cfRule>
  </conditionalFormatting>
  <conditionalFormatting sqref="AQ15 AQ23 AQ27 AQ35 AQ47 AQ51 AQ55 AQ59 AQ67 AQ71 AQ79 AQ83 AQ87 AQ91 AQ95 AQ103 AQ7 AQ31 AQ43 AQ99">
    <cfRule type="cellIs" dxfId="10682" priority="856" operator="lessThan">
      <formula>0</formula>
    </cfRule>
  </conditionalFormatting>
  <conditionalFormatting sqref="AQ15 AQ23 AQ27 AQ35 AQ47 AQ51 AQ55 AQ59 AQ67 AQ71 AQ79 AQ83 AQ87 AQ91 AQ95 AQ103 AQ7 AQ31 AQ43 AQ99">
    <cfRule type="cellIs" dxfId="10681" priority="855" operator="lessThan">
      <formula>0</formula>
    </cfRule>
  </conditionalFormatting>
  <conditionalFormatting sqref="AQ15 AQ23 AQ27 AQ35 AQ47 AQ51 AQ55 AQ59 AQ67 AQ71 AQ79 AQ83 AQ87 AQ91 AQ95 AQ103 AQ7 AQ31 AQ43 AQ99">
    <cfRule type="cellIs" dxfId="10680" priority="854" operator="lessThan">
      <formula>0</formula>
    </cfRule>
  </conditionalFormatting>
  <conditionalFormatting sqref="AQ15 AQ23 AQ27 AQ35 AQ47 AQ51 AQ55 AQ59 AQ67 AQ71 AQ79 AQ83 AQ87 AQ91 AQ95 AQ103 AQ7 AQ31 AQ43 AQ99">
    <cfRule type="cellIs" dxfId="10679" priority="853" operator="lessThan">
      <formula>0</formula>
    </cfRule>
  </conditionalFormatting>
  <conditionalFormatting sqref="AQ15 AQ23 AQ27 AQ35 AQ47 AQ51 AQ55 AQ59 AQ67 AQ71 AQ79 AQ83 AQ87 AQ91 AQ95 AQ103 AQ7 AQ31 AQ43 AQ99">
    <cfRule type="cellIs" dxfId="10678" priority="852" operator="lessThan">
      <formula>0</formula>
    </cfRule>
  </conditionalFormatting>
  <conditionalFormatting sqref="AQ15 AQ23 AQ27 AQ35 AQ47 AQ51 AQ55 AQ59 AQ67 AQ71 AQ79 AQ83 AQ87 AQ91 AQ95 AQ103 AQ7 AQ31 AQ43 AQ99">
    <cfRule type="cellIs" dxfId="10677" priority="851" operator="lessThan">
      <formula>0</formula>
    </cfRule>
  </conditionalFormatting>
  <conditionalFormatting sqref="AQ15 AQ23 AQ27 AQ35 AQ47 AQ51 AQ55 AQ59 AQ67 AQ71 AQ79 AQ83 AQ87 AQ91 AQ95 AQ103 AQ7 AQ31 AQ43 AQ99">
    <cfRule type="cellIs" dxfId="10676" priority="850" operator="lessThan">
      <formula>0</formula>
    </cfRule>
  </conditionalFormatting>
  <conditionalFormatting sqref="AQ15 AQ23 AQ27 AQ35 AQ47 AQ51 AQ55 AQ59 AQ67 AQ71 AQ79 AQ83 AQ87 AQ91 AQ95 AQ103 AQ7 AQ31 AQ43 AQ99">
    <cfRule type="cellIs" dxfId="10675" priority="849" operator="lessThan">
      <formula>0</formula>
    </cfRule>
  </conditionalFormatting>
  <conditionalFormatting sqref="AQ15 AQ23 AQ27 AQ35 AQ47 AQ51 AQ55 AQ59 AQ67 AQ71 AQ79 AQ83 AQ87 AQ91 AQ95 AQ103 AQ7 AQ31 AQ43 AQ99">
    <cfRule type="cellIs" dxfId="10674" priority="848" operator="lessThan">
      <formula>0</formula>
    </cfRule>
  </conditionalFormatting>
  <conditionalFormatting sqref="AQ15 AQ23 AQ27 AQ35 AQ47 AQ51 AQ55 AQ59 AQ67 AQ71 AQ79 AQ83 AQ87 AQ91 AQ95 AQ103 AQ7 AQ31 AQ43 AQ99">
    <cfRule type="cellIs" dxfId="10673" priority="847" operator="lessThan">
      <formula>0</formula>
    </cfRule>
  </conditionalFormatting>
  <conditionalFormatting sqref="AQ15 AQ23 AQ27 AQ35 AQ47 AQ51 AQ55 AQ59 AQ67 AQ71 AQ79 AQ83 AQ87 AQ91 AQ95 AQ103 AQ7 AQ31 AQ43 AQ99">
    <cfRule type="cellIs" dxfId="10672" priority="846" operator="lessThan">
      <formula>0</formula>
    </cfRule>
  </conditionalFormatting>
  <conditionalFormatting sqref="AQ15 AQ23 AQ27 AQ35 AQ47 AQ51 AQ55 AQ59 AQ67 AQ71 AQ79 AQ83 AQ87 AQ91 AQ95 AQ103 AQ7 AQ31 AQ43 AQ99">
    <cfRule type="cellIs" dxfId="10671" priority="845" operator="lessThan">
      <formula>0</formula>
    </cfRule>
  </conditionalFormatting>
  <conditionalFormatting sqref="AQ15 AQ23 AQ27 AQ35 AQ47 AQ51 AQ55 AQ59 AQ67 AQ71 AQ79 AQ83 AQ87 AQ91 AQ95 AQ103 AQ7 AQ31 AQ43 AQ99">
    <cfRule type="cellIs" dxfId="10670" priority="844" operator="lessThan">
      <formula>0</formula>
    </cfRule>
  </conditionalFormatting>
  <conditionalFormatting sqref="AQ15 AQ23 AQ27 AQ35 AQ47 AQ51 AQ55 AQ59 AQ67 AQ71 AQ79 AQ83 AQ87 AQ91 AQ95 AQ103 AQ7 AQ31 AQ43 AQ99">
    <cfRule type="cellIs" dxfId="10669" priority="843" operator="lessThan">
      <formula>0</formula>
    </cfRule>
  </conditionalFormatting>
  <conditionalFormatting sqref="AQ15 AQ23 AQ27 AQ35 AQ47 AQ51 AQ55 AQ59 AQ67 AQ71 AQ79 AQ83 AQ87 AQ91 AQ95 AQ103 AQ7 AQ31 AQ43 AQ99">
    <cfRule type="cellIs" dxfId="10668" priority="842" operator="lessThan">
      <formula>0</formula>
    </cfRule>
  </conditionalFormatting>
  <conditionalFormatting sqref="AQ15 AQ23 AQ27 AQ35 AQ47 AQ51 AQ55 AQ59 AQ67 AQ71 AQ79 AQ83 AQ87 AQ91 AQ95 AQ103 AQ7 AQ31 AQ43 AQ99">
    <cfRule type="cellIs" dxfId="10667" priority="841" operator="lessThan">
      <formula>0</formula>
    </cfRule>
  </conditionalFormatting>
  <conditionalFormatting sqref="AQ15 AQ23 AQ27 AQ35 AQ47 AQ51 AQ55 AQ59 AQ67 AQ71 AQ79 AQ83 AQ87 AQ91 AQ95 AQ103 AQ7 AQ31 AQ43 AQ99">
    <cfRule type="cellIs" dxfId="10666" priority="840" operator="lessThan">
      <formula>0</formula>
    </cfRule>
  </conditionalFormatting>
  <conditionalFormatting sqref="AQ15 AQ23 AQ27 AQ35 AQ47 AQ51 AQ55 AQ59 AQ67 AQ71 AQ79 AQ83 AQ87 AQ91 AQ95 AQ103 AQ7 AQ31 AQ43 AQ99">
    <cfRule type="cellIs" dxfId="10665" priority="839" operator="lessThan">
      <formula>0</formula>
    </cfRule>
  </conditionalFormatting>
  <conditionalFormatting sqref="AQ15 AQ23 AQ27 AQ35 AQ47 AQ51 AQ55 AQ59 AQ67 AQ71 AQ79 AQ83 AQ87 AQ91 AQ95 AQ103 AQ7 AQ31 AQ43 AQ99">
    <cfRule type="cellIs" dxfId="10664" priority="838" operator="lessThan">
      <formula>0</formula>
    </cfRule>
  </conditionalFormatting>
  <conditionalFormatting sqref="AQ15 AQ23 AQ27 AQ35 AQ47 AQ51 AQ55 AQ59 AQ67 AQ71 AQ79 AQ83 AQ87 AQ91 AQ95 AQ103 AQ7 AQ31 AQ43 AQ99">
    <cfRule type="cellIs" dxfId="10663" priority="837" operator="lessThan">
      <formula>0</formula>
    </cfRule>
  </conditionalFormatting>
  <conditionalFormatting sqref="AQ15 AQ23 AQ27 AQ35 AQ47 AQ51 AQ55 AQ59 AQ67 AQ71 AQ79 AQ83 AQ87 AQ91 AQ95 AQ103 AQ7 AQ31 AQ43 AQ99">
    <cfRule type="cellIs" dxfId="10662" priority="836" operator="lessThan">
      <formula>0</formula>
    </cfRule>
  </conditionalFormatting>
  <conditionalFormatting sqref="AQ15 AQ23 AQ27 AQ35 AQ47 AQ51 AQ55 AQ59 AQ67 AQ71 AQ79 AQ83 AQ87 AQ91 AQ95 AQ103 AQ7 AQ31 AQ43 AQ99">
    <cfRule type="cellIs" dxfId="10661" priority="835" operator="lessThan">
      <formula>0</formula>
    </cfRule>
  </conditionalFormatting>
  <conditionalFormatting sqref="AQ15 AQ23 AQ27 AQ35 AQ47 AQ51 AQ55 AQ59 AQ67 AQ71 AQ79 AQ83 AQ87 AQ91 AQ95 AQ103 AQ7 AQ31 AQ43 AQ99">
    <cfRule type="cellIs" dxfId="10660" priority="834" operator="lessThan">
      <formula>0</formula>
    </cfRule>
  </conditionalFormatting>
  <conditionalFormatting sqref="AQ6">
    <cfRule type="cellIs" dxfId="10659" priority="833" operator="lessThan">
      <formula>0</formula>
    </cfRule>
  </conditionalFormatting>
  <conditionalFormatting sqref="AQ6 AQ8:AQ9">
    <cfRule type="cellIs" dxfId="10658" priority="832" operator="lessThan">
      <formula>0</formula>
    </cfRule>
  </conditionalFormatting>
  <conditionalFormatting sqref="AM6:AM9">
    <cfRule type="cellIs" dxfId="10657" priority="831" operator="notEqual">
      <formula>0</formula>
    </cfRule>
  </conditionalFormatting>
  <conditionalFormatting sqref="I8">
    <cfRule type="cellIs" dxfId="10656" priority="830" operator="greaterThan">
      <formula>0</formula>
    </cfRule>
  </conditionalFormatting>
  <conditionalFormatting sqref="AQ6 AQ8:AQ9">
    <cfRule type="cellIs" dxfId="10655" priority="829" operator="lessThan">
      <formula>0</formula>
    </cfRule>
  </conditionalFormatting>
  <conditionalFormatting sqref="AQ6 AQ8:AQ9">
    <cfRule type="cellIs" dxfId="10654" priority="828" operator="lessThan">
      <formula>0</formula>
    </cfRule>
  </conditionalFormatting>
  <conditionalFormatting sqref="AQ6 AQ8:AQ9">
    <cfRule type="cellIs" dxfId="10653" priority="827" operator="lessThan">
      <formula>0</formula>
    </cfRule>
  </conditionalFormatting>
  <conditionalFormatting sqref="J8">
    <cfRule type="cellIs" dxfId="10652" priority="826" operator="greaterThan">
      <formula>0</formula>
    </cfRule>
  </conditionalFormatting>
  <conditionalFormatting sqref="AQ8:AQ9">
    <cfRule type="cellIs" dxfId="10651" priority="825" operator="lessThan">
      <formula>0</formula>
    </cfRule>
  </conditionalFormatting>
  <conditionalFormatting sqref="AQ8:AQ9">
    <cfRule type="cellIs" dxfId="10650" priority="824" operator="lessThan">
      <formula>0</formula>
    </cfRule>
  </conditionalFormatting>
  <conditionalFormatting sqref="AQ8:AQ9">
    <cfRule type="cellIs" dxfId="10649" priority="823" operator="lessThan">
      <formula>0</formula>
    </cfRule>
  </conditionalFormatting>
  <conditionalFormatting sqref="AQ8:AQ9">
    <cfRule type="cellIs" dxfId="10648" priority="822" operator="lessThan">
      <formula>0</formula>
    </cfRule>
  </conditionalFormatting>
  <conditionalFormatting sqref="AQ7">
    <cfRule type="cellIs" dxfId="10647" priority="821" operator="lessThan">
      <formula>0</formula>
    </cfRule>
  </conditionalFormatting>
  <conditionalFormatting sqref="AQ7">
    <cfRule type="cellIs" dxfId="10646" priority="820" operator="lessThan">
      <formula>0</formula>
    </cfRule>
  </conditionalFormatting>
  <conditionalFormatting sqref="AQ7">
    <cfRule type="cellIs" dxfId="10645" priority="819" operator="lessThan">
      <formula>0</formula>
    </cfRule>
  </conditionalFormatting>
  <conditionalFormatting sqref="AQ7">
    <cfRule type="cellIs" dxfId="10644" priority="818" operator="lessThan">
      <formula>0</formula>
    </cfRule>
  </conditionalFormatting>
  <conditionalFormatting sqref="AQ7">
    <cfRule type="cellIs" dxfId="10643" priority="817" operator="lessThan">
      <formula>0</formula>
    </cfRule>
  </conditionalFormatting>
  <conditionalFormatting sqref="AQ7">
    <cfRule type="cellIs" dxfId="10642" priority="816" operator="lessThan">
      <formula>0</formula>
    </cfRule>
  </conditionalFormatting>
  <conditionalFormatting sqref="AQ7">
    <cfRule type="cellIs" dxfId="10641" priority="815" operator="lessThan">
      <formula>0</formula>
    </cfRule>
  </conditionalFormatting>
  <conditionalFormatting sqref="AQ7">
    <cfRule type="cellIs" dxfId="10640" priority="814" operator="lessThan">
      <formula>0</formula>
    </cfRule>
  </conditionalFormatting>
  <conditionalFormatting sqref="AQ7">
    <cfRule type="cellIs" dxfId="10639" priority="813" operator="lessThan">
      <formula>0</formula>
    </cfRule>
  </conditionalFormatting>
  <conditionalFormatting sqref="AQ7">
    <cfRule type="cellIs" dxfId="10638" priority="812" operator="lessThan">
      <formula>0</formula>
    </cfRule>
  </conditionalFormatting>
  <conditionalFormatting sqref="AQ7">
    <cfRule type="cellIs" dxfId="10637" priority="811" operator="lessThan">
      <formula>0</formula>
    </cfRule>
  </conditionalFormatting>
  <conditionalFormatting sqref="AQ7">
    <cfRule type="cellIs" dxfId="10636" priority="810" operator="lessThan">
      <formula>0</formula>
    </cfRule>
  </conditionalFormatting>
  <conditionalFormatting sqref="AQ7">
    <cfRule type="cellIs" dxfId="10635" priority="809" operator="lessThan">
      <formula>0</formula>
    </cfRule>
  </conditionalFormatting>
  <conditionalFormatting sqref="AQ7">
    <cfRule type="cellIs" dxfId="10634" priority="808" operator="lessThan">
      <formula>0</formula>
    </cfRule>
  </conditionalFormatting>
  <conditionalFormatting sqref="AQ7">
    <cfRule type="cellIs" dxfId="10633" priority="807" operator="lessThan">
      <formula>0</formula>
    </cfRule>
  </conditionalFormatting>
  <conditionalFormatting sqref="AQ7">
    <cfRule type="cellIs" dxfId="10632" priority="806" operator="lessThan">
      <formula>0</formula>
    </cfRule>
  </conditionalFormatting>
  <conditionalFormatting sqref="AQ7">
    <cfRule type="cellIs" dxfId="10631" priority="790" operator="lessThan">
      <formula>0</formula>
    </cfRule>
  </conditionalFormatting>
  <conditionalFormatting sqref="AQ7">
    <cfRule type="cellIs" dxfId="10630" priority="805" operator="lessThan">
      <formula>0</formula>
    </cfRule>
  </conditionalFormatting>
  <conditionalFormatting sqref="AQ7">
    <cfRule type="cellIs" dxfId="10629" priority="804" operator="lessThan">
      <formula>0</formula>
    </cfRule>
  </conditionalFormatting>
  <conditionalFormatting sqref="AQ7">
    <cfRule type="cellIs" dxfId="10628" priority="803" operator="lessThan">
      <formula>0</formula>
    </cfRule>
  </conditionalFormatting>
  <conditionalFormatting sqref="AQ7">
    <cfRule type="cellIs" dxfId="10627" priority="802" operator="lessThan">
      <formula>0</formula>
    </cfRule>
  </conditionalFormatting>
  <conditionalFormatting sqref="AQ7">
    <cfRule type="cellIs" dxfId="10626" priority="801" operator="lessThan">
      <formula>0</formula>
    </cfRule>
  </conditionalFormatting>
  <conditionalFormatting sqref="AQ7">
    <cfRule type="cellIs" dxfId="10625" priority="800" operator="lessThan">
      <formula>0</formula>
    </cfRule>
  </conditionalFormatting>
  <conditionalFormatting sqref="AQ7">
    <cfRule type="cellIs" dxfId="10624" priority="799" operator="lessThan">
      <formula>0</formula>
    </cfRule>
  </conditionalFormatting>
  <conditionalFormatting sqref="AQ7">
    <cfRule type="cellIs" dxfId="10623" priority="798" operator="lessThan">
      <formula>0</formula>
    </cfRule>
  </conditionalFormatting>
  <conditionalFormatting sqref="AQ7">
    <cfRule type="cellIs" dxfId="10622" priority="797" operator="lessThan">
      <formula>0</formula>
    </cfRule>
  </conditionalFormatting>
  <conditionalFormatting sqref="AQ7">
    <cfRule type="cellIs" dxfId="10621" priority="796" operator="lessThan">
      <formula>0</formula>
    </cfRule>
  </conditionalFormatting>
  <conditionalFormatting sqref="AQ7">
    <cfRule type="cellIs" dxfId="10620" priority="795" operator="lessThan">
      <formula>0</formula>
    </cfRule>
  </conditionalFormatting>
  <conditionalFormatting sqref="AQ7">
    <cfRule type="cellIs" dxfId="10619" priority="794" operator="lessThan">
      <formula>0</formula>
    </cfRule>
  </conditionalFormatting>
  <conditionalFormatting sqref="AQ7">
    <cfRule type="cellIs" dxfId="10618" priority="793" operator="lessThan">
      <formula>0</formula>
    </cfRule>
  </conditionalFormatting>
  <conditionalFormatting sqref="AQ7">
    <cfRule type="cellIs" dxfId="10617" priority="792" operator="lessThan">
      <formula>0</formula>
    </cfRule>
  </conditionalFormatting>
  <conditionalFormatting sqref="AQ7">
    <cfRule type="cellIs" dxfId="10616" priority="791" operator="lessThan">
      <formula>0</formula>
    </cfRule>
  </conditionalFormatting>
  <conditionalFormatting sqref="AM30:AM33">
    <cfRule type="cellIs" dxfId="10615" priority="787" operator="notEqual">
      <formula>0</formula>
    </cfRule>
  </conditionalFormatting>
  <conditionalFormatting sqref="I32">
    <cfRule type="cellIs" dxfId="10614" priority="786" operator="greaterThan">
      <formula>0</formula>
    </cfRule>
  </conditionalFormatting>
  <conditionalFormatting sqref="J32">
    <cfRule type="cellIs" dxfId="10613" priority="785" operator="greaterThan">
      <formula>0</formula>
    </cfRule>
  </conditionalFormatting>
  <conditionalFormatting sqref="AQ30">
    <cfRule type="cellIs" dxfId="10612" priority="784" operator="lessThan">
      <formula>0</formula>
    </cfRule>
  </conditionalFormatting>
  <conditionalFormatting sqref="AQ30 AQ32:AQ33">
    <cfRule type="cellIs" dxfId="10611" priority="783" operator="lessThan">
      <formula>0</formula>
    </cfRule>
  </conditionalFormatting>
  <conditionalFormatting sqref="AQ30 AQ32:AQ33">
    <cfRule type="cellIs" dxfId="10610" priority="782" operator="lessThan">
      <formula>0</formula>
    </cfRule>
  </conditionalFormatting>
  <conditionalFormatting sqref="AQ30 AQ32:AQ33">
    <cfRule type="cellIs" dxfId="10609" priority="781" operator="lessThan">
      <formula>0</formula>
    </cfRule>
  </conditionalFormatting>
  <conditionalFormatting sqref="AQ30 AQ32:AQ33">
    <cfRule type="cellIs" dxfId="10608" priority="780" operator="lessThan">
      <formula>0</formula>
    </cfRule>
  </conditionalFormatting>
  <conditionalFormatting sqref="AQ32:AQ33">
    <cfRule type="cellIs" dxfId="10607" priority="779" operator="lessThan">
      <formula>0</formula>
    </cfRule>
  </conditionalFormatting>
  <conditionalFormatting sqref="AQ32:AQ33">
    <cfRule type="cellIs" dxfId="10606" priority="778" operator="lessThan">
      <formula>0</formula>
    </cfRule>
  </conditionalFormatting>
  <conditionalFormatting sqref="AQ32:AQ33">
    <cfRule type="cellIs" dxfId="10605" priority="777" operator="lessThan">
      <formula>0</formula>
    </cfRule>
  </conditionalFormatting>
  <conditionalFormatting sqref="AQ32:AQ33">
    <cfRule type="cellIs" dxfId="10604" priority="776" operator="lessThan">
      <formula>0</formula>
    </cfRule>
  </conditionalFormatting>
  <conditionalFormatting sqref="AQ31">
    <cfRule type="cellIs" dxfId="10603" priority="775" operator="lessThan">
      <formula>0</formula>
    </cfRule>
  </conditionalFormatting>
  <conditionalFormatting sqref="AQ31">
    <cfRule type="cellIs" dxfId="10602" priority="774" operator="lessThan">
      <formula>0</formula>
    </cfRule>
  </conditionalFormatting>
  <conditionalFormatting sqref="AQ31">
    <cfRule type="cellIs" dxfId="10601" priority="773" operator="lessThan">
      <formula>0</formula>
    </cfRule>
  </conditionalFormatting>
  <conditionalFormatting sqref="AQ31">
    <cfRule type="cellIs" dxfId="10600" priority="772" operator="lessThan">
      <formula>0</formula>
    </cfRule>
  </conditionalFormatting>
  <conditionalFormatting sqref="AQ31">
    <cfRule type="cellIs" dxfId="10599" priority="771" operator="lessThan">
      <formula>0</formula>
    </cfRule>
  </conditionalFormatting>
  <conditionalFormatting sqref="AQ31">
    <cfRule type="cellIs" dxfId="10598" priority="770" operator="lessThan">
      <formula>0</formula>
    </cfRule>
  </conditionalFormatting>
  <conditionalFormatting sqref="AQ31">
    <cfRule type="cellIs" dxfId="10597" priority="769" operator="lessThan">
      <formula>0</formula>
    </cfRule>
  </conditionalFormatting>
  <conditionalFormatting sqref="AQ31">
    <cfRule type="cellIs" dxfId="10596" priority="768" operator="lessThan">
      <formula>0</formula>
    </cfRule>
  </conditionalFormatting>
  <conditionalFormatting sqref="AQ31">
    <cfRule type="cellIs" dxfId="10595" priority="767" operator="lessThan">
      <formula>0</formula>
    </cfRule>
  </conditionalFormatting>
  <conditionalFormatting sqref="AQ31">
    <cfRule type="cellIs" dxfId="10594" priority="766" operator="lessThan">
      <formula>0</formula>
    </cfRule>
  </conditionalFormatting>
  <conditionalFormatting sqref="AQ31">
    <cfRule type="cellIs" dxfId="10593" priority="765" operator="lessThan">
      <formula>0</formula>
    </cfRule>
  </conditionalFormatting>
  <conditionalFormatting sqref="AQ31">
    <cfRule type="cellIs" dxfId="10592" priority="764" operator="lessThan">
      <formula>0</formula>
    </cfRule>
  </conditionalFormatting>
  <conditionalFormatting sqref="AQ31">
    <cfRule type="cellIs" dxfId="10591" priority="763" operator="lessThan">
      <formula>0</formula>
    </cfRule>
  </conditionalFormatting>
  <conditionalFormatting sqref="AQ31">
    <cfRule type="cellIs" dxfId="10590" priority="762" operator="lessThan">
      <formula>0</formula>
    </cfRule>
  </conditionalFormatting>
  <conditionalFormatting sqref="AQ31">
    <cfRule type="cellIs" dxfId="10589" priority="761" operator="lessThan">
      <formula>0</formula>
    </cfRule>
  </conditionalFormatting>
  <conditionalFormatting sqref="AQ31">
    <cfRule type="cellIs" dxfId="10588" priority="760" operator="lessThan">
      <formula>0</formula>
    </cfRule>
  </conditionalFormatting>
  <conditionalFormatting sqref="AQ31">
    <cfRule type="cellIs" dxfId="10587" priority="759" operator="lessThan">
      <formula>0</formula>
    </cfRule>
  </conditionalFormatting>
  <conditionalFormatting sqref="AQ31">
    <cfRule type="cellIs" dxfId="10586" priority="758" operator="lessThan">
      <formula>0</formula>
    </cfRule>
  </conditionalFormatting>
  <conditionalFormatting sqref="AQ31">
    <cfRule type="cellIs" dxfId="10585" priority="757" operator="lessThan">
      <formula>0</formula>
    </cfRule>
  </conditionalFormatting>
  <conditionalFormatting sqref="AQ31">
    <cfRule type="cellIs" dxfId="10584" priority="756" operator="lessThan">
      <formula>0</formula>
    </cfRule>
  </conditionalFormatting>
  <conditionalFormatting sqref="AQ31">
    <cfRule type="cellIs" dxfId="10583" priority="755" operator="lessThan">
      <formula>0</formula>
    </cfRule>
  </conditionalFormatting>
  <conditionalFormatting sqref="AQ31">
    <cfRule type="cellIs" dxfId="10582" priority="754" operator="lessThan">
      <formula>0</formula>
    </cfRule>
  </conditionalFormatting>
  <conditionalFormatting sqref="AQ31">
    <cfRule type="cellIs" dxfId="10581" priority="753" operator="lessThan">
      <formula>0</formula>
    </cfRule>
  </conditionalFormatting>
  <conditionalFormatting sqref="AQ31">
    <cfRule type="cellIs" dxfId="10580" priority="752" operator="lessThan">
      <formula>0</formula>
    </cfRule>
  </conditionalFormatting>
  <conditionalFormatting sqref="AQ31">
    <cfRule type="cellIs" dxfId="10579" priority="751" operator="lessThan">
      <formula>0</formula>
    </cfRule>
  </conditionalFormatting>
  <conditionalFormatting sqref="AQ31">
    <cfRule type="cellIs" dxfId="10578" priority="750" operator="lessThan">
      <formula>0</formula>
    </cfRule>
  </conditionalFormatting>
  <conditionalFormatting sqref="AQ31">
    <cfRule type="cellIs" dxfId="10577" priority="749" operator="lessThan">
      <formula>0</formula>
    </cfRule>
  </conditionalFormatting>
  <conditionalFormatting sqref="AQ31">
    <cfRule type="cellIs" dxfId="10576" priority="748" operator="lessThan">
      <formula>0</formula>
    </cfRule>
  </conditionalFormatting>
  <conditionalFormatting sqref="AQ31">
    <cfRule type="cellIs" dxfId="10575" priority="747" operator="lessThan">
      <formula>0</formula>
    </cfRule>
  </conditionalFormatting>
  <conditionalFormatting sqref="AQ31">
    <cfRule type="cellIs" dxfId="10574" priority="746" operator="lessThan">
      <formula>0</formula>
    </cfRule>
  </conditionalFormatting>
  <conditionalFormatting sqref="AQ31">
    <cfRule type="cellIs" dxfId="10573" priority="745" operator="lessThan">
      <formula>0</formula>
    </cfRule>
  </conditionalFormatting>
  <conditionalFormatting sqref="AQ31">
    <cfRule type="cellIs" dxfId="10572" priority="744" operator="lessThan">
      <formula>0</formula>
    </cfRule>
  </conditionalFormatting>
  <conditionalFormatting sqref="AM98:AM101">
    <cfRule type="cellIs" dxfId="10571" priority="742" operator="notEqual">
      <formula>0</formula>
    </cfRule>
  </conditionalFormatting>
  <conditionalFormatting sqref="I100">
    <cfRule type="cellIs" dxfId="10570" priority="741" operator="greaterThan">
      <formula>0</formula>
    </cfRule>
  </conditionalFormatting>
  <conditionalFormatting sqref="AQ98">
    <cfRule type="cellIs" dxfId="10569" priority="740" operator="lessThan">
      <formula>0</formula>
    </cfRule>
  </conditionalFormatting>
  <conditionalFormatting sqref="AQ98 AQ100:AQ101">
    <cfRule type="cellIs" dxfId="10568" priority="739" operator="lessThan">
      <formula>0</formula>
    </cfRule>
  </conditionalFormatting>
  <conditionalFormatting sqref="AQ98 AQ100:AQ101">
    <cfRule type="cellIs" dxfId="10567" priority="738" operator="lessThan">
      <formula>0</formula>
    </cfRule>
  </conditionalFormatting>
  <conditionalFormatting sqref="AQ98 AQ100:AQ101">
    <cfRule type="cellIs" dxfId="10566" priority="737" operator="lessThan">
      <formula>0</formula>
    </cfRule>
  </conditionalFormatting>
  <conditionalFormatting sqref="AQ98 AQ100:AQ101">
    <cfRule type="cellIs" dxfId="10565" priority="736" operator="lessThan">
      <formula>0</formula>
    </cfRule>
  </conditionalFormatting>
  <conditionalFormatting sqref="AQ100:AQ101">
    <cfRule type="cellIs" dxfId="10564" priority="735" operator="lessThan">
      <formula>0</formula>
    </cfRule>
  </conditionalFormatting>
  <conditionalFormatting sqref="AQ100:AQ101">
    <cfRule type="cellIs" dxfId="10563" priority="734" operator="lessThan">
      <formula>0</formula>
    </cfRule>
  </conditionalFormatting>
  <conditionalFormatting sqref="AQ100:AQ101">
    <cfRule type="cellIs" dxfId="10562" priority="733" operator="lessThan">
      <formula>0</formula>
    </cfRule>
  </conditionalFormatting>
  <conditionalFormatting sqref="AQ100:AQ101">
    <cfRule type="cellIs" dxfId="10561" priority="732" operator="lessThan">
      <formula>0</formula>
    </cfRule>
  </conditionalFormatting>
  <conditionalFormatting sqref="AQ99">
    <cfRule type="cellIs" dxfId="10560" priority="731" operator="lessThan">
      <formula>0</formula>
    </cfRule>
  </conditionalFormatting>
  <conditionalFormatting sqref="AQ99">
    <cfRule type="cellIs" dxfId="10559" priority="730" operator="lessThan">
      <formula>0</formula>
    </cfRule>
  </conditionalFormatting>
  <conditionalFormatting sqref="AQ99">
    <cfRule type="cellIs" dxfId="10558" priority="729" operator="lessThan">
      <formula>0</formula>
    </cfRule>
  </conditionalFormatting>
  <conditionalFormatting sqref="AQ99">
    <cfRule type="cellIs" dxfId="10557" priority="728" operator="lessThan">
      <formula>0</formula>
    </cfRule>
  </conditionalFormatting>
  <conditionalFormatting sqref="AQ99">
    <cfRule type="cellIs" dxfId="10556" priority="727" operator="lessThan">
      <formula>0</formula>
    </cfRule>
  </conditionalFormatting>
  <conditionalFormatting sqref="AQ99">
    <cfRule type="cellIs" dxfId="10555" priority="726" operator="lessThan">
      <formula>0</formula>
    </cfRule>
  </conditionalFormatting>
  <conditionalFormatting sqref="AQ99">
    <cfRule type="cellIs" dxfId="10554" priority="725" operator="lessThan">
      <formula>0</formula>
    </cfRule>
  </conditionalFormatting>
  <conditionalFormatting sqref="AQ99">
    <cfRule type="cellIs" dxfId="10553" priority="724" operator="lessThan">
      <formula>0</formula>
    </cfRule>
  </conditionalFormatting>
  <conditionalFormatting sqref="AQ99">
    <cfRule type="cellIs" dxfId="10552" priority="723" operator="lessThan">
      <formula>0</formula>
    </cfRule>
  </conditionalFormatting>
  <conditionalFormatting sqref="AQ99">
    <cfRule type="cellIs" dxfId="10551" priority="722" operator="lessThan">
      <formula>0</formula>
    </cfRule>
  </conditionalFormatting>
  <conditionalFormatting sqref="AQ99">
    <cfRule type="cellIs" dxfId="10550" priority="721" operator="lessThan">
      <formula>0</formula>
    </cfRule>
  </conditionalFormatting>
  <conditionalFormatting sqref="AQ99">
    <cfRule type="cellIs" dxfId="10549" priority="720" operator="lessThan">
      <formula>0</formula>
    </cfRule>
  </conditionalFormatting>
  <conditionalFormatting sqref="AQ99">
    <cfRule type="cellIs" dxfId="10548" priority="719" operator="lessThan">
      <formula>0</formula>
    </cfRule>
  </conditionalFormatting>
  <conditionalFormatting sqref="AQ99">
    <cfRule type="cellIs" dxfId="10547" priority="718" operator="lessThan">
      <formula>0</formula>
    </cfRule>
  </conditionalFormatting>
  <conditionalFormatting sqref="AQ99">
    <cfRule type="cellIs" dxfId="10546" priority="717" operator="lessThan">
      <formula>0</formula>
    </cfRule>
  </conditionalFormatting>
  <conditionalFormatting sqref="AQ99">
    <cfRule type="cellIs" dxfId="10545" priority="716" operator="lessThan">
      <formula>0</formula>
    </cfRule>
  </conditionalFormatting>
  <conditionalFormatting sqref="AQ99">
    <cfRule type="cellIs" dxfId="10544" priority="715" operator="lessThan">
      <formula>0</formula>
    </cfRule>
  </conditionalFormatting>
  <conditionalFormatting sqref="AQ99">
    <cfRule type="cellIs" dxfId="10543" priority="714" operator="lessThan">
      <formula>0</formula>
    </cfRule>
  </conditionalFormatting>
  <conditionalFormatting sqref="AQ99">
    <cfRule type="cellIs" dxfId="10542" priority="713" operator="lessThan">
      <formula>0</formula>
    </cfRule>
  </conditionalFormatting>
  <conditionalFormatting sqref="AQ99">
    <cfRule type="cellIs" dxfId="10541" priority="712" operator="lessThan">
      <formula>0</formula>
    </cfRule>
  </conditionalFormatting>
  <conditionalFormatting sqref="AQ99">
    <cfRule type="cellIs" dxfId="10540" priority="711" operator="lessThan">
      <formula>0</formula>
    </cfRule>
  </conditionalFormatting>
  <conditionalFormatting sqref="AQ99">
    <cfRule type="cellIs" dxfId="10539" priority="710" operator="lessThan">
      <formula>0</formula>
    </cfRule>
  </conditionalFormatting>
  <conditionalFormatting sqref="AQ99">
    <cfRule type="cellIs" dxfId="10538" priority="709" operator="lessThan">
      <formula>0</formula>
    </cfRule>
  </conditionalFormatting>
  <conditionalFormatting sqref="AQ99">
    <cfRule type="cellIs" dxfId="10537" priority="708" operator="lessThan">
      <formula>0</formula>
    </cfRule>
  </conditionalFormatting>
  <conditionalFormatting sqref="AQ99">
    <cfRule type="cellIs" dxfId="10536" priority="707" operator="lessThan">
      <formula>0</formula>
    </cfRule>
  </conditionalFormatting>
  <conditionalFormatting sqref="AQ99">
    <cfRule type="cellIs" dxfId="10535" priority="706" operator="lessThan">
      <formula>0</formula>
    </cfRule>
  </conditionalFormatting>
  <conditionalFormatting sqref="AQ99">
    <cfRule type="cellIs" dxfId="10534" priority="705" operator="lessThan">
      <formula>0</formula>
    </cfRule>
  </conditionalFormatting>
  <conditionalFormatting sqref="AQ99">
    <cfRule type="cellIs" dxfId="10533" priority="704" operator="lessThan">
      <formula>0</formula>
    </cfRule>
  </conditionalFormatting>
  <conditionalFormatting sqref="AQ99">
    <cfRule type="cellIs" dxfId="10532" priority="703" operator="lessThan">
      <formula>0</formula>
    </cfRule>
  </conditionalFormatting>
  <conditionalFormatting sqref="AQ99">
    <cfRule type="cellIs" dxfId="10531" priority="702" operator="lessThan">
      <formula>0</formula>
    </cfRule>
  </conditionalFormatting>
  <conditionalFormatting sqref="AQ99">
    <cfRule type="cellIs" dxfId="10530" priority="701" operator="lessThan">
      <formula>0</formula>
    </cfRule>
  </conditionalFormatting>
  <conditionalFormatting sqref="AQ99">
    <cfRule type="cellIs" dxfId="10529" priority="700" operator="lessThan">
      <formula>0</formula>
    </cfRule>
  </conditionalFormatting>
  <conditionalFormatting sqref="AM94:AM97">
    <cfRule type="cellIs" dxfId="10528" priority="698" operator="notEqual">
      <formula>0</formula>
    </cfRule>
  </conditionalFormatting>
  <conditionalFormatting sqref="I96">
    <cfRule type="cellIs" dxfId="10527" priority="697" operator="greaterThan">
      <formula>0</formula>
    </cfRule>
  </conditionalFormatting>
  <conditionalFormatting sqref="J96">
    <cfRule type="cellIs" dxfId="10526" priority="696" operator="greaterThan">
      <formula>0</formula>
    </cfRule>
  </conditionalFormatting>
  <conditionalFormatting sqref="AQ94">
    <cfRule type="cellIs" dxfId="10525" priority="695" operator="lessThan">
      <formula>0</formula>
    </cfRule>
  </conditionalFormatting>
  <conditionalFormatting sqref="AQ94 AQ96:AQ97">
    <cfRule type="cellIs" dxfId="10524" priority="694" operator="lessThan">
      <formula>0</formula>
    </cfRule>
  </conditionalFormatting>
  <conditionalFormatting sqref="AQ94 AQ96:AQ97">
    <cfRule type="cellIs" dxfId="10523" priority="693" operator="lessThan">
      <formula>0</formula>
    </cfRule>
  </conditionalFormatting>
  <conditionalFormatting sqref="AQ94 AQ96:AQ97">
    <cfRule type="cellIs" dxfId="10522" priority="692" operator="lessThan">
      <formula>0</formula>
    </cfRule>
  </conditionalFormatting>
  <conditionalFormatting sqref="AQ94 AQ96:AQ97">
    <cfRule type="cellIs" dxfId="10521" priority="691" operator="lessThan">
      <formula>0</formula>
    </cfRule>
  </conditionalFormatting>
  <conditionalFormatting sqref="AQ96:AQ97">
    <cfRule type="cellIs" dxfId="10520" priority="690" operator="lessThan">
      <formula>0</formula>
    </cfRule>
  </conditionalFormatting>
  <conditionalFormatting sqref="AQ96:AQ97">
    <cfRule type="cellIs" dxfId="10519" priority="689" operator="lessThan">
      <formula>0</formula>
    </cfRule>
  </conditionalFormatting>
  <conditionalFormatting sqref="AQ96:AQ97">
    <cfRule type="cellIs" dxfId="10518" priority="688" operator="lessThan">
      <formula>0</formula>
    </cfRule>
  </conditionalFormatting>
  <conditionalFormatting sqref="AQ96:AQ97">
    <cfRule type="cellIs" dxfId="10517" priority="687" operator="lessThan">
      <formula>0</formula>
    </cfRule>
  </conditionalFormatting>
  <conditionalFormatting sqref="AQ95">
    <cfRule type="cellIs" dxfId="10516" priority="686" operator="lessThan">
      <formula>0</formula>
    </cfRule>
  </conditionalFormatting>
  <conditionalFormatting sqref="AQ95">
    <cfRule type="cellIs" dxfId="10515" priority="685" operator="lessThan">
      <formula>0</formula>
    </cfRule>
  </conditionalFormatting>
  <conditionalFormatting sqref="AQ95">
    <cfRule type="cellIs" dxfId="10514" priority="684" operator="lessThan">
      <formula>0</formula>
    </cfRule>
  </conditionalFormatting>
  <conditionalFormatting sqref="AQ95">
    <cfRule type="cellIs" dxfId="10513" priority="683" operator="lessThan">
      <formula>0</formula>
    </cfRule>
  </conditionalFormatting>
  <conditionalFormatting sqref="AQ95">
    <cfRule type="cellIs" dxfId="10512" priority="682" operator="lessThan">
      <formula>0</formula>
    </cfRule>
  </conditionalFormatting>
  <conditionalFormatting sqref="AQ95">
    <cfRule type="cellIs" dxfId="10511" priority="681" operator="lessThan">
      <formula>0</formula>
    </cfRule>
  </conditionalFormatting>
  <conditionalFormatting sqref="AQ95">
    <cfRule type="cellIs" dxfId="10510" priority="680" operator="lessThan">
      <formula>0</formula>
    </cfRule>
  </conditionalFormatting>
  <conditionalFormatting sqref="AQ95">
    <cfRule type="cellIs" dxfId="10509" priority="679" operator="lessThan">
      <formula>0</formula>
    </cfRule>
  </conditionalFormatting>
  <conditionalFormatting sqref="AQ95">
    <cfRule type="cellIs" dxfId="10508" priority="678" operator="lessThan">
      <formula>0</formula>
    </cfRule>
  </conditionalFormatting>
  <conditionalFormatting sqref="AQ95">
    <cfRule type="cellIs" dxfId="10507" priority="677" operator="lessThan">
      <formula>0</formula>
    </cfRule>
  </conditionalFormatting>
  <conditionalFormatting sqref="AQ95">
    <cfRule type="cellIs" dxfId="10506" priority="676" operator="lessThan">
      <formula>0</formula>
    </cfRule>
  </conditionalFormatting>
  <conditionalFormatting sqref="AQ95">
    <cfRule type="cellIs" dxfId="10505" priority="675" operator="lessThan">
      <formula>0</formula>
    </cfRule>
  </conditionalFormatting>
  <conditionalFormatting sqref="AQ95">
    <cfRule type="cellIs" dxfId="10504" priority="674" operator="lessThan">
      <formula>0</formula>
    </cfRule>
  </conditionalFormatting>
  <conditionalFormatting sqref="AQ95">
    <cfRule type="cellIs" dxfId="10503" priority="673" operator="lessThan">
      <formula>0</formula>
    </cfRule>
  </conditionalFormatting>
  <conditionalFormatting sqref="AQ95">
    <cfRule type="cellIs" dxfId="10502" priority="672" operator="lessThan">
      <formula>0</formula>
    </cfRule>
  </conditionalFormatting>
  <conditionalFormatting sqref="AQ95">
    <cfRule type="cellIs" dxfId="10501" priority="671" operator="lessThan">
      <formula>0</formula>
    </cfRule>
  </conditionalFormatting>
  <conditionalFormatting sqref="AQ95">
    <cfRule type="cellIs" dxfId="10500" priority="670" operator="lessThan">
      <formula>0</formula>
    </cfRule>
  </conditionalFormatting>
  <conditionalFormatting sqref="AQ95">
    <cfRule type="cellIs" dxfId="10499" priority="669" operator="lessThan">
      <formula>0</formula>
    </cfRule>
  </conditionalFormatting>
  <conditionalFormatting sqref="AQ95">
    <cfRule type="cellIs" dxfId="10498" priority="668" operator="lessThan">
      <formula>0</formula>
    </cfRule>
  </conditionalFormatting>
  <conditionalFormatting sqref="AQ95">
    <cfRule type="cellIs" dxfId="10497" priority="667" operator="lessThan">
      <formula>0</formula>
    </cfRule>
  </conditionalFormatting>
  <conditionalFormatting sqref="AQ95">
    <cfRule type="cellIs" dxfId="10496" priority="666" operator="lessThan">
      <formula>0</formula>
    </cfRule>
  </conditionalFormatting>
  <conditionalFormatting sqref="AQ95">
    <cfRule type="cellIs" dxfId="10495" priority="665" operator="lessThan">
      <formula>0</formula>
    </cfRule>
  </conditionalFormatting>
  <conditionalFormatting sqref="AQ95">
    <cfRule type="cellIs" dxfId="10494" priority="664" operator="lessThan">
      <formula>0</formula>
    </cfRule>
  </conditionalFormatting>
  <conditionalFormatting sqref="AQ95">
    <cfRule type="cellIs" dxfId="10493" priority="663" operator="lessThan">
      <formula>0</formula>
    </cfRule>
  </conditionalFormatting>
  <conditionalFormatting sqref="AQ95">
    <cfRule type="cellIs" dxfId="10492" priority="662" operator="lessThan">
      <formula>0</formula>
    </cfRule>
  </conditionalFormatting>
  <conditionalFormatting sqref="AQ95">
    <cfRule type="cellIs" dxfId="10491" priority="661" operator="lessThan">
      <formula>0</formula>
    </cfRule>
  </conditionalFormatting>
  <conditionalFormatting sqref="AQ95">
    <cfRule type="cellIs" dxfId="10490" priority="660" operator="lessThan">
      <formula>0</formula>
    </cfRule>
  </conditionalFormatting>
  <conditionalFormatting sqref="AQ95">
    <cfRule type="cellIs" dxfId="10489" priority="659" operator="lessThan">
      <formula>0</formula>
    </cfRule>
  </conditionalFormatting>
  <conditionalFormatting sqref="AQ95">
    <cfRule type="cellIs" dxfId="10488" priority="658" operator="lessThan">
      <formula>0</formula>
    </cfRule>
  </conditionalFormatting>
  <conditionalFormatting sqref="AQ95">
    <cfRule type="cellIs" dxfId="10487" priority="657" operator="lessThan">
      <formula>0</formula>
    </cfRule>
  </conditionalFormatting>
  <conditionalFormatting sqref="AQ95">
    <cfRule type="cellIs" dxfId="10486" priority="656" operator="lessThan">
      <formula>0</formula>
    </cfRule>
  </conditionalFormatting>
  <conditionalFormatting sqref="AQ95">
    <cfRule type="cellIs" dxfId="10485" priority="655" operator="lessThan">
      <formula>0</formula>
    </cfRule>
  </conditionalFormatting>
  <conditionalFormatting sqref="Y99 Y59 Y7 Y15 Y23 Y27 Y31 Y35 Y47 Y55 Y67 Y71 Y79 Y87 Y91 Y95 Y103">
    <cfRule type="iconSet" priority="654">
      <iconSet>
        <cfvo type="percent" val="0"/>
        <cfvo type="percent" val="&quot;$I$6&quot;"/>
        <cfvo type="percent" val="#REF!"/>
      </iconSet>
    </cfRule>
  </conditionalFormatting>
  <conditionalFormatting sqref="Y8 Y16 Y24 Y28 Y32 Y36 Y48 Y56 Y60 Y68 Y72 Y80 Y88 Y92 Y96 Y100 Y104">
    <cfRule type="cellIs" dxfId="10484" priority="653" operator="lessThan">
      <formula>0</formula>
    </cfRule>
  </conditionalFormatting>
  <conditionalFormatting sqref="Y6:Y8 Y14:Y16 Y22:Y24 Y26:Y28 Y30:Y32 Y34:Y36 Y46:Y48 Y54:Y56 Y58:Y60 Y66:Y68 Y70:Y72 Y78:Y80 Y86:Y88 Y90:Y92 Y94:Y96 Y98:Y100 Y102:Y104">
    <cfRule type="cellIs" dxfId="10483" priority="652" operator="lessThan">
      <formula>0</formula>
    </cfRule>
  </conditionalFormatting>
  <conditionalFormatting sqref="Y9 Y17 Y25 Y29 Y33 Y37 Y49 Y57 Y61 Y69 Y73 Y89 Y97 Y101 Y105">
    <cfRule type="cellIs" dxfId="10482" priority="651" operator="lessThan">
      <formula>0</formula>
    </cfRule>
  </conditionalFormatting>
  <conditionalFormatting sqref="X7">
    <cfRule type="iconSet" priority="650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0481" priority="649" operator="lessThan">
      <formula>0</formula>
    </cfRule>
  </conditionalFormatting>
  <conditionalFormatting sqref="X6:X9">
    <cfRule type="cellIs" dxfId="10480" priority="648" operator="lessThan">
      <formula>0</formula>
    </cfRule>
  </conditionalFormatting>
  <conditionalFormatting sqref="J48">
    <cfRule type="cellIs" dxfId="10479" priority="647" operator="greaterThan">
      <formula>0</formula>
    </cfRule>
  </conditionalFormatting>
  <conditionalFormatting sqref="AM42:AM45">
    <cfRule type="cellIs" dxfId="10478" priority="645" operator="notEqual">
      <formula>0</formula>
    </cfRule>
  </conditionalFormatting>
  <conditionalFormatting sqref="I44">
    <cfRule type="cellIs" dxfId="10477" priority="644" operator="greaterThan">
      <formula>0</formula>
    </cfRule>
  </conditionalFormatting>
  <conditionalFormatting sqref="AQ42">
    <cfRule type="cellIs" dxfId="10476" priority="643" operator="lessThan">
      <formula>0</formula>
    </cfRule>
  </conditionalFormatting>
  <conditionalFormatting sqref="AQ42 AQ44:AQ45">
    <cfRule type="cellIs" dxfId="10475" priority="642" operator="lessThan">
      <formula>0</formula>
    </cfRule>
  </conditionalFormatting>
  <conditionalFormatting sqref="AQ42 AQ44:AQ45">
    <cfRule type="cellIs" dxfId="10474" priority="641" operator="lessThan">
      <formula>0</formula>
    </cfRule>
  </conditionalFormatting>
  <conditionalFormatting sqref="AQ42 AQ44:AQ45">
    <cfRule type="cellIs" dxfId="10473" priority="640" operator="lessThan">
      <formula>0</formula>
    </cfRule>
  </conditionalFormatting>
  <conditionalFormatting sqref="AQ42 AQ44:AQ45">
    <cfRule type="cellIs" dxfId="10472" priority="639" operator="lessThan">
      <formula>0</formula>
    </cfRule>
  </conditionalFormatting>
  <conditionalFormatting sqref="AQ44:AQ45">
    <cfRule type="cellIs" dxfId="10471" priority="638" operator="lessThan">
      <formula>0</formula>
    </cfRule>
  </conditionalFormatting>
  <conditionalFormatting sqref="AQ44:AQ45">
    <cfRule type="cellIs" dxfId="10470" priority="637" operator="lessThan">
      <formula>0</formula>
    </cfRule>
  </conditionalFormatting>
  <conditionalFormatting sqref="AQ44:AQ45">
    <cfRule type="cellIs" dxfId="10469" priority="636" operator="lessThan">
      <formula>0</formula>
    </cfRule>
  </conditionalFormatting>
  <conditionalFormatting sqref="AQ44:AQ45">
    <cfRule type="cellIs" dxfId="10468" priority="635" operator="lessThan">
      <formula>0</formula>
    </cfRule>
  </conditionalFormatting>
  <conditionalFormatting sqref="AQ43">
    <cfRule type="cellIs" dxfId="10467" priority="634" operator="lessThan">
      <formula>0</formula>
    </cfRule>
  </conditionalFormatting>
  <conditionalFormatting sqref="AQ43">
    <cfRule type="cellIs" dxfId="10466" priority="633" operator="lessThan">
      <formula>0</formula>
    </cfRule>
  </conditionalFormatting>
  <conditionalFormatting sqref="AQ43">
    <cfRule type="cellIs" dxfId="10465" priority="632" operator="lessThan">
      <formula>0</formula>
    </cfRule>
  </conditionalFormatting>
  <conditionalFormatting sqref="AQ43">
    <cfRule type="cellIs" dxfId="10464" priority="631" operator="lessThan">
      <formula>0</formula>
    </cfRule>
  </conditionalFormatting>
  <conditionalFormatting sqref="AQ43">
    <cfRule type="cellIs" dxfId="10463" priority="630" operator="lessThan">
      <formula>0</formula>
    </cfRule>
  </conditionalFormatting>
  <conditionalFormatting sqref="AQ43">
    <cfRule type="cellIs" dxfId="10462" priority="629" operator="lessThan">
      <formula>0</formula>
    </cfRule>
  </conditionalFormatting>
  <conditionalFormatting sqref="AQ43">
    <cfRule type="cellIs" dxfId="10461" priority="628" operator="lessThan">
      <formula>0</formula>
    </cfRule>
  </conditionalFormatting>
  <conditionalFormatting sqref="AQ43">
    <cfRule type="cellIs" dxfId="10460" priority="627" operator="lessThan">
      <formula>0</formula>
    </cfRule>
  </conditionalFormatting>
  <conditionalFormatting sqref="AQ43">
    <cfRule type="cellIs" dxfId="10459" priority="626" operator="lessThan">
      <formula>0</formula>
    </cfRule>
  </conditionalFormatting>
  <conditionalFormatting sqref="AQ43">
    <cfRule type="cellIs" dxfId="10458" priority="625" operator="lessThan">
      <formula>0</formula>
    </cfRule>
  </conditionalFormatting>
  <conditionalFormatting sqref="AQ43">
    <cfRule type="cellIs" dxfId="10457" priority="624" operator="lessThan">
      <formula>0</formula>
    </cfRule>
  </conditionalFormatting>
  <conditionalFormatting sqref="AQ43">
    <cfRule type="cellIs" dxfId="10456" priority="623" operator="lessThan">
      <formula>0</formula>
    </cfRule>
  </conditionalFormatting>
  <conditionalFormatting sqref="AQ43">
    <cfRule type="cellIs" dxfId="10455" priority="622" operator="lessThan">
      <formula>0</formula>
    </cfRule>
  </conditionalFormatting>
  <conditionalFormatting sqref="AQ43">
    <cfRule type="cellIs" dxfId="10454" priority="621" operator="lessThan">
      <formula>0</formula>
    </cfRule>
  </conditionalFormatting>
  <conditionalFormatting sqref="AQ43">
    <cfRule type="cellIs" dxfId="10453" priority="620" operator="lessThan">
      <formula>0</formula>
    </cfRule>
  </conditionalFormatting>
  <conditionalFormatting sqref="AQ43">
    <cfRule type="cellIs" dxfId="10452" priority="619" operator="lessThan">
      <formula>0</formula>
    </cfRule>
  </conditionalFormatting>
  <conditionalFormatting sqref="AQ43">
    <cfRule type="cellIs" dxfId="10451" priority="618" operator="lessThan">
      <formula>0</formula>
    </cfRule>
  </conditionalFormatting>
  <conditionalFormatting sqref="AQ43">
    <cfRule type="cellIs" dxfId="10450" priority="617" operator="lessThan">
      <formula>0</formula>
    </cfRule>
  </conditionalFormatting>
  <conditionalFormatting sqref="AQ43">
    <cfRule type="cellIs" dxfId="10449" priority="616" operator="lessThan">
      <formula>0</formula>
    </cfRule>
  </conditionalFormatting>
  <conditionalFormatting sqref="AQ43">
    <cfRule type="cellIs" dxfId="10448" priority="615" operator="lessThan">
      <formula>0</formula>
    </cfRule>
  </conditionalFormatting>
  <conditionalFormatting sqref="AQ43">
    <cfRule type="cellIs" dxfId="10447" priority="614" operator="lessThan">
      <formula>0</formula>
    </cfRule>
  </conditionalFormatting>
  <conditionalFormatting sqref="AQ43">
    <cfRule type="cellIs" dxfId="10446" priority="613" operator="lessThan">
      <formula>0</formula>
    </cfRule>
  </conditionalFormatting>
  <conditionalFormatting sqref="AQ43">
    <cfRule type="cellIs" dxfId="10445" priority="612" operator="lessThan">
      <formula>0</formula>
    </cfRule>
  </conditionalFormatting>
  <conditionalFormatting sqref="AQ43">
    <cfRule type="cellIs" dxfId="10444" priority="611" operator="lessThan">
      <formula>0</formula>
    </cfRule>
  </conditionalFormatting>
  <conditionalFormatting sqref="AQ43">
    <cfRule type="cellIs" dxfId="10443" priority="610" operator="lessThan">
      <formula>0</formula>
    </cfRule>
  </conditionalFormatting>
  <conditionalFormatting sqref="AQ43">
    <cfRule type="cellIs" dxfId="10442" priority="609" operator="lessThan">
      <formula>0</formula>
    </cfRule>
  </conditionalFormatting>
  <conditionalFormatting sqref="AQ43">
    <cfRule type="cellIs" dxfId="10441" priority="608" operator="lessThan">
      <formula>0</formula>
    </cfRule>
  </conditionalFormatting>
  <conditionalFormatting sqref="AQ43">
    <cfRule type="cellIs" dxfId="10440" priority="607" operator="lessThan">
      <formula>0</formula>
    </cfRule>
  </conditionalFormatting>
  <conditionalFormatting sqref="AQ43">
    <cfRule type="cellIs" dxfId="10439" priority="606" operator="lessThan">
      <formula>0</formula>
    </cfRule>
  </conditionalFormatting>
  <conditionalFormatting sqref="AQ43">
    <cfRule type="cellIs" dxfId="10438" priority="605" operator="lessThan">
      <formula>0</formula>
    </cfRule>
  </conditionalFormatting>
  <conditionalFormatting sqref="AQ43">
    <cfRule type="cellIs" dxfId="10437" priority="604" operator="lessThan">
      <formula>0</formula>
    </cfRule>
  </conditionalFormatting>
  <conditionalFormatting sqref="AQ43">
    <cfRule type="cellIs" dxfId="10436" priority="603" operator="lessThan">
      <formula>0</formula>
    </cfRule>
  </conditionalFormatting>
  <conditionalFormatting sqref="Y43">
    <cfRule type="iconSet" priority="602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10435" priority="601" operator="lessThan">
      <formula>0</formula>
    </cfRule>
  </conditionalFormatting>
  <conditionalFormatting sqref="Y42:Y44">
    <cfRule type="cellIs" dxfId="10434" priority="600" operator="lessThan">
      <formula>0</formula>
    </cfRule>
  </conditionalFormatting>
  <conditionalFormatting sqref="Y45">
    <cfRule type="cellIs" dxfId="10433" priority="599" operator="lessThan">
      <formula>0</formula>
    </cfRule>
  </conditionalFormatting>
  <conditionalFormatting sqref="AM50:AM53">
    <cfRule type="cellIs" dxfId="10432" priority="594" operator="notEqual">
      <formula>0</formula>
    </cfRule>
  </conditionalFormatting>
  <conditionalFormatting sqref="I52">
    <cfRule type="cellIs" dxfId="10431" priority="593" operator="greaterThan">
      <formula>0</formula>
    </cfRule>
  </conditionalFormatting>
  <conditionalFormatting sqref="AQ50">
    <cfRule type="cellIs" dxfId="10430" priority="592" operator="lessThan">
      <formula>0</formula>
    </cfRule>
  </conditionalFormatting>
  <conditionalFormatting sqref="AQ50 AQ52:AQ53">
    <cfRule type="cellIs" dxfId="10429" priority="591" operator="lessThan">
      <formula>0</formula>
    </cfRule>
  </conditionalFormatting>
  <conditionalFormatting sqref="AQ50 AQ52:AQ53">
    <cfRule type="cellIs" dxfId="10428" priority="590" operator="lessThan">
      <formula>0</formula>
    </cfRule>
  </conditionalFormatting>
  <conditionalFormatting sqref="AQ50 AQ52:AQ53">
    <cfRule type="cellIs" dxfId="10427" priority="589" operator="lessThan">
      <formula>0</formula>
    </cfRule>
  </conditionalFormatting>
  <conditionalFormatting sqref="AQ50 AQ52:AQ53">
    <cfRule type="cellIs" dxfId="10426" priority="588" operator="lessThan">
      <formula>0</formula>
    </cfRule>
  </conditionalFormatting>
  <conditionalFormatting sqref="AQ52:AQ53">
    <cfRule type="cellIs" dxfId="10425" priority="587" operator="lessThan">
      <formula>0</formula>
    </cfRule>
  </conditionalFormatting>
  <conditionalFormatting sqref="AQ52:AQ53">
    <cfRule type="cellIs" dxfId="10424" priority="586" operator="lessThan">
      <formula>0</formula>
    </cfRule>
  </conditionalFormatting>
  <conditionalFormatting sqref="AQ52:AQ53">
    <cfRule type="cellIs" dxfId="10423" priority="585" operator="lessThan">
      <formula>0</formula>
    </cfRule>
  </conditionalFormatting>
  <conditionalFormatting sqref="AQ52:AQ53">
    <cfRule type="cellIs" dxfId="10422" priority="584" operator="lessThan">
      <formula>0</formula>
    </cfRule>
  </conditionalFormatting>
  <conditionalFormatting sqref="AQ51">
    <cfRule type="cellIs" dxfId="10421" priority="583" operator="lessThan">
      <formula>0</formula>
    </cfRule>
  </conditionalFormatting>
  <conditionalFormatting sqref="AQ51">
    <cfRule type="cellIs" dxfId="10420" priority="582" operator="lessThan">
      <formula>0</formula>
    </cfRule>
  </conditionalFormatting>
  <conditionalFormatting sqref="AQ51">
    <cfRule type="cellIs" dxfId="10419" priority="581" operator="lessThan">
      <formula>0</formula>
    </cfRule>
  </conditionalFormatting>
  <conditionalFormatting sqref="AQ51">
    <cfRule type="cellIs" dxfId="10418" priority="580" operator="lessThan">
      <formula>0</formula>
    </cfRule>
  </conditionalFormatting>
  <conditionalFormatting sqref="AQ51">
    <cfRule type="cellIs" dxfId="10417" priority="579" operator="lessThan">
      <formula>0</formula>
    </cfRule>
  </conditionalFormatting>
  <conditionalFormatting sqref="AQ51">
    <cfRule type="cellIs" dxfId="10416" priority="578" operator="lessThan">
      <formula>0</formula>
    </cfRule>
  </conditionalFormatting>
  <conditionalFormatting sqref="AQ51">
    <cfRule type="cellIs" dxfId="10415" priority="577" operator="lessThan">
      <formula>0</formula>
    </cfRule>
  </conditionalFormatting>
  <conditionalFormatting sqref="AQ51">
    <cfRule type="cellIs" dxfId="10414" priority="576" operator="lessThan">
      <formula>0</formula>
    </cfRule>
  </conditionalFormatting>
  <conditionalFormatting sqref="AQ51">
    <cfRule type="cellIs" dxfId="10413" priority="575" operator="lessThan">
      <formula>0</formula>
    </cfRule>
  </conditionalFormatting>
  <conditionalFormatting sqref="AQ51">
    <cfRule type="cellIs" dxfId="10412" priority="574" operator="lessThan">
      <formula>0</formula>
    </cfRule>
  </conditionalFormatting>
  <conditionalFormatting sqref="AQ51">
    <cfRule type="cellIs" dxfId="10411" priority="573" operator="lessThan">
      <formula>0</formula>
    </cfRule>
  </conditionalFormatting>
  <conditionalFormatting sqref="AQ51">
    <cfRule type="cellIs" dxfId="10410" priority="572" operator="lessThan">
      <formula>0</formula>
    </cfRule>
  </conditionalFormatting>
  <conditionalFormatting sqref="AQ51">
    <cfRule type="cellIs" dxfId="10409" priority="571" operator="lessThan">
      <formula>0</formula>
    </cfRule>
  </conditionalFormatting>
  <conditionalFormatting sqref="AQ51">
    <cfRule type="cellIs" dxfId="10408" priority="570" operator="lessThan">
      <formula>0</formula>
    </cfRule>
  </conditionalFormatting>
  <conditionalFormatting sqref="AQ51">
    <cfRule type="cellIs" dxfId="10407" priority="569" operator="lessThan">
      <formula>0</formula>
    </cfRule>
  </conditionalFormatting>
  <conditionalFormatting sqref="AQ51">
    <cfRule type="cellIs" dxfId="10406" priority="568" operator="lessThan">
      <formula>0</formula>
    </cfRule>
  </conditionalFormatting>
  <conditionalFormatting sqref="AQ51">
    <cfRule type="cellIs" dxfId="10405" priority="567" operator="lessThan">
      <formula>0</formula>
    </cfRule>
  </conditionalFormatting>
  <conditionalFormatting sqref="AQ51">
    <cfRule type="cellIs" dxfId="10404" priority="566" operator="lessThan">
      <formula>0</formula>
    </cfRule>
  </conditionalFormatting>
  <conditionalFormatting sqref="AQ51">
    <cfRule type="cellIs" dxfId="10403" priority="565" operator="lessThan">
      <formula>0</formula>
    </cfRule>
  </conditionalFormatting>
  <conditionalFormatting sqref="AQ51">
    <cfRule type="cellIs" dxfId="10402" priority="564" operator="lessThan">
      <formula>0</formula>
    </cfRule>
  </conditionalFormatting>
  <conditionalFormatting sqref="AQ51">
    <cfRule type="cellIs" dxfId="10401" priority="563" operator="lessThan">
      <formula>0</formula>
    </cfRule>
  </conditionalFormatting>
  <conditionalFormatting sqref="AQ51">
    <cfRule type="cellIs" dxfId="10400" priority="562" operator="lessThan">
      <formula>0</formula>
    </cfRule>
  </conditionalFormatting>
  <conditionalFormatting sqref="AQ51">
    <cfRule type="cellIs" dxfId="10399" priority="561" operator="lessThan">
      <formula>0</formula>
    </cfRule>
  </conditionalFormatting>
  <conditionalFormatting sqref="AQ51">
    <cfRule type="cellIs" dxfId="10398" priority="560" operator="lessThan">
      <formula>0</formula>
    </cfRule>
  </conditionalFormatting>
  <conditionalFormatting sqref="AQ51">
    <cfRule type="cellIs" dxfId="10397" priority="559" operator="lessThan">
      <formula>0</formula>
    </cfRule>
  </conditionalFormatting>
  <conditionalFormatting sqref="AQ51">
    <cfRule type="cellIs" dxfId="10396" priority="558" operator="lessThan">
      <formula>0</formula>
    </cfRule>
  </conditionalFormatting>
  <conditionalFormatting sqref="AQ51">
    <cfRule type="cellIs" dxfId="10395" priority="557" operator="lessThan">
      <formula>0</formula>
    </cfRule>
  </conditionalFormatting>
  <conditionalFormatting sqref="AQ51">
    <cfRule type="cellIs" dxfId="10394" priority="556" operator="lessThan">
      <formula>0</formula>
    </cfRule>
  </conditionalFormatting>
  <conditionalFormatting sqref="AQ51">
    <cfRule type="cellIs" dxfId="10393" priority="555" operator="lessThan">
      <formula>0</formula>
    </cfRule>
  </conditionalFormatting>
  <conditionalFormatting sqref="AQ51">
    <cfRule type="cellIs" dxfId="10392" priority="554" operator="lessThan">
      <formula>0</formula>
    </cfRule>
  </conditionalFormatting>
  <conditionalFormatting sqref="AQ51">
    <cfRule type="cellIs" dxfId="10391" priority="553" operator="lessThan">
      <formula>0</formula>
    </cfRule>
  </conditionalFormatting>
  <conditionalFormatting sqref="AQ51">
    <cfRule type="cellIs" dxfId="10390" priority="552" operator="lessThan">
      <formula>0</formula>
    </cfRule>
  </conditionalFormatting>
  <conditionalFormatting sqref="Y51">
    <cfRule type="iconSet" priority="551">
      <iconSet>
        <cfvo type="percent" val="0"/>
        <cfvo type="percent" val="&quot;$I$6&quot;"/>
        <cfvo type="percent" val="#REF!"/>
      </iconSet>
    </cfRule>
  </conditionalFormatting>
  <conditionalFormatting sqref="Y52">
    <cfRule type="cellIs" dxfId="10389" priority="550" operator="lessThan">
      <formula>0</formula>
    </cfRule>
  </conditionalFormatting>
  <conditionalFormatting sqref="Y50:Y52">
    <cfRule type="cellIs" dxfId="10388" priority="549" operator="lessThan">
      <formula>0</formula>
    </cfRule>
  </conditionalFormatting>
  <conditionalFormatting sqref="Y53">
    <cfRule type="cellIs" dxfId="10387" priority="548" operator="lessThan">
      <formula>0</formula>
    </cfRule>
  </conditionalFormatting>
  <conditionalFormatting sqref="AM82:AM85">
    <cfRule type="cellIs" dxfId="10386" priority="542" operator="notEqual">
      <formula>0</formula>
    </cfRule>
  </conditionalFormatting>
  <conditionalFormatting sqref="I84">
    <cfRule type="cellIs" dxfId="10385" priority="541" operator="greaterThan">
      <formula>0</formula>
    </cfRule>
  </conditionalFormatting>
  <conditionalFormatting sqref="J84">
    <cfRule type="cellIs" dxfId="10384" priority="540" operator="greaterThan">
      <formula>0</formula>
    </cfRule>
  </conditionalFormatting>
  <conditionalFormatting sqref="AQ82">
    <cfRule type="cellIs" dxfId="10383" priority="539" operator="lessThan">
      <formula>0</formula>
    </cfRule>
  </conditionalFormatting>
  <conditionalFormatting sqref="AQ82 AQ84:AQ85">
    <cfRule type="cellIs" dxfId="10382" priority="538" operator="lessThan">
      <formula>0</formula>
    </cfRule>
  </conditionalFormatting>
  <conditionalFormatting sqref="AQ82 AQ84:AQ85">
    <cfRule type="cellIs" dxfId="10381" priority="537" operator="lessThan">
      <formula>0</formula>
    </cfRule>
  </conditionalFormatting>
  <conditionalFormatting sqref="AQ82 AQ84:AQ85">
    <cfRule type="cellIs" dxfId="10380" priority="536" operator="lessThan">
      <formula>0</formula>
    </cfRule>
  </conditionalFormatting>
  <conditionalFormatting sqref="AQ82 AQ84:AQ85">
    <cfRule type="cellIs" dxfId="10379" priority="535" operator="lessThan">
      <formula>0</formula>
    </cfRule>
  </conditionalFormatting>
  <conditionalFormatting sqref="AQ84:AQ85">
    <cfRule type="cellIs" dxfId="10378" priority="534" operator="lessThan">
      <formula>0</formula>
    </cfRule>
  </conditionalFormatting>
  <conditionalFormatting sqref="AQ84:AQ85">
    <cfRule type="cellIs" dxfId="10377" priority="533" operator="lessThan">
      <formula>0</formula>
    </cfRule>
  </conditionalFormatting>
  <conditionalFormatting sqref="AQ84:AQ85">
    <cfRule type="cellIs" dxfId="10376" priority="532" operator="lessThan">
      <formula>0</formula>
    </cfRule>
  </conditionalFormatting>
  <conditionalFormatting sqref="AQ84:AQ85">
    <cfRule type="cellIs" dxfId="10375" priority="531" operator="lessThan">
      <formula>0</formula>
    </cfRule>
  </conditionalFormatting>
  <conditionalFormatting sqref="AQ83">
    <cfRule type="cellIs" dxfId="10374" priority="530" operator="lessThan">
      <formula>0</formula>
    </cfRule>
  </conditionalFormatting>
  <conditionalFormatting sqref="AQ83">
    <cfRule type="cellIs" dxfId="10373" priority="529" operator="lessThan">
      <formula>0</formula>
    </cfRule>
  </conditionalFormatting>
  <conditionalFormatting sqref="AQ83">
    <cfRule type="cellIs" dxfId="10372" priority="528" operator="lessThan">
      <formula>0</formula>
    </cfRule>
  </conditionalFormatting>
  <conditionalFormatting sqref="AQ83">
    <cfRule type="cellIs" dxfId="10371" priority="527" operator="lessThan">
      <formula>0</formula>
    </cfRule>
  </conditionalFormatting>
  <conditionalFormatting sqref="AQ83">
    <cfRule type="cellIs" dxfId="10370" priority="526" operator="lessThan">
      <formula>0</formula>
    </cfRule>
  </conditionalFormatting>
  <conditionalFormatting sqref="AQ83">
    <cfRule type="cellIs" dxfId="10369" priority="525" operator="lessThan">
      <formula>0</formula>
    </cfRule>
  </conditionalFormatting>
  <conditionalFormatting sqref="AQ83">
    <cfRule type="cellIs" dxfId="10368" priority="524" operator="lessThan">
      <formula>0</formula>
    </cfRule>
  </conditionalFormatting>
  <conditionalFormatting sqref="AQ83">
    <cfRule type="cellIs" dxfId="10367" priority="523" operator="lessThan">
      <formula>0</formula>
    </cfRule>
  </conditionalFormatting>
  <conditionalFormatting sqref="AQ83">
    <cfRule type="cellIs" dxfId="10366" priority="522" operator="lessThan">
      <formula>0</formula>
    </cfRule>
  </conditionalFormatting>
  <conditionalFormatting sqref="AQ83">
    <cfRule type="cellIs" dxfId="10365" priority="521" operator="lessThan">
      <formula>0</formula>
    </cfRule>
  </conditionalFormatting>
  <conditionalFormatting sqref="AQ83">
    <cfRule type="cellIs" dxfId="10364" priority="520" operator="lessThan">
      <formula>0</formula>
    </cfRule>
  </conditionalFormatting>
  <conditionalFormatting sqref="AQ83">
    <cfRule type="cellIs" dxfId="10363" priority="519" operator="lessThan">
      <formula>0</formula>
    </cfRule>
  </conditionalFormatting>
  <conditionalFormatting sqref="AQ83">
    <cfRule type="cellIs" dxfId="10362" priority="518" operator="lessThan">
      <formula>0</formula>
    </cfRule>
  </conditionalFormatting>
  <conditionalFormatting sqref="AQ83">
    <cfRule type="cellIs" dxfId="10361" priority="517" operator="lessThan">
      <formula>0</formula>
    </cfRule>
  </conditionalFormatting>
  <conditionalFormatting sqref="AQ83">
    <cfRule type="cellIs" dxfId="10360" priority="516" operator="lessThan">
      <formula>0</formula>
    </cfRule>
  </conditionalFormatting>
  <conditionalFormatting sqref="AQ83">
    <cfRule type="cellIs" dxfId="10359" priority="515" operator="lessThan">
      <formula>0</formula>
    </cfRule>
  </conditionalFormatting>
  <conditionalFormatting sqref="AQ83">
    <cfRule type="cellIs" dxfId="10358" priority="514" operator="lessThan">
      <formula>0</formula>
    </cfRule>
  </conditionalFormatting>
  <conditionalFormatting sqref="AQ83">
    <cfRule type="cellIs" dxfId="10357" priority="513" operator="lessThan">
      <formula>0</formula>
    </cfRule>
  </conditionalFormatting>
  <conditionalFormatting sqref="AQ83">
    <cfRule type="cellIs" dxfId="10356" priority="512" operator="lessThan">
      <formula>0</formula>
    </cfRule>
  </conditionalFormatting>
  <conditionalFormatting sqref="AQ83">
    <cfRule type="cellIs" dxfId="10355" priority="511" operator="lessThan">
      <formula>0</formula>
    </cfRule>
  </conditionalFormatting>
  <conditionalFormatting sqref="AQ83">
    <cfRule type="cellIs" dxfId="10354" priority="510" operator="lessThan">
      <formula>0</formula>
    </cfRule>
  </conditionalFormatting>
  <conditionalFormatting sqref="AQ83">
    <cfRule type="cellIs" dxfId="10353" priority="509" operator="lessThan">
      <formula>0</formula>
    </cfRule>
  </conditionalFormatting>
  <conditionalFormatting sqref="AQ83">
    <cfRule type="cellIs" dxfId="10352" priority="508" operator="lessThan">
      <formula>0</formula>
    </cfRule>
  </conditionalFormatting>
  <conditionalFormatting sqref="AQ83">
    <cfRule type="cellIs" dxfId="10351" priority="507" operator="lessThan">
      <formula>0</formula>
    </cfRule>
  </conditionalFormatting>
  <conditionalFormatting sqref="AQ83">
    <cfRule type="cellIs" dxfId="10350" priority="506" operator="lessThan">
      <formula>0</formula>
    </cfRule>
  </conditionalFormatting>
  <conditionalFormatting sqref="AQ83">
    <cfRule type="cellIs" dxfId="10349" priority="505" operator="lessThan">
      <formula>0</formula>
    </cfRule>
  </conditionalFormatting>
  <conditionalFormatting sqref="AQ83">
    <cfRule type="cellIs" dxfId="10348" priority="504" operator="lessThan">
      <formula>0</formula>
    </cfRule>
  </conditionalFormatting>
  <conditionalFormatting sqref="AQ83">
    <cfRule type="cellIs" dxfId="10347" priority="503" operator="lessThan">
      <formula>0</formula>
    </cfRule>
  </conditionalFormatting>
  <conditionalFormatting sqref="AQ83">
    <cfRule type="cellIs" dxfId="10346" priority="502" operator="lessThan">
      <formula>0</formula>
    </cfRule>
  </conditionalFormatting>
  <conditionalFormatting sqref="AQ83">
    <cfRule type="cellIs" dxfId="10345" priority="501" operator="lessThan">
      <formula>0</formula>
    </cfRule>
  </conditionalFormatting>
  <conditionalFormatting sqref="AQ83">
    <cfRule type="cellIs" dxfId="10344" priority="500" operator="lessThan">
      <formula>0</formula>
    </cfRule>
  </conditionalFormatting>
  <conditionalFormatting sqref="AQ83">
    <cfRule type="cellIs" dxfId="10343" priority="499" operator="lessThan">
      <formula>0</formula>
    </cfRule>
  </conditionalFormatting>
  <conditionalFormatting sqref="Y83">
    <cfRule type="iconSet" priority="498">
      <iconSet>
        <cfvo type="percent" val="0"/>
        <cfvo type="percent" val="&quot;$I$6&quot;"/>
        <cfvo type="percent" val="#REF!"/>
      </iconSet>
    </cfRule>
  </conditionalFormatting>
  <conditionalFormatting sqref="Y84">
    <cfRule type="cellIs" dxfId="10342" priority="497" operator="lessThan">
      <formula>0</formula>
    </cfRule>
  </conditionalFormatting>
  <conditionalFormatting sqref="Y82:Y84">
    <cfRule type="cellIs" dxfId="10341" priority="496" operator="lessThan">
      <formula>0</formula>
    </cfRule>
  </conditionalFormatting>
  <conditionalFormatting sqref="Y85">
    <cfRule type="cellIs" dxfId="10340" priority="495" operator="lessThan">
      <formula>0</formula>
    </cfRule>
  </conditionalFormatting>
  <conditionalFormatting sqref="AM18:AM21">
    <cfRule type="cellIs" dxfId="10339" priority="491" operator="notEqual">
      <formula>0</formula>
    </cfRule>
  </conditionalFormatting>
  <conditionalFormatting sqref="I20">
    <cfRule type="cellIs" dxfId="10338" priority="490" operator="greaterThan">
      <formula>0</formula>
    </cfRule>
  </conditionalFormatting>
  <conditionalFormatting sqref="AQ18">
    <cfRule type="cellIs" dxfId="10337" priority="489" operator="lessThan">
      <formula>0</formula>
    </cfRule>
  </conditionalFormatting>
  <conditionalFormatting sqref="AQ18 AQ20:AQ21">
    <cfRule type="cellIs" dxfId="10336" priority="488" operator="lessThan">
      <formula>0</formula>
    </cfRule>
  </conditionalFormatting>
  <conditionalFormatting sqref="AQ18 AQ20:AQ21">
    <cfRule type="cellIs" dxfId="10335" priority="487" operator="lessThan">
      <formula>0</formula>
    </cfRule>
  </conditionalFormatting>
  <conditionalFormatting sqref="AQ18 AQ20:AQ21">
    <cfRule type="cellIs" dxfId="10334" priority="486" operator="lessThan">
      <formula>0</formula>
    </cfRule>
  </conditionalFormatting>
  <conditionalFormatting sqref="AQ18 AQ20:AQ21">
    <cfRule type="cellIs" dxfId="10333" priority="485" operator="lessThan">
      <formula>0</formula>
    </cfRule>
  </conditionalFormatting>
  <conditionalFormatting sqref="AQ20:AQ21">
    <cfRule type="cellIs" dxfId="10332" priority="484" operator="lessThan">
      <formula>0</formula>
    </cfRule>
  </conditionalFormatting>
  <conditionalFormatting sqref="AQ20:AQ21">
    <cfRule type="cellIs" dxfId="10331" priority="483" operator="lessThan">
      <formula>0</formula>
    </cfRule>
  </conditionalFormatting>
  <conditionalFormatting sqref="AQ20:AQ21">
    <cfRule type="cellIs" dxfId="10330" priority="482" operator="lessThan">
      <formula>0</formula>
    </cfRule>
  </conditionalFormatting>
  <conditionalFormatting sqref="AQ20:AQ21">
    <cfRule type="cellIs" dxfId="10329" priority="481" operator="lessThan">
      <formula>0</formula>
    </cfRule>
  </conditionalFormatting>
  <conditionalFormatting sqref="AQ19">
    <cfRule type="cellIs" dxfId="10328" priority="480" operator="lessThan">
      <formula>0</formula>
    </cfRule>
  </conditionalFormatting>
  <conditionalFormatting sqref="AQ19">
    <cfRule type="cellIs" dxfId="10327" priority="479" operator="lessThan">
      <formula>0</formula>
    </cfRule>
  </conditionalFormatting>
  <conditionalFormatting sqref="AQ19">
    <cfRule type="cellIs" dxfId="10326" priority="478" operator="lessThan">
      <formula>0</formula>
    </cfRule>
  </conditionalFormatting>
  <conditionalFormatting sqref="AQ19">
    <cfRule type="cellIs" dxfId="10325" priority="477" operator="lessThan">
      <formula>0</formula>
    </cfRule>
  </conditionalFormatting>
  <conditionalFormatting sqref="AQ19">
    <cfRule type="cellIs" dxfId="10324" priority="476" operator="lessThan">
      <formula>0</formula>
    </cfRule>
  </conditionalFormatting>
  <conditionalFormatting sqref="AQ19">
    <cfRule type="cellIs" dxfId="10323" priority="475" operator="lessThan">
      <formula>0</formula>
    </cfRule>
  </conditionalFormatting>
  <conditionalFormatting sqref="AQ19">
    <cfRule type="cellIs" dxfId="10322" priority="474" operator="lessThan">
      <formula>0</formula>
    </cfRule>
  </conditionalFormatting>
  <conditionalFormatting sqref="AQ19">
    <cfRule type="cellIs" dxfId="10321" priority="473" operator="lessThan">
      <formula>0</formula>
    </cfRule>
  </conditionalFormatting>
  <conditionalFormatting sqref="AQ19">
    <cfRule type="cellIs" dxfId="10320" priority="472" operator="lessThan">
      <formula>0</formula>
    </cfRule>
  </conditionalFormatting>
  <conditionalFormatting sqref="AQ19">
    <cfRule type="cellIs" dxfId="10319" priority="471" operator="lessThan">
      <formula>0</formula>
    </cfRule>
  </conditionalFormatting>
  <conditionalFormatting sqref="AQ19">
    <cfRule type="cellIs" dxfId="10318" priority="470" operator="lessThan">
      <formula>0</formula>
    </cfRule>
  </conditionalFormatting>
  <conditionalFormatting sqref="AQ19">
    <cfRule type="cellIs" dxfId="10317" priority="469" operator="lessThan">
      <formula>0</formula>
    </cfRule>
  </conditionalFormatting>
  <conditionalFormatting sqref="AQ19">
    <cfRule type="cellIs" dxfId="10316" priority="468" operator="lessThan">
      <formula>0</formula>
    </cfRule>
  </conditionalFormatting>
  <conditionalFormatting sqref="AQ19">
    <cfRule type="cellIs" dxfId="10315" priority="467" operator="lessThan">
      <formula>0</formula>
    </cfRule>
  </conditionalFormatting>
  <conditionalFormatting sqref="AQ19">
    <cfRule type="cellIs" dxfId="10314" priority="466" operator="lessThan">
      <formula>0</formula>
    </cfRule>
  </conditionalFormatting>
  <conditionalFormatting sqref="AQ19">
    <cfRule type="cellIs" dxfId="10313" priority="465" operator="lessThan">
      <formula>0</formula>
    </cfRule>
  </conditionalFormatting>
  <conditionalFormatting sqref="AQ19">
    <cfRule type="cellIs" dxfId="10312" priority="464" operator="lessThan">
      <formula>0</formula>
    </cfRule>
  </conditionalFormatting>
  <conditionalFormatting sqref="AQ19">
    <cfRule type="cellIs" dxfId="10311" priority="463" operator="lessThan">
      <formula>0</formula>
    </cfRule>
  </conditionalFormatting>
  <conditionalFormatting sqref="AQ19">
    <cfRule type="cellIs" dxfId="10310" priority="462" operator="lessThan">
      <formula>0</formula>
    </cfRule>
  </conditionalFormatting>
  <conditionalFormatting sqref="AQ19">
    <cfRule type="cellIs" dxfId="10309" priority="461" operator="lessThan">
      <formula>0</formula>
    </cfRule>
  </conditionalFormatting>
  <conditionalFormatting sqref="AQ19">
    <cfRule type="cellIs" dxfId="10308" priority="460" operator="lessThan">
      <formula>0</formula>
    </cfRule>
  </conditionalFormatting>
  <conditionalFormatting sqref="AQ19">
    <cfRule type="cellIs" dxfId="10307" priority="459" operator="lessThan">
      <formula>0</formula>
    </cfRule>
  </conditionalFormatting>
  <conditionalFormatting sqref="AQ19">
    <cfRule type="cellIs" dxfId="10306" priority="458" operator="lessThan">
      <formula>0</formula>
    </cfRule>
  </conditionalFormatting>
  <conditionalFormatting sqref="AQ19">
    <cfRule type="cellIs" dxfId="10305" priority="457" operator="lessThan">
      <formula>0</formula>
    </cfRule>
  </conditionalFormatting>
  <conditionalFormatting sqref="AQ19">
    <cfRule type="cellIs" dxfId="10304" priority="456" operator="lessThan">
      <formula>0</formula>
    </cfRule>
  </conditionalFormatting>
  <conditionalFormatting sqref="AQ19">
    <cfRule type="cellIs" dxfId="10303" priority="455" operator="lessThan">
      <formula>0</formula>
    </cfRule>
  </conditionalFormatting>
  <conditionalFormatting sqref="AQ19">
    <cfRule type="cellIs" dxfId="10302" priority="454" operator="lessThan">
      <formula>0</formula>
    </cfRule>
  </conditionalFormatting>
  <conditionalFormatting sqref="AQ19">
    <cfRule type="cellIs" dxfId="10301" priority="453" operator="lessThan">
      <formula>0</formula>
    </cfRule>
  </conditionalFormatting>
  <conditionalFormatting sqref="AQ19">
    <cfRule type="cellIs" dxfId="10300" priority="452" operator="lessThan">
      <formula>0</formula>
    </cfRule>
  </conditionalFormatting>
  <conditionalFormatting sqref="AQ19">
    <cfRule type="cellIs" dxfId="10299" priority="451" operator="lessThan">
      <formula>0</formula>
    </cfRule>
  </conditionalFormatting>
  <conditionalFormatting sqref="AQ19">
    <cfRule type="cellIs" dxfId="10298" priority="450" operator="lessThan">
      <formula>0</formula>
    </cfRule>
  </conditionalFormatting>
  <conditionalFormatting sqref="AQ19">
    <cfRule type="cellIs" dxfId="10297" priority="449" operator="lessThan">
      <formula>0</formula>
    </cfRule>
  </conditionalFormatting>
  <conditionalFormatting sqref="Y19">
    <cfRule type="iconSet" priority="448">
      <iconSet>
        <cfvo type="percent" val="0"/>
        <cfvo type="percent" val="&quot;$I$6&quot;"/>
        <cfvo type="percent" val="#REF!"/>
      </iconSet>
    </cfRule>
  </conditionalFormatting>
  <conditionalFormatting sqref="Y20">
    <cfRule type="cellIs" dxfId="10296" priority="447" operator="lessThan">
      <formula>0</formula>
    </cfRule>
  </conditionalFormatting>
  <conditionalFormatting sqref="Y18:Y20">
    <cfRule type="cellIs" dxfId="10295" priority="446" operator="lessThan">
      <formula>0</formula>
    </cfRule>
  </conditionalFormatting>
  <conditionalFormatting sqref="Y21">
    <cfRule type="cellIs" dxfId="10294" priority="445" operator="lessThan">
      <formula>0</formula>
    </cfRule>
  </conditionalFormatting>
  <conditionalFormatting sqref="AQ31">
    <cfRule type="cellIs" dxfId="10293" priority="441" operator="lessThan">
      <formula>0</formula>
    </cfRule>
  </conditionalFormatting>
  <conditionalFormatting sqref="AQ31">
    <cfRule type="cellIs" dxfId="10292" priority="440" operator="lessThan">
      <formula>0</formula>
    </cfRule>
  </conditionalFormatting>
  <conditionalFormatting sqref="AQ31">
    <cfRule type="cellIs" dxfId="10291" priority="439" operator="lessThan">
      <formula>0</formula>
    </cfRule>
  </conditionalFormatting>
  <conditionalFormatting sqref="AQ31">
    <cfRule type="cellIs" dxfId="10290" priority="438" operator="lessThan">
      <formula>0</formula>
    </cfRule>
  </conditionalFormatting>
  <conditionalFormatting sqref="AQ31">
    <cfRule type="cellIs" dxfId="10289" priority="437" operator="lessThan">
      <formula>0</formula>
    </cfRule>
  </conditionalFormatting>
  <conditionalFormatting sqref="AQ31">
    <cfRule type="cellIs" dxfId="10288" priority="436" operator="lessThan">
      <formula>0</formula>
    </cfRule>
  </conditionalFormatting>
  <conditionalFormatting sqref="AQ31">
    <cfRule type="cellIs" dxfId="10287" priority="435" operator="lessThan">
      <formula>0</formula>
    </cfRule>
  </conditionalFormatting>
  <conditionalFormatting sqref="AQ31">
    <cfRule type="cellIs" dxfId="10286" priority="434" operator="lessThan">
      <formula>0</formula>
    </cfRule>
  </conditionalFormatting>
  <conditionalFormatting sqref="AQ31">
    <cfRule type="cellIs" dxfId="10285" priority="433" operator="lessThan">
      <formula>0</formula>
    </cfRule>
  </conditionalFormatting>
  <conditionalFormatting sqref="AQ31">
    <cfRule type="cellIs" dxfId="10284" priority="432" operator="lessThan">
      <formula>0</formula>
    </cfRule>
  </conditionalFormatting>
  <conditionalFormatting sqref="AQ31">
    <cfRule type="cellIs" dxfId="10283" priority="431" operator="lessThan">
      <formula>0</formula>
    </cfRule>
  </conditionalFormatting>
  <conditionalFormatting sqref="AQ31">
    <cfRule type="cellIs" dxfId="10282" priority="430" operator="lessThan">
      <formula>0</formula>
    </cfRule>
  </conditionalFormatting>
  <conditionalFormatting sqref="AQ31">
    <cfRule type="cellIs" dxfId="10281" priority="429" operator="lessThan">
      <formula>0</formula>
    </cfRule>
  </conditionalFormatting>
  <conditionalFormatting sqref="AQ31">
    <cfRule type="cellIs" dxfId="10280" priority="428" operator="lessThan">
      <formula>0</formula>
    </cfRule>
  </conditionalFormatting>
  <conditionalFormatting sqref="AQ31">
    <cfRule type="cellIs" dxfId="10279" priority="427" operator="lessThan">
      <formula>0</formula>
    </cfRule>
  </conditionalFormatting>
  <conditionalFormatting sqref="AQ31">
    <cfRule type="cellIs" dxfId="10278" priority="426" operator="lessThan">
      <formula>0</formula>
    </cfRule>
  </conditionalFormatting>
  <conditionalFormatting sqref="AQ31">
    <cfRule type="cellIs" dxfId="10277" priority="410" operator="lessThan">
      <formula>0</formula>
    </cfRule>
  </conditionalFormatting>
  <conditionalFormatting sqref="AQ31">
    <cfRule type="cellIs" dxfId="10276" priority="425" operator="lessThan">
      <formula>0</formula>
    </cfRule>
  </conditionalFormatting>
  <conditionalFormatting sqref="AQ31">
    <cfRule type="cellIs" dxfId="10275" priority="424" operator="lessThan">
      <formula>0</formula>
    </cfRule>
  </conditionalFormatting>
  <conditionalFormatting sqref="AQ31">
    <cfRule type="cellIs" dxfId="10274" priority="423" operator="lessThan">
      <formula>0</formula>
    </cfRule>
  </conditionalFormatting>
  <conditionalFormatting sqref="AQ31">
    <cfRule type="cellIs" dxfId="10273" priority="422" operator="lessThan">
      <formula>0</formula>
    </cfRule>
  </conditionalFormatting>
  <conditionalFormatting sqref="AQ31">
    <cfRule type="cellIs" dxfId="10272" priority="421" operator="lessThan">
      <formula>0</formula>
    </cfRule>
  </conditionalFormatting>
  <conditionalFormatting sqref="AQ31">
    <cfRule type="cellIs" dxfId="10271" priority="420" operator="lessThan">
      <formula>0</formula>
    </cfRule>
  </conditionalFormatting>
  <conditionalFormatting sqref="AQ31">
    <cfRule type="cellIs" dxfId="10270" priority="419" operator="lessThan">
      <formula>0</formula>
    </cfRule>
  </conditionalFormatting>
  <conditionalFormatting sqref="AQ31">
    <cfRule type="cellIs" dxfId="10269" priority="418" operator="lessThan">
      <formula>0</formula>
    </cfRule>
  </conditionalFormatting>
  <conditionalFormatting sqref="AQ31">
    <cfRule type="cellIs" dxfId="10268" priority="417" operator="lessThan">
      <formula>0</formula>
    </cfRule>
  </conditionalFormatting>
  <conditionalFormatting sqref="AQ31">
    <cfRule type="cellIs" dxfId="10267" priority="416" operator="lessThan">
      <formula>0</formula>
    </cfRule>
  </conditionalFormatting>
  <conditionalFormatting sqref="AQ31">
    <cfRule type="cellIs" dxfId="10266" priority="415" operator="lessThan">
      <formula>0</formula>
    </cfRule>
  </conditionalFormatting>
  <conditionalFormatting sqref="AQ31">
    <cfRule type="cellIs" dxfId="10265" priority="414" operator="lessThan">
      <formula>0</formula>
    </cfRule>
  </conditionalFormatting>
  <conditionalFormatting sqref="AQ31">
    <cfRule type="cellIs" dxfId="10264" priority="413" operator="lessThan">
      <formula>0</formula>
    </cfRule>
  </conditionalFormatting>
  <conditionalFormatting sqref="AQ31">
    <cfRule type="cellIs" dxfId="10263" priority="412" operator="lessThan">
      <formula>0</formula>
    </cfRule>
  </conditionalFormatting>
  <conditionalFormatting sqref="AQ31">
    <cfRule type="cellIs" dxfId="10262" priority="411" operator="lessThan">
      <formula>0</formula>
    </cfRule>
  </conditionalFormatting>
  <conditionalFormatting sqref="AM106:AM109">
    <cfRule type="cellIs" dxfId="10261" priority="407" operator="notEqual">
      <formula>0</formula>
    </cfRule>
  </conditionalFormatting>
  <conditionalFormatting sqref="I108">
    <cfRule type="cellIs" dxfId="10260" priority="406" operator="greaterThan">
      <formula>0</formula>
    </cfRule>
  </conditionalFormatting>
  <conditionalFormatting sqref="J108">
    <cfRule type="cellIs" dxfId="10259" priority="405" operator="greaterThan">
      <formula>0</formula>
    </cfRule>
  </conditionalFormatting>
  <conditionalFormatting sqref="AQ106">
    <cfRule type="cellIs" dxfId="10258" priority="404" operator="lessThan">
      <formula>0</formula>
    </cfRule>
  </conditionalFormatting>
  <conditionalFormatting sqref="AQ106 AQ108:AQ109">
    <cfRule type="cellIs" dxfId="10257" priority="403" operator="lessThan">
      <formula>0</formula>
    </cfRule>
  </conditionalFormatting>
  <conditionalFormatting sqref="AQ106 AQ108:AQ109">
    <cfRule type="cellIs" dxfId="10256" priority="402" operator="lessThan">
      <formula>0</formula>
    </cfRule>
  </conditionalFormatting>
  <conditionalFormatting sqref="AQ106 AQ108:AQ109">
    <cfRule type="cellIs" dxfId="10255" priority="401" operator="lessThan">
      <formula>0</formula>
    </cfRule>
  </conditionalFormatting>
  <conditionalFormatting sqref="AQ106 AQ108:AQ109">
    <cfRule type="cellIs" dxfId="10254" priority="400" operator="lessThan">
      <formula>0</formula>
    </cfRule>
  </conditionalFormatting>
  <conditionalFormatting sqref="AQ108:AQ109">
    <cfRule type="cellIs" dxfId="10253" priority="399" operator="lessThan">
      <formula>0</formula>
    </cfRule>
  </conditionalFormatting>
  <conditionalFormatting sqref="AQ108:AQ109">
    <cfRule type="cellIs" dxfId="10252" priority="398" operator="lessThan">
      <formula>0</formula>
    </cfRule>
  </conditionalFormatting>
  <conditionalFormatting sqref="AQ108:AQ109">
    <cfRule type="cellIs" dxfId="10251" priority="397" operator="lessThan">
      <formula>0</formula>
    </cfRule>
  </conditionalFormatting>
  <conditionalFormatting sqref="AQ108:AQ109">
    <cfRule type="cellIs" dxfId="10250" priority="396" operator="lessThan">
      <formula>0</formula>
    </cfRule>
  </conditionalFormatting>
  <conditionalFormatting sqref="AQ107">
    <cfRule type="cellIs" dxfId="10249" priority="395" operator="lessThan">
      <formula>0</formula>
    </cfRule>
  </conditionalFormatting>
  <conditionalFormatting sqref="AQ107">
    <cfRule type="cellIs" dxfId="10248" priority="394" operator="lessThan">
      <formula>0</formula>
    </cfRule>
  </conditionalFormatting>
  <conditionalFormatting sqref="AQ107">
    <cfRule type="cellIs" dxfId="10247" priority="393" operator="lessThan">
      <formula>0</formula>
    </cfRule>
  </conditionalFormatting>
  <conditionalFormatting sqref="AQ107">
    <cfRule type="cellIs" dxfId="10246" priority="392" operator="lessThan">
      <formula>0</formula>
    </cfRule>
  </conditionalFormatting>
  <conditionalFormatting sqref="AQ107">
    <cfRule type="cellIs" dxfId="10245" priority="391" operator="lessThan">
      <formula>0</formula>
    </cfRule>
  </conditionalFormatting>
  <conditionalFormatting sqref="AQ107">
    <cfRule type="cellIs" dxfId="10244" priority="390" operator="lessThan">
      <formula>0</formula>
    </cfRule>
  </conditionalFormatting>
  <conditionalFormatting sqref="AQ107">
    <cfRule type="cellIs" dxfId="10243" priority="389" operator="lessThan">
      <formula>0</formula>
    </cfRule>
  </conditionalFormatting>
  <conditionalFormatting sqref="AQ107">
    <cfRule type="cellIs" dxfId="10242" priority="388" operator="lessThan">
      <formula>0</formula>
    </cfRule>
  </conditionalFormatting>
  <conditionalFormatting sqref="AQ107">
    <cfRule type="cellIs" dxfId="10241" priority="387" operator="lessThan">
      <formula>0</formula>
    </cfRule>
  </conditionalFormatting>
  <conditionalFormatting sqref="AQ107">
    <cfRule type="cellIs" dxfId="10240" priority="386" operator="lessThan">
      <formula>0</formula>
    </cfRule>
  </conditionalFormatting>
  <conditionalFormatting sqref="AQ107">
    <cfRule type="cellIs" dxfId="10239" priority="385" operator="lessThan">
      <formula>0</formula>
    </cfRule>
  </conditionalFormatting>
  <conditionalFormatting sqref="AQ107">
    <cfRule type="cellIs" dxfId="10238" priority="384" operator="lessThan">
      <formula>0</formula>
    </cfRule>
  </conditionalFormatting>
  <conditionalFormatting sqref="AQ107">
    <cfRule type="cellIs" dxfId="10237" priority="383" operator="lessThan">
      <formula>0</formula>
    </cfRule>
  </conditionalFormatting>
  <conditionalFormatting sqref="AQ107">
    <cfRule type="cellIs" dxfId="10236" priority="382" operator="lessThan">
      <formula>0</formula>
    </cfRule>
  </conditionalFormatting>
  <conditionalFormatting sqref="AQ107">
    <cfRule type="cellIs" dxfId="10235" priority="381" operator="lessThan">
      <formula>0</formula>
    </cfRule>
  </conditionalFormatting>
  <conditionalFormatting sqref="AQ107">
    <cfRule type="cellIs" dxfId="10234" priority="380" operator="lessThan">
      <formula>0</formula>
    </cfRule>
  </conditionalFormatting>
  <conditionalFormatting sqref="AQ107">
    <cfRule type="cellIs" dxfId="10233" priority="379" operator="lessThan">
      <formula>0</formula>
    </cfRule>
  </conditionalFormatting>
  <conditionalFormatting sqref="AQ107">
    <cfRule type="cellIs" dxfId="10232" priority="378" operator="lessThan">
      <formula>0</formula>
    </cfRule>
  </conditionalFormatting>
  <conditionalFormatting sqref="AQ107">
    <cfRule type="cellIs" dxfId="10231" priority="377" operator="lessThan">
      <formula>0</formula>
    </cfRule>
  </conditionalFormatting>
  <conditionalFormatting sqref="AQ107">
    <cfRule type="cellIs" dxfId="10230" priority="376" operator="lessThan">
      <formula>0</formula>
    </cfRule>
  </conditionalFormatting>
  <conditionalFormatting sqref="AQ107">
    <cfRule type="cellIs" dxfId="10229" priority="375" operator="lessThan">
      <formula>0</formula>
    </cfRule>
  </conditionalFormatting>
  <conditionalFormatting sqref="AQ107">
    <cfRule type="cellIs" dxfId="10228" priority="374" operator="lessThan">
      <formula>0</formula>
    </cfRule>
  </conditionalFormatting>
  <conditionalFormatting sqref="AQ107">
    <cfRule type="cellIs" dxfId="10227" priority="373" operator="lessThan">
      <formula>0</formula>
    </cfRule>
  </conditionalFormatting>
  <conditionalFormatting sqref="AQ107">
    <cfRule type="cellIs" dxfId="10226" priority="372" operator="lessThan">
      <formula>0</formula>
    </cfRule>
  </conditionalFormatting>
  <conditionalFormatting sqref="AQ107">
    <cfRule type="cellIs" dxfId="10225" priority="371" operator="lessThan">
      <formula>0</formula>
    </cfRule>
  </conditionalFormatting>
  <conditionalFormatting sqref="AQ107">
    <cfRule type="cellIs" dxfId="10224" priority="370" operator="lessThan">
      <formula>0</formula>
    </cfRule>
  </conditionalFormatting>
  <conditionalFormatting sqref="AQ107">
    <cfRule type="cellIs" dxfId="10223" priority="369" operator="lessThan">
      <formula>0</formula>
    </cfRule>
  </conditionalFormatting>
  <conditionalFormatting sqref="AQ107">
    <cfRule type="cellIs" dxfId="10222" priority="368" operator="lessThan">
      <formula>0</formula>
    </cfRule>
  </conditionalFormatting>
  <conditionalFormatting sqref="AQ107">
    <cfRule type="cellIs" dxfId="10221" priority="367" operator="lessThan">
      <formula>0</formula>
    </cfRule>
  </conditionalFormatting>
  <conditionalFormatting sqref="AQ107">
    <cfRule type="cellIs" dxfId="10220" priority="366" operator="lessThan">
      <formula>0</formula>
    </cfRule>
  </conditionalFormatting>
  <conditionalFormatting sqref="AQ107">
    <cfRule type="cellIs" dxfId="10219" priority="365" operator="lessThan">
      <formula>0</formula>
    </cfRule>
  </conditionalFormatting>
  <conditionalFormatting sqref="AQ107">
    <cfRule type="cellIs" dxfId="10218" priority="364" operator="lessThan">
      <formula>0</formula>
    </cfRule>
  </conditionalFormatting>
  <conditionalFormatting sqref="Y107">
    <cfRule type="iconSet" priority="363">
      <iconSet>
        <cfvo type="percent" val="0"/>
        <cfvo type="percent" val="&quot;$I$6&quot;"/>
        <cfvo type="percent" val="#REF!"/>
      </iconSet>
    </cfRule>
  </conditionalFormatting>
  <conditionalFormatting sqref="Y108">
    <cfRule type="cellIs" dxfId="10217" priority="362" operator="lessThan">
      <formula>0</formula>
    </cfRule>
  </conditionalFormatting>
  <conditionalFormatting sqref="Y106:Y108">
    <cfRule type="cellIs" dxfId="10216" priority="361" operator="lessThan">
      <formula>0</formula>
    </cfRule>
  </conditionalFormatting>
  <conditionalFormatting sqref="Y109">
    <cfRule type="cellIs" dxfId="10215" priority="360" operator="lessThan">
      <formula>0</formula>
    </cfRule>
  </conditionalFormatting>
  <conditionalFormatting sqref="AQ62">
    <cfRule type="cellIs" dxfId="10214" priority="357" operator="lessThan">
      <formula>0</formula>
    </cfRule>
  </conditionalFormatting>
  <conditionalFormatting sqref="AM62:AM65">
    <cfRule type="cellIs" dxfId="10213" priority="354" operator="notEqual">
      <formula>0</formula>
    </cfRule>
  </conditionalFormatting>
  <conditionalFormatting sqref="I64">
    <cfRule type="cellIs" dxfId="10212" priority="353" operator="greaterThan">
      <formula>0</formula>
    </cfRule>
  </conditionalFormatting>
  <conditionalFormatting sqref="AQ62">
    <cfRule type="cellIs" dxfId="10211" priority="351" operator="lessThan">
      <formula>0</formula>
    </cfRule>
  </conditionalFormatting>
  <conditionalFormatting sqref="AQ62 AQ64:AQ65">
    <cfRule type="cellIs" dxfId="10210" priority="350" operator="lessThan">
      <formula>0</formula>
    </cfRule>
  </conditionalFormatting>
  <conditionalFormatting sqref="AQ62 AQ64:AQ65">
    <cfRule type="cellIs" dxfId="10209" priority="349" operator="lessThan">
      <formula>0</formula>
    </cfRule>
  </conditionalFormatting>
  <conditionalFormatting sqref="AQ62 AQ64:AQ65">
    <cfRule type="cellIs" dxfId="10208" priority="348" operator="lessThan">
      <formula>0</formula>
    </cfRule>
  </conditionalFormatting>
  <conditionalFormatting sqref="AQ62 AQ64:AQ65">
    <cfRule type="cellIs" dxfId="10207" priority="347" operator="lessThan">
      <formula>0</formula>
    </cfRule>
  </conditionalFormatting>
  <conditionalFormatting sqref="AQ64:AQ65">
    <cfRule type="cellIs" dxfId="10206" priority="346" operator="lessThan">
      <formula>0</formula>
    </cfRule>
  </conditionalFormatting>
  <conditionalFormatting sqref="AQ64:AQ65">
    <cfRule type="cellIs" dxfId="10205" priority="345" operator="lessThan">
      <formula>0</formula>
    </cfRule>
  </conditionalFormatting>
  <conditionalFormatting sqref="AQ64:AQ65">
    <cfRule type="cellIs" dxfId="10204" priority="344" operator="lessThan">
      <formula>0</formula>
    </cfRule>
  </conditionalFormatting>
  <conditionalFormatting sqref="AQ64:AQ65">
    <cfRule type="cellIs" dxfId="10203" priority="343" operator="lessThan">
      <formula>0</formula>
    </cfRule>
  </conditionalFormatting>
  <conditionalFormatting sqref="AQ63">
    <cfRule type="cellIs" dxfId="10202" priority="342" operator="lessThan">
      <formula>0</formula>
    </cfRule>
  </conditionalFormatting>
  <conditionalFormatting sqref="AQ63">
    <cfRule type="cellIs" dxfId="10201" priority="341" operator="lessThan">
      <formula>0</formula>
    </cfRule>
  </conditionalFormatting>
  <conditionalFormatting sqref="AQ63">
    <cfRule type="cellIs" dxfId="10200" priority="340" operator="lessThan">
      <formula>0</formula>
    </cfRule>
  </conditionalFormatting>
  <conditionalFormatting sqref="AQ63">
    <cfRule type="cellIs" dxfId="10199" priority="339" operator="lessThan">
      <formula>0</formula>
    </cfRule>
  </conditionalFormatting>
  <conditionalFormatting sqref="AQ63">
    <cfRule type="cellIs" dxfId="10198" priority="338" operator="lessThan">
      <formula>0</formula>
    </cfRule>
  </conditionalFormatting>
  <conditionalFormatting sqref="AQ63">
    <cfRule type="cellIs" dxfId="10197" priority="337" operator="lessThan">
      <formula>0</formula>
    </cfRule>
  </conditionalFormatting>
  <conditionalFormatting sqref="AQ63">
    <cfRule type="cellIs" dxfId="10196" priority="336" operator="lessThan">
      <formula>0</formula>
    </cfRule>
  </conditionalFormatting>
  <conditionalFormatting sqref="AQ63">
    <cfRule type="cellIs" dxfId="10195" priority="335" operator="lessThan">
      <formula>0</formula>
    </cfRule>
  </conditionalFormatting>
  <conditionalFormatting sqref="AQ63">
    <cfRule type="cellIs" dxfId="10194" priority="334" operator="lessThan">
      <formula>0</formula>
    </cfRule>
  </conditionalFormatting>
  <conditionalFormatting sqref="AQ63">
    <cfRule type="cellIs" dxfId="10193" priority="333" operator="lessThan">
      <formula>0</formula>
    </cfRule>
  </conditionalFormatting>
  <conditionalFormatting sqref="AQ63">
    <cfRule type="cellIs" dxfId="10192" priority="332" operator="lessThan">
      <formula>0</formula>
    </cfRule>
  </conditionalFormatting>
  <conditionalFormatting sqref="AQ63">
    <cfRule type="cellIs" dxfId="10191" priority="331" operator="lessThan">
      <formula>0</formula>
    </cfRule>
  </conditionalFormatting>
  <conditionalFormatting sqref="AQ63">
    <cfRule type="cellIs" dxfId="10190" priority="330" operator="lessThan">
      <formula>0</formula>
    </cfRule>
  </conditionalFormatting>
  <conditionalFormatting sqref="AQ63">
    <cfRule type="cellIs" dxfId="10189" priority="329" operator="lessThan">
      <formula>0</formula>
    </cfRule>
  </conditionalFormatting>
  <conditionalFormatting sqref="AQ63">
    <cfRule type="cellIs" dxfId="10188" priority="328" operator="lessThan">
      <formula>0</formula>
    </cfRule>
  </conditionalFormatting>
  <conditionalFormatting sqref="AQ63">
    <cfRule type="cellIs" dxfId="10187" priority="327" operator="lessThan">
      <formula>0</formula>
    </cfRule>
  </conditionalFormatting>
  <conditionalFormatting sqref="AQ63">
    <cfRule type="cellIs" dxfId="10186" priority="326" operator="lessThan">
      <formula>0</formula>
    </cfRule>
  </conditionalFormatting>
  <conditionalFormatting sqref="AQ63">
    <cfRule type="cellIs" dxfId="10185" priority="325" operator="lessThan">
      <formula>0</formula>
    </cfRule>
  </conditionalFormatting>
  <conditionalFormatting sqref="AQ63">
    <cfRule type="cellIs" dxfId="10184" priority="324" operator="lessThan">
      <formula>0</formula>
    </cfRule>
  </conditionalFormatting>
  <conditionalFormatting sqref="AQ63">
    <cfRule type="cellIs" dxfId="10183" priority="323" operator="lessThan">
      <formula>0</formula>
    </cfRule>
  </conditionalFormatting>
  <conditionalFormatting sqref="AQ63">
    <cfRule type="cellIs" dxfId="10182" priority="322" operator="lessThan">
      <formula>0</formula>
    </cfRule>
  </conditionalFormatting>
  <conditionalFormatting sqref="AQ63">
    <cfRule type="cellIs" dxfId="10181" priority="321" operator="lessThan">
      <formula>0</formula>
    </cfRule>
  </conditionalFormatting>
  <conditionalFormatting sqref="AQ63">
    <cfRule type="cellIs" dxfId="10180" priority="320" operator="lessThan">
      <formula>0</formula>
    </cfRule>
  </conditionalFormatting>
  <conditionalFormatting sqref="AQ63">
    <cfRule type="cellIs" dxfId="10179" priority="319" operator="lessThan">
      <formula>0</formula>
    </cfRule>
  </conditionalFormatting>
  <conditionalFormatting sqref="AQ63">
    <cfRule type="cellIs" dxfId="10178" priority="318" operator="lessThan">
      <formula>0</formula>
    </cfRule>
  </conditionalFormatting>
  <conditionalFormatting sqref="AQ63">
    <cfRule type="cellIs" dxfId="10177" priority="317" operator="lessThan">
      <formula>0</formula>
    </cfRule>
  </conditionalFormatting>
  <conditionalFormatting sqref="AQ63">
    <cfRule type="cellIs" dxfId="10176" priority="316" operator="lessThan">
      <formula>0</formula>
    </cfRule>
  </conditionalFormatting>
  <conditionalFormatting sqref="AQ63">
    <cfRule type="cellIs" dxfId="10175" priority="315" operator="lessThan">
      <formula>0</formula>
    </cfRule>
  </conditionalFormatting>
  <conditionalFormatting sqref="AQ63">
    <cfRule type="cellIs" dxfId="10174" priority="314" operator="lessThan">
      <formula>0</formula>
    </cfRule>
  </conditionalFormatting>
  <conditionalFormatting sqref="AQ63">
    <cfRule type="cellIs" dxfId="10173" priority="313" operator="lessThan">
      <formula>0</formula>
    </cfRule>
  </conditionalFormatting>
  <conditionalFormatting sqref="AQ63">
    <cfRule type="cellIs" dxfId="10172" priority="312" operator="lessThan">
      <formula>0</formula>
    </cfRule>
  </conditionalFormatting>
  <conditionalFormatting sqref="AQ63">
    <cfRule type="cellIs" dxfId="10171" priority="311" operator="lessThan">
      <formula>0</formula>
    </cfRule>
  </conditionalFormatting>
  <conditionalFormatting sqref="Y63">
    <cfRule type="iconSet" priority="310">
      <iconSet>
        <cfvo type="percent" val="0"/>
        <cfvo type="percent" val="&quot;$I$6&quot;"/>
        <cfvo type="percent" val="#REF!"/>
      </iconSet>
    </cfRule>
  </conditionalFormatting>
  <conditionalFormatting sqref="Y64">
    <cfRule type="cellIs" dxfId="10170" priority="309" operator="lessThan">
      <formula>0</formula>
    </cfRule>
  </conditionalFormatting>
  <conditionalFormatting sqref="Y62:Y64">
    <cfRule type="cellIs" dxfId="10169" priority="308" operator="lessThan">
      <formula>0</formula>
    </cfRule>
  </conditionalFormatting>
  <conditionalFormatting sqref="Y65">
    <cfRule type="cellIs" dxfId="10168" priority="307" operator="lessThan">
      <formula>0</formula>
    </cfRule>
  </conditionalFormatting>
  <conditionalFormatting sqref="AQ43">
    <cfRule type="cellIs" dxfId="10167" priority="304" operator="lessThan">
      <formula>0</formula>
    </cfRule>
  </conditionalFormatting>
  <conditionalFormatting sqref="AQ43">
    <cfRule type="cellIs" dxfId="10166" priority="303" operator="lessThan">
      <formula>0</formula>
    </cfRule>
  </conditionalFormatting>
  <conditionalFormatting sqref="AQ43">
    <cfRule type="cellIs" dxfId="10165" priority="302" operator="lessThan">
      <formula>0</formula>
    </cfRule>
  </conditionalFormatting>
  <conditionalFormatting sqref="AQ43">
    <cfRule type="cellIs" dxfId="10164" priority="301" operator="lessThan">
      <formula>0</formula>
    </cfRule>
  </conditionalFormatting>
  <conditionalFormatting sqref="AQ43">
    <cfRule type="cellIs" dxfId="10163" priority="300" operator="lessThan">
      <formula>0</formula>
    </cfRule>
  </conditionalFormatting>
  <conditionalFormatting sqref="AQ43">
    <cfRule type="cellIs" dxfId="10162" priority="299" operator="lessThan">
      <formula>0</formula>
    </cfRule>
  </conditionalFormatting>
  <conditionalFormatting sqref="AQ43">
    <cfRule type="cellIs" dxfId="10161" priority="298" operator="lessThan">
      <formula>0</formula>
    </cfRule>
  </conditionalFormatting>
  <conditionalFormatting sqref="AQ43">
    <cfRule type="cellIs" dxfId="10160" priority="297" operator="lessThan">
      <formula>0</formula>
    </cfRule>
  </conditionalFormatting>
  <conditionalFormatting sqref="AQ43">
    <cfRule type="cellIs" dxfId="10159" priority="296" operator="lessThan">
      <formula>0</formula>
    </cfRule>
  </conditionalFormatting>
  <conditionalFormatting sqref="AQ43">
    <cfRule type="cellIs" dxfId="10158" priority="295" operator="lessThan">
      <formula>0</formula>
    </cfRule>
  </conditionalFormatting>
  <conditionalFormatting sqref="AQ43">
    <cfRule type="cellIs" dxfId="10157" priority="294" operator="lessThan">
      <formula>0</formula>
    </cfRule>
  </conditionalFormatting>
  <conditionalFormatting sqref="AQ43">
    <cfRule type="cellIs" dxfId="10156" priority="293" operator="lessThan">
      <formula>0</formula>
    </cfRule>
  </conditionalFormatting>
  <conditionalFormatting sqref="AQ43">
    <cfRule type="cellIs" dxfId="10155" priority="292" operator="lessThan">
      <formula>0</formula>
    </cfRule>
  </conditionalFormatting>
  <conditionalFormatting sqref="AQ43">
    <cfRule type="cellIs" dxfId="10154" priority="291" operator="lessThan">
      <formula>0</formula>
    </cfRule>
  </conditionalFormatting>
  <conditionalFormatting sqref="AQ43">
    <cfRule type="cellIs" dxfId="10153" priority="290" operator="lessThan">
      <formula>0</formula>
    </cfRule>
  </conditionalFormatting>
  <conditionalFormatting sqref="AQ43">
    <cfRule type="cellIs" dxfId="10152" priority="289" operator="lessThan">
      <formula>0</formula>
    </cfRule>
  </conditionalFormatting>
  <conditionalFormatting sqref="AQ43">
    <cfRule type="cellIs" dxfId="10151" priority="273" operator="lessThan">
      <formula>0</formula>
    </cfRule>
  </conditionalFormatting>
  <conditionalFormatting sqref="AQ43">
    <cfRule type="cellIs" dxfId="10150" priority="288" operator="lessThan">
      <formula>0</formula>
    </cfRule>
  </conditionalFormatting>
  <conditionalFormatting sqref="AQ43">
    <cfRule type="cellIs" dxfId="10149" priority="287" operator="lessThan">
      <formula>0</formula>
    </cfRule>
  </conditionalFormatting>
  <conditionalFormatting sqref="AQ43">
    <cfRule type="cellIs" dxfId="10148" priority="286" operator="lessThan">
      <formula>0</formula>
    </cfRule>
  </conditionalFormatting>
  <conditionalFormatting sqref="AQ43">
    <cfRule type="cellIs" dxfId="10147" priority="285" operator="lessThan">
      <formula>0</formula>
    </cfRule>
  </conditionalFormatting>
  <conditionalFormatting sqref="AQ43">
    <cfRule type="cellIs" dxfId="10146" priority="284" operator="lessThan">
      <formula>0</formula>
    </cfRule>
  </conditionalFormatting>
  <conditionalFormatting sqref="AQ43">
    <cfRule type="cellIs" dxfId="10145" priority="283" operator="lessThan">
      <formula>0</formula>
    </cfRule>
  </conditionalFormatting>
  <conditionalFormatting sqref="AQ43">
    <cfRule type="cellIs" dxfId="10144" priority="282" operator="lessThan">
      <formula>0</formula>
    </cfRule>
  </conditionalFormatting>
  <conditionalFormatting sqref="AQ43">
    <cfRule type="cellIs" dxfId="10143" priority="281" operator="lessThan">
      <formula>0</formula>
    </cfRule>
  </conditionalFormatting>
  <conditionalFormatting sqref="AQ43">
    <cfRule type="cellIs" dxfId="10142" priority="280" operator="lessThan">
      <formula>0</formula>
    </cfRule>
  </conditionalFormatting>
  <conditionalFormatting sqref="AQ43">
    <cfRule type="cellIs" dxfId="10141" priority="279" operator="lessThan">
      <formula>0</formula>
    </cfRule>
  </conditionalFormatting>
  <conditionalFormatting sqref="AQ43">
    <cfRule type="cellIs" dxfId="10140" priority="278" operator="lessThan">
      <formula>0</formula>
    </cfRule>
  </conditionalFormatting>
  <conditionalFormatting sqref="AQ43">
    <cfRule type="cellIs" dxfId="10139" priority="277" operator="lessThan">
      <formula>0</formula>
    </cfRule>
  </conditionalFormatting>
  <conditionalFormatting sqref="AQ43">
    <cfRule type="cellIs" dxfId="10138" priority="276" operator="lessThan">
      <formula>0</formula>
    </cfRule>
  </conditionalFormatting>
  <conditionalFormatting sqref="AQ43">
    <cfRule type="cellIs" dxfId="10137" priority="275" operator="lessThan">
      <formula>0</formula>
    </cfRule>
  </conditionalFormatting>
  <conditionalFormatting sqref="AQ43">
    <cfRule type="cellIs" dxfId="10136" priority="274" operator="lessThan">
      <formula>0</formula>
    </cfRule>
  </conditionalFormatting>
  <conditionalFormatting sqref="AQ10">
    <cfRule type="cellIs" dxfId="10135" priority="272" operator="lessThan">
      <formula>0</formula>
    </cfRule>
  </conditionalFormatting>
  <conditionalFormatting sqref="AQ10">
    <cfRule type="cellIs" dxfId="10134" priority="271" operator="lessThan">
      <formula>0</formula>
    </cfRule>
  </conditionalFormatting>
  <conditionalFormatting sqref="AQ12:AQ13">
    <cfRule type="cellIs" dxfId="10133" priority="270" operator="lessThan">
      <formula>0</formula>
    </cfRule>
  </conditionalFormatting>
  <conditionalFormatting sqref="AQ12:AQ13">
    <cfRule type="cellIs" dxfId="10132" priority="269" operator="lessThan">
      <formula>0</formula>
    </cfRule>
  </conditionalFormatting>
  <conditionalFormatting sqref="AQ12:AQ13">
    <cfRule type="cellIs" dxfId="10131" priority="268" operator="lessThan">
      <formula>0</formula>
    </cfRule>
  </conditionalFormatting>
  <conditionalFormatting sqref="AQ12:AQ13">
    <cfRule type="cellIs" dxfId="10130" priority="267" operator="lessThan">
      <formula>0</formula>
    </cfRule>
  </conditionalFormatting>
  <conditionalFormatting sqref="AQ12:AQ13">
    <cfRule type="cellIs" dxfId="10129" priority="266" operator="lessThan">
      <formula>0</formula>
    </cfRule>
  </conditionalFormatting>
  <conditionalFormatting sqref="AQ12:AQ13">
    <cfRule type="cellIs" dxfId="10128" priority="265" operator="lessThan">
      <formula>0</formula>
    </cfRule>
  </conditionalFormatting>
  <conditionalFormatting sqref="AQ12:AQ13">
    <cfRule type="cellIs" dxfId="10127" priority="264" operator="lessThan">
      <formula>0</formula>
    </cfRule>
  </conditionalFormatting>
  <conditionalFormatting sqref="AQ12:AQ13">
    <cfRule type="cellIs" dxfId="10126" priority="263" operator="lessThan">
      <formula>0</formula>
    </cfRule>
  </conditionalFormatting>
  <conditionalFormatting sqref="AQ11">
    <cfRule type="cellIs" dxfId="10125" priority="262" operator="lessThan">
      <formula>0</formula>
    </cfRule>
  </conditionalFormatting>
  <conditionalFormatting sqref="AQ11">
    <cfRule type="cellIs" dxfId="10124" priority="261" operator="lessThan">
      <formula>0</formula>
    </cfRule>
  </conditionalFormatting>
  <conditionalFormatting sqref="AQ11">
    <cfRule type="cellIs" dxfId="10123" priority="260" operator="lessThan">
      <formula>0</formula>
    </cfRule>
  </conditionalFormatting>
  <conditionalFormatting sqref="AQ11">
    <cfRule type="cellIs" dxfId="10122" priority="259" operator="lessThan">
      <formula>0</formula>
    </cfRule>
  </conditionalFormatting>
  <conditionalFormatting sqref="AQ11">
    <cfRule type="cellIs" dxfId="10121" priority="258" operator="lessThan">
      <formula>0</formula>
    </cfRule>
  </conditionalFormatting>
  <conditionalFormatting sqref="AQ11">
    <cfRule type="cellIs" dxfId="10120" priority="257" operator="lessThan">
      <formula>0</formula>
    </cfRule>
  </conditionalFormatting>
  <conditionalFormatting sqref="AQ11">
    <cfRule type="cellIs" dxfId="10119" priority="256" operator="lessThan">
      <formula>0</formula>
    </cfRule>
  </conditionalFormatting>
  <conditionalFormatting sqref="AQ11">
    <cfRule type="cellIs" dxfId="10118" priority="255" operator="lessThan">
      <formula>0</formula>
    </cfRule>
  </conditionalFormatting>
  <conditionalFormatting sqref="AQ11">
    <cfRule type="cellIs" dxfId="10117" priority="254" operator="lessThan">
      <formula>0</formula>
    </cfRule>
  </conditionalFormatting>
  <conditionalFormatting sqref="AQ11">
    <cfRule type="cellIs" dxfId="10116" priority="253" operator="lessThan">
      <formula>0</formula>
    </cfRule>
  </conditionalFormatting>
  <conditionalFormatting sqref="AQ11">
    <cfRule type="cellIs" dxfId="10115" priority="252" operator="lessThan">
      <formula>0</formula>
    </cfRule>
  </conditionalFormatting>
  <conditionalFormatting sqref="AQ11">
    <cfRule type="cellIs" dxfId="10114" priority="251" operator="lessThan">
      <formula>0</formula>
    </cfRule>
  </conditionalFormatting>
  <conditionalFormatting sqref="AQ11">
    <cfRule type="cellIs" dxfId="10113" priority="250" operator="lessThan">
      <formula>0</formula>
    </cfRule>
  </conditionalFormatting>
  <conditionalFormatting sqref="AQ11">
    <cfRule type="cellIs" dxfId="10112" priority="249" operator="lessThan">
      <formula>0</formula>
    </cfRule>
  </conditionalFormatting>
  <conditionalFormatting sqref="AQ11">
    <cfRule type="cellIs" dxfId="10111" priority="248" operator="lessThan">
      <formula>0</formula>
    </cfRule>
  </conditionalFormatting>
  <conditionalFormatting sqref="AQ11">
    <cfRule type="cellIs" dxfId="10110" priority="247" operator="lessThan">
      <formula>0</formula>
    </cfRule>
  </conditionalFormatting>
  <conditionalFormatting sqref="AQ11">
    <cfRule type="cellIs" dxfId="10109" priority="246" operator="lessThan">
      <formula>0</formula>
    </cfRule>
  </conditionalFormatting>
  <conditionalFormatting sqref="AQ11">
    <cfRule type="cellIs" dxfId="10108" priority="245" operator="lessThan">
      <formula>0</formula>
    </cfRule>
  </conditionalFormatting>
  <conditionalFormatting sqref="AQ11">
    <cfRule type="cellIs" dxfId="10107" priority="244" operator="lessThan">
      <formula>0</formula>
    </cfRule>
  </conditionalFormatting>
  <conditionalFormatting sqref="AQ11">
    <cfRule type="cellIs" dxfId="10106" priority="243" operator="lessThan">
      <formula>0</formula>
    </cfRule>
  </conditionalFormatting>
  <conditionalFormatting sqref="AQ11">
    <cfRule type="cellIs" dxfId="10105" priority="242" operator="lessThan">
      <formula>0</formula>
    </cfRule>
  </conditionalFormatting>
  <conditionalFormatting sqref="AQ11">
    <cfRule type="cellIs" dxfId="10104" priority="241" operator="lessThan">
      <formula>0</formula>
    </cfRule>
  </conditionalFormatting>
  <conditionalFormatting sqref="AQ11">
    <cfRule type="cellIs" dxfId="10103" priority="240" operator="lessThan">
      <formula>0</formula>
    </cfRule>
  </conditionalFormatting>
  <conditionalFormatting sqref="AQ11">
    <cfRule type="cellIs" dxfId="10102" priority="239" operator="lessThan">
      <formula>0</formula>
    </cfRule>
  </conditionalFormatting>
  <conditionalFormatting sqref="AQ11">
    <cfRule type="cellIs" dxfId="10101" priority="238" operator="lessThan">
      <formula>0</formula>
    </cfRule>
  </conditionalFormatting>
  <conditionalFormatting sqref="AQ11">
    <cfRule type="cellIs" dxfId="10100" priority="237" operator="lessThan">
      <formula>0</formula>
    </cfRule>
  </conditionalFormatting>
  <conditionalFormatting sqref="AQ11">
    <cfRule type="cellIs" dxfId="10099" priority="236" operator="lessThan">
      <formula>0</formula>
    </cfRule>
  </conditionalFormatting>
  <conditionalFormatting sqref="AQ11">
    <cfRule type="cellIs" dxfId="10098" priority="235" operator="lessThan">
      <formula>0</formula>
    </cfRule>
  </conditionalFormatting>
  <conditionalFormatting sqref="AQ11">
    <cfRule type="cellIs" dxfId="10097" priority="234" operator="lessThan">
      <formula>0</formula>
    </cfRule>
  </conditionalFormatting>
  <conditionalFormatting sqref="AQ11">
    <cfRule type="cellIs" dxfId="10096" priority="233" operator="lessThan">
      <formula>0</formula>
    </cfRule>
  </conditionalFormatting>
  <conditionalFormatting sqref="AQ11">
    <cfRule type="cellIs" dxfId="10095" priority="232" operator="lessThan">
      <formula>0</formula>
    </cfRule>
  </conditionalFormatting>
  <conditionalFormatting sqref="AQ11">
    <cfRule type="cellIs" dxfId="10094" priority="231" operator="lessThan">
      <formula>0</formula>
    </cfRule>
  </conditionalFormatting>
  <conditionalFormatting sqref="AQ10">
    <cfRule type="cellIs" dxfId="10093" priority="230" operator="lessThan">
      <formula>0</formula>
    </cfRule>
  </conditionalFormatting>
  <conditionalFormatting sqref="AQ10 AQ12:AQ13">
    <cfRule type="cellIs" dxfId="10092" priority="229" operator="lessThan">
      <formula>0</formula>
    </cfRule>
  </conditionalFormatting>
  <conditionalFormatting sqref="AM10:AM13">
    <cfRule type="cellIs" dxfId="10091" priority="228" operator="notEqual">
      <formula>0</formula>
    </cfRule>
  </conditionalFormatting>
  <conditionalFormatting sqref="I12">
    <cfRule type="cellIs" dxfId="10090" priority="227" operator="greaterThan">
      <formula>0</formula>
    </cfRule>
  </conditionalFormatting>
  <conditionalFormatting sqref="AQ10 AQ12:AQ13">
    <cfRule type="cellIs" dxfId="10089" priority="226" operator="lessThan">
      <formula>0</formula>
    </cfRule>
  </conditionalFormatting>
  <conditionalFormatting sqref="AQ10 AQ12:AQ13">
    <cfRule type="cellIs" dxfId="10088" priority="225" operator="lessThan">
      <formula>0</formula>
    </cfRule>
  </conditionalFormatting>
  <conditionalFormatting sqref="AQ10 AQ12:AQ13">
    <cfRule type="cellIs" dxfId="10087" priority="224" operator="lessThan">
      <formula>0</formula>
    </cfRule>
  </conditionalFormatting>
  <conditionalFormatting sqref="J12">
    <cfRule type="cellIs" dxfId="10086" priority="223" operator="greaterThan">
      <formula>0</formula>
    </cfRule>
  </conditionalFormatting>
  <conditionalFormatting sqref="AQ12:AQ13">
    <cfRule type="cellIs" dxfId="10085" priority="222" operator="lessThan">
      <formula>0</formula>
    </cfRule>
  </conditionalFormatting>
  <conditionalFormatting sqref="AQ12:AQ13">
    <cfRule type="cellIs" dxfId="10084" priority="221" operator="lessThan">
      <formula>0</formula>
    </cfRule>
  </conditionalFormatting>
  <conditionalFormatting sqref="AQ12:AQ13">
    <cfRule type="cellIs" dxfId="10083" priority="220" operator="lessThan">
      <formula>0</formula>
    </cfRule>
  </conditionalFormatting>
  <conditionalFormatting sqref="AQ12:AQ13">
    <cfRule type="cellIs" dxfId="10082" priority="219" operator="lessThan">
      <formula>0</formula>
    </cfRule>
  </conditionalFormatting>
  <conditionalFormatting sqref="AQ11">
    <cfRule type="cellIs" dxfId="10081" priority="218" operator="lessThan">
      <formula>0</formula>
    </cfRule>
  </conditionalFormatting>
  <conditionalFormatting sqref="AQ11">
    <cfRule type="cellIs" dxfId="10080" priority="217" operator="lessThan">
      <formula>0</formula>
    </cfRule>
  </conditionalFormatting>
  <conditionalFormatting sqref="AQ11">
    <cfRule type="cellIs" dxfId="10079" priority="216" operator="lessThan">
      <formula>0</formula>
    </cfRule>
  </conditionalFormatting>
  <conditionalFormatting sqref="AQ11">
    <cfRule type="cellIs" dxfId="10078" priority="215" operator="lessThan">
      <formula>0</formula>
    </cfRule>
  </conditionalFormatting>
  <conditionalFormatting sqref="AQ11">
    <cfRule type="cellIs" dxfId="10077" priority="214" operator="lessThan">
      <formula>0</formula>
    </cfRule>
  </conditionalFormatting>
  <conditionalFormatting sqref="AQ11">
    <cfRule type="cellIs" dxfId="10076" priority="213" operator="lessThan">
      <formula>0</formula>
    </cfRule>
  </conditionalFormatting>
  <conditionalFormatting sqref="AQ11">
    <cfRule type="cellIs" dxfId="10075" priority="212" operator="lessThan">
      <formula>0</formula>
    </cfRule>
  </conditionalFormatting>
  <conditionalFormatting sqref="AQ11">
    <cfRule type="cellIs" dxfId="10074" priority="211" operator="lessThan">
      <formula>0</formula>
    </cfRule>
  </conditionalFormatting>
  <conditionalFormatting sqref="AQ11">
    <cfRule type="cellIs" dxfId="10073" priority="210" operator="lessThan">
      <formula>0</formula>
    </cfRule>
  </conditionalFormatting>
  <conditionalFormatting sqref="AQ11">
    <cfRule type="cellIs" dxfId="10072" priority="209" operator="lessThan">
      <formula>0</formula>
    </cfRule>
  </conditionalFormatting>
  <conditionalFormatting sqref="AQ11">
    <cfRule type="cellIs" dxfId="10071" priority="208" operator="lessThan">
      <formula>0</formula>
    </cfRule>
  </conditionalFormatting>
  <conditionalFormatting sqref="AQ11">
    <cfRule type="cellIs" dxfId="10070" priority="207" operator="lessThan">
      <formula>0</formula>
    </cfRule>
  </conditionalFormatting>
  <conditionalFormatting sqref="AQ11">
    <cfRule type="cellIs" dxfId="10069" priority="206" operator="lessThan">
      <formula>0</formula>
    </cfRule>
  </conditionalFormatting>
  <conditionalFormatting sqref="AQ11">
    <cfRule type="cellIs" dxfId="10068" priority="205" operator="lessThan">
      <formula>0</formula>
    </cfRule>
  </conditionalFormatting>
  <conditionalFormatting sqref="AQ11">
    <cfRule type="cellIs" dxfId="10067" priority="204" operator="lessThan">
      <formula>0</formula>
    </cfRule>
  </conditionalFormatting>
  <conditionalFormatting sqref="AQ11">
    <cfRule type="cellIs" dxfId="10066" priority="203" operator="lessThan">
      <formula>0</formula>
    </cfRule>
  </conditionalFormatting>
  <conditionalFormatting sqref="AQ11">
    <cfRule type="cellIs" dxfId="10065" priority="187" operator="lessThan">
      <formula>0</formula>
    </cfRule>
  </conditionalFormatting>
  <conditionalFormatting sqref="AQ11">
    <cfRule type="cellIs" dxfId="10064" priority="202" operator="lessThan">
      <formula>0</formula>
    </cfRule>
  </conditionalFormatting>
  <conditionalFormatting sqref="AQ11">
    <cfRule type="cellIs" dxfId="10063" priority="201" operator="lessThan">
      <formula>0</formula>
    </cfRule>
  </conditionalFormatting>
  <conditionalFormatting sqref="AQ11">
    <cfRule type="cellIs" dxfId="10062" priority="200" operator="lessThan">
      <formula>0</formula>
    </cfRule>
  </conditionalFormatting>
  <conditionalFormatting sqref="AQ11">
    <cfRule type="cellIs" dxfId="10061" priority="199" operator="lessThan">
      <formula>0</formula>
    </cfRule>
  </conditionalFormatting>
  <conditionalFormatting sqref="AQ11">
    <cfRule type="cellIs" dxfId="10060" priority="198" operator="lessThan">
      <formula>0</formula>
    </cfRule>
  </conditionalFormatting>
  <conditionalFormatting sqref="AQ11">
    <cfRule type="cellIs" dxfId="10059" priority="197" operator="lessThan">
      <formula>0</formula>
    </cfRule>
  </conditionalFormatting>
  <conditionalFormatting sqref="AQ11">
    <cfRule type="cellIs" dxfId="10058" priority="196" operator="lessThan">
      <formula>0</formula>
    </cfRule>
  </conditionalFormatting>
  <conditionalFormatting sqref="AQ11">
    <cfRule type="cellIs" dxfId="10057" priority="195" operator="lessThan">
      <formula>0</formula>
    </cfRule>
  </conditionalFormatting>
  <conditionalFormatting sqref="AQ11">
    <cfRule type="cellIs" dxfId="10056" priority="194" operator="lessThan">
      <formula>0</formula>
    </cfRule>
  </conditionalFormatting>
  <conditionalFormatting sqref="AQ11">
    <cfRule type="cellIs" dxfId="10055" priority="193" operator="lessThan">
      <formula>0</formula>
    </cfRule>
  </conditionalFormatting>
  <conditionalFormatting sqref="AQ11">
    <cfRule type="cellIs" dxfId="10054" priority="192" operator="lessThan">
      <formula>0</formula>
    </cfRule>
  </conditionalFormatting>
  <conditionalFormatting sqref="AQ11">
    <cfRule type="cellIs" dxfId="10053" priority="191" operator="lessThan">
      <formula>0</formula>
    </cfRule>
  </conditionalFormatting>
  <conditionalFormatting sqref="AQ11">
    <cfRule type="cellIs" dxfId="10052" priority="190" operator="lessThan">
      <formula>0</formula>
    </cfRule>
  </conditionalFormatting>
  <conditionalFormatting sqref="AQ11">
    <cfRule type="cellIs" dxfId="10051" priority="189" operator="lessThan">
      <formula>0</formula>
    </cfRule>
  </conditionalFormatting>
  <conditionalFormatting sqref="AQ11">
    <cfRule type="cellIs" dxfId="10050" priority="188" operator="lessThan">
      <formula>0</formula>
    </cfRule>
  </conditionalFormatting>
  <conditionalFormatting sqref="Y11">
    <cfRule type="iconSet" priority="185">
      <iconSet>
        <cfvo type="percent" val="0"/>
        <cfvo type="percent" val="&quot;$I$6&quot;"/>
        <cfvo type="percent" val="#REF!"/>
      </iconSet>
    </cfRule>
  </conditionalFormatting>
  <conditionalFormatting sqref="Y12">
    <cfRule type="cellIs" dxfId="10049" priority="184" operator="lessThan">
      <formula>0</formula>
    </cfRule>
  </conditionalFormatting>
  <conditionalFormatting sqref="Y10:Y12">
    <cfRule type="cellIs" dxfId="10048" priority="183" operator="lessThan">
      <formula>0</formula>
    </cfRule>
  </conditionalFormatting>
  <conditionalFormatting sqref="Y13">
    <cfRule type="cellIs" dxfId="10047" priority="182" operator="lessThan">
      <formula>0</formula>
    </cfRule>
  </conditionalFormatting>
  <conditionalFormatting sqref="J20">
    <cfRule type="cellIs" dxfId="10046" priority="178" operator="greaterThan">
      <formula>0</formula>
    </cfRule>
  </conditionalFormatting>
  <conditionalFormatting sqref="J44">
    <cfRule type="cellIs" dxfId="10045" priority="177" operator="greaterThan">
      <formula>0</formula>
    </cfRule>
  </conditionalFormatting>
  <conditionalFormatting sqref="J52">
    <cfRule type="cellIs" dxfId="10044" priority="176" operator="greaterThan">
      <formula>0</formula>
    </cfRule>
  </conditionalFormatting>
  <conditionalFormatting sqref="J100">
    <cfRule type="cellIs" dxfId="10043" priority="175" operator="greaterThan">
      <formula>0</formula>
    </cfRule>
  </conditionalFormatting>
  <conditionalFormatting sqref="AM74:AM77">
    <cfRule type="cellIs" dxfId="10042" priority="172" operator="notEqual">
      <formula>0</formula>
    </cfRule>
  </conditionalFormatting>
  <conditionalFormatting sqref="J76">
    <cfRule type="cellIs" dxfId="10041" priority="170" operator="greaterThan">
      <formula>0</formula>
    </cfRule>
  </conditionalFormatting>
  <conditionalFormatting sqref="AQ74">
    <cfRule type="cellIs" dxfId="10040" priority="169" operator="lessThan">
      <formula>0</formula>
    </cfRule>
  </conditionalFormatting>
  <conditionalFormatting sqref="AQ74 AQ76:AQ77">
    <cfRule type="cellIs" dxfId="10039" priority="168" operator="lessThan">
      <formula>0</formula>
    </cfRule>
  </conditionalFormatting>
  <conditionalFormatting sqref="AQ74 AQ76:AQ77">
    <cfRule type="cellIs" dxfId="10038" priority="167" operator="lessThan">
      <formula>0</formula>
    </cfRule>
  </conditionalFormatting>
  <conditionalFormatting sqref="AQ74 AQ76:AQ77">
    <cfRule type="cellIs" dxfId="10037" priority="166" operator="lessThan">
      <formula>0</formula>
    </cfRule>
  </conditionalFormatting>
  <conditionalFormatting sqref="AQ74 AQ76:AQ77">
    <cfRule type="cellIs" dxfId="10036" priority="165" operator="lessThan">
      <formula>0</formula>
    </cfRule>
  </conditionalFormatting>
  <conditionalFormatting sqref="AQ76:AQ77">
    <cfRule type="cellIs" dxfId="10035" priority="164" operator="lessThan">
      <formula>0</formula>
    </cfRule>
  </conditionalFormatting>
  <conditionalFormatting sqref="AQ76:AQ77">
    <cfRule type="cellIs" dxfId="10034" priority="163" operator="lessThan">
      <formula>0</formula>
    </cfRule>
  </conditionalFormatting>
  <conditionalFormatting sqref="AQ76:AQ77">
    <cfRule type="cellIs" dxfId="10033" priority="162" operator="lessThan">
      <formula>0</formula>
    </cfRule>
  </conditionalFormatting>
  <conditionalFormatting sqref="AQ76:AQ77">
    <cfRule type="cellIs" dxfId="10032" priority="161" operator="lessThan">
      <formula>0</formula>
    </cfRule>
  </conditionalFormatting>
  <conditionalFormatting sqref="AQ75">
    <cfRule type="cellIs" dxfId="10031" priority="160" operator="lessThan">
      <formula>0</formula>
    </cfRule>
  </conditionalFormatting>
  <conditionalFormatting sqref="AQ75">
    <cfRule type="cellIs" dxfId="10030" priority="159" operator="lessThan">
      <formula>0</formula>
    </cfRule>
  </conditionalFormatting>
  <conditionalFormatting sqref="AQ75">
    <cfRule type="cellIs" dxfId="10029" priority="158" operator="lessThan">
      <formula>0</formula>
    </cfRule>
  </conditionalFormatting>
  <conditionalFormatting sqref="AQ75">
    <cfRule type="cellIs" dxfId="10028" priority="157" operator="lessThan">
      <formula>0</formula>
    </cfRule>
  </conditionalFormatting>
  <conditionalFormatting sqref="AQ75">
    <cfRule type="cellIs" dxfId="10027" priority="156" operator="lessThan">
      <formula>0</formula>
    </cfRule>
  </conditionalFormatting>
  <conditionalFormatting sqref="AQ75">
    <cfRule type="cellIs" dxfId="10026" priority="155" operator="lessThan">
      <formula>0</formula>
    </cfRule>
  </conditionalFormatting>
  <conditionalFormatting sqref="AQ75">
    <cfRule type="cellIs" dxfId="10025" priority="154" operator="lessThan">
      <formula>0</formula>
    </cfRule>
  </conditionalFormatting>
  <conditionalFormatting sqref="AQ75">
    <cfRule type="cellIs" dxfId="10024" priority="153" operator="lessThan">
      <formula>0</formula>
    </cfRule>
  </conditionalFormatting>
  <conditionalFormatting sqref="AQ75">
    <cfRule type="cellIs" dxfId="10023" priority="152" operator="lessThan">
      <formula>0</formula>
    </cfRule>
  </conditionalFormatting>
  <conditionalFormatting sqref="AQ75">
    <cfRule type="cellIs" dxfId="10022" priority="151" operator="lessThan">
      <formula>0</formula>
    </cfRule>
  </conditionalFormatting>
  <conditionalFormatting sqref="AQ75">
    <cfRule type="cellIs" dxfId="10021" priority="150" operator="lessThan">
      <formula>0</formula>
    </cfRule>
  </conditionalFormatting>
  <conditionalFormatting sqref="AQ75">
    <cfRule type="cellIs" dxfId="10020" priority="149" operator="lessThan">
      <formula>0</formula>
    </cfRule>
  </conditionalFormatting>
  <conditionalFormatting sqref="AQ75">
    <cfRule type="cellIs" dxfId="10019" priority="148" operator="lessThan">
      <formula>0</formula>
    </cfRule>
  </conditionalFormatting>
  <conditionalFormatting sqref="AQ75">
    <cfRule type="cellIs" dxfId="10018" priority="147" operator="lessThan">
      <formula>0</formula>
    </cfRule>
  </conditionalFormatting>
  <conditionalFormatting sqref="AQ75">
    <cfRule type="cellIs" dxfId="10017" priority="146" operator="lessThan">
      <formula>0</formula>
    </cfRule>
  </conditionalFormatting>
  <conditionalFormatting sqref="AQ75">
    <cfRule type="cellIs" dxfId="10016" priority="145" operator="lessThan">
      <formula>0</formula>
    </cfRule>
  </conditionalFormatting>
  <conditionalFormatting sqref="AQ75">
    <cfRule type="cellIs" dxfId="10015" priority="144" operator="lessThan">
      <formula>0</formula>
    </cfRule>
  </conditionalFormatting>
  <conditionalFormatting sqref="AQ75">
    <cfRule type="cellIs" dxfId="10014" priority="143" operator="lessThan">
      <formula>0</formula>
    </cfRule>
  </conditionalFormatting>
  <conditionalFormatting sqref="AQ75">
    <cfRule type="cellIs" dxfId="10013" priority="142" operator="lessThan">
      <formula>0</formula>
    </cfRule>
  </conditionalFormatting>
  <conditionalFormatting sqref="AQ75">
    <cfRule type="cellIs" dxfId="10012" priority="141" operator="lessThan">
      <formula>0</formula>
    </cfRule>
  </conditionalFormatting>
  <conditionalFormatting sqref="AQ75">
    <cfRule type="cellIs" dxfId="10011" priority="140" operator="lessThan">
      <formula>0</formula>
    </cfRule>
  </conditionalFormatting>
  <conditionalFormatting sqref="AQ75">
    <cfRule type="cellIs" dxfId="10010" priority="139" operator="lessThan">
      <formula>0</formula>
    </cfRule>
  </conditionalFormatting>
  <conditionalFormatting sqref="AQ75">
    <cfRule type="cellIs" dxfId="10009" priority="138" operator="lessThan">
      <formula>0</formula>
    </cfRule>
  </conditionalFormatting>
  <conditionalFormatting sqref="AQ75">
    <cfRule type="cellIs" dxfId="10008" priority="137" operator="lessThan">
      <formula>0</formula>
    </cfRule>
  </conditionalFormatting>
  <conditionalFormatting sqref="AQ75">
    <cfRule type="cellIs" dxfId="10007" priority="136" operator="lessThan">
      <formula>0</formula>
    </cfRule>
  </conditionalFormatting>
  <conditionalFormatting sqref="AQ75">
    <cfRule type="cellIs" dxfId="10006" priority="135" operator="lessThan">
      <formula>0</formula>
    </cfRule>
  </conditionalFormatting>
  <conditionalFormatting sqref="AQ75">
    <cfRule type="cellIs" dxfId="10005" priority="134" operator="lessThan">
      <formula>0</formula>
    </cfRule>
  </conditionalFormatting>
  <conditionalFormatting sqref="AQ75">
    <cfRule type="cellIs" dxfId="10004" priority="133" operator="lessThan">
      <formula>0</formula>
    </cfRule>
  </conditionalFormatting>
  <conditionalFormatting sqref="AQ75">
    <cfRule type="cellIs" dxfId="10003" priority="132" operator="lessThan">
      <formula>0</formula>
    </cfRule>
  </conditionalFormatting>
  <conditionalFormatting sqref="AQ75">
    <cfRule type="cellIs" dxfId="10002" priority="131" operator="lessThan">
      <formula>0</formula>
    </cfRule>
  </conditionalFormatting>
  <conditionalFormatting sqref="AQ75">
    <cfRule type="cellIs" dxfId="10001" priority="130" operator="lessThan">
      <formula>0</formula>
    </cfRule>
  </conditionalFormatting>
  <conditionalFormatting sqref="AQ75">
    <cfRule type="cellIs" dxfId="10000" priority="129" operator="lessThan">
      <formula>0</formula>
    </cfRule>
  </conditionalFormatting>
  <conditionalFormatting sqref="Y75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Y76">
    <cfRule type="cellIs" dxfId="9999" priority="127" operator="lessThan">
      <formula>0</formula>
    </cfRule>
  </conditionalFormatting>
  <conditionalFormatting sqref="Y74:Y76">
    <cfRule type="cellIs" dxfId="9998" priority="126" operator="lessThan">
      <formula>0</formula>
    </cfRule>
  </conditionalFormatting>
  <conditionalFormatting sqref="Y77">
    <cfRule type="cellIs" dxfId="9997" priority="125" operator="lessThan">
      <formula>0</formula>
    </cfRule>
  </conditionalFormatting>
  <conditionalFormatting sqref="I76">
    <cfRule type="cellIs" dxfId="9996" priority="122" operator="greaterThan">
      <formula>0</formula>
    </cfRule>
  </conditionalFormatting>
  <conditionalFormatting sqref="AM38:AM41">
    <cfRule type="cellIs" dxfId="9995" priority="120" operator="notEqual">
      <formula>0</formula>
    </cfRule>
  </conditionalFormatting>
  <conditionalFormatting sqref="I40">
    <cfRule type="cellIs" dxfId="9994" priority="119" operator="greaterThan">
      <formula>0</formula>
    </cfRule>
  </conditionalFormatting>
  <conditionalFormatting sqref="J40">
    <cfRule type="cellIs" dxfId="9993" priority="118" operator="greaterThan">
      <formula>0</formula>
    </cfRule>
  </conditionalFormatting>
  <conditionalFormatting sqref="AQ38">
    <cfRule type="cellIs" dxfId="9992" priority="117" operator="lessThan">
      <formula>0</formula>
    </cfRule>
  </conditionalFormatting>
  <conditionalFormatting sqref="AQ38 AQ40:AQ41">
    <cfRule type="cellIs" dxfId="9991" priority="116" operator="lessThan">
      <formula>0</formula>
    </cfRule>
  </conditionalFormatting>
  <conditionalFormatting sqref="AQ38 AQ40:AQ41">
    <cfRule type="cellIs" dxfId="9990" priority="115" operator="lessThan">
      <formula>0</formula>
    </cfRule>
  </conditionalFormatting>
  <conditionalFormatting sqref="AQ38 AQ40:AQ41">
    <cfRule type="cellIs" dxfId="9989" priority="114" operator="lessThan">
      <formula>0</formula>
    </cfRule>
  </conditionalFormatting>
  <conditionalFormatting sqref="AQ38 AQ40:AQ41">
    <cfRule type="cellIs" dxfId="9988" priority="113" operator="lessThan">
      <formula>0</formula>
    </cfRule>
  </conditionalFormatting>
  <conditionalFormatting sqref="AQ40:AQ41">
    <cfRule type="cellIs" dxfId="9987" priority="112" operator="lessThan">
      <formula>0</formula>
    </cfRule>
  </conditionalFormatting>
  <conditionalFormatting sqref="AQ40:AQ41">
    <cfRule type="cellIs" dxfId="9986" priority="111" operator="lessThan">
      <formula>0</formula>
    </cfRule>
  </conditionalFormatting>
  <conditionalFormatting sqref="AQ40:AQ41">
    <cfRule type="cellIs" dxfId="9985" priority="110" operator="lessThan">
      <formula>0</formula>
    </cfRule>
  </conditionalFormatting>
  <conditionalFormatting sqref="AQ40:AQ41">
    <cfRule type="cellIs" dxfId="9984" priority="109" operator="lessThan">
      <formula>0</formula>
    </cfRule>
  </conditionalFormatting>
  <conditionalFormatting sqref="AQ39">
    <cfRule type="cellIs" dxfId="9983" priority="44" operator="lessThan">
      <formula>0</formula>
    </cfRule>
  </conditionalFormatting>
  <conditionalFormatting sqref="AQ39">
    <cfRule type="cellIs" dxfId="9982" priority="43" operator="lessThan">
      <formula>0</formula>
    </cfRule>
  </conditionalFormatting>
  <conditionalFormatting sqref="AQ39">
    <cfRule type="cellIs" dxfId="9981" priority="42" operator="lessThan">
      <formula>0</formula>
    </cfRule>
  </conditionalFormatting>
  <conditionalFormatting sqref="AQ39">
    <cfRule type="cellIs" dxfId="9980" priority="41" operator="lessThan">
      <formula>0</formula>
    </cfRule>
  </conditionalFormatting>
  <conditionalFormatting sqref="AQ39">
    <cfRule type="cellIs" dxfId="9979" priority="40" operator="lessThan">
      <formula>0</formula>
    </cfRule>
  </conditionalFormatting>
  <conditionalFormatting sqref="AQ39">
    <cfRule type="cellIs" dxfId="9978" priority="39" operator="lessThan">
      <formula>0</formula>
    </cfRule>
  </conditionalFormatting>
  <conditionalFormatting sqref="AQ39">
    <cfRule type="cellIs" dxfId="9977" priority="38" operator="lessThan">
      <formula>0</formula>
    </cfRule>
  </conditionalFormatting>
  <conditionalFormatting sqref="AQ39">
    <cfRule type="cellIs" dxfId="9976" priority="37" operator="lessThan">
      <formula>0</formula>
    </cfRule>
  </conditionalFormatting>
  <conditionalFormatting sqref="AQ39">
    <cfRule type="cellIs" dxfId="9975" priority="36" operator="lessThan">
      <formula>0</formula>
    </cfRule>
  </conditionalFormatting>
  <conditionalFormatting sqref="AQ39">
    <cfRule type="cellIs" dxfId="9974" priority="35" operator="lessThan">
      <formula>0</formula>
    </cfRule>
  </conditionalFormatting>
  <conditionalFormatting sqref="AQ39">
    <cfRule type="cellIs" dxfId="9973" priority="34" operator="lessThan">
      <formula>0</formula>
    </cfRule>
  </conditionalFormatting>
  <conditionalFormatting sqref="AQ39">
    <cfRule type="cellIs" dxfId="9972" priority="33" operator="lessThan">
      <formula>0</formula>
    </cfRule>
  </conditionalFormatting>
  <conditionalFormatting sqref="AQ39">
    <cfRule type="cellIs" dxfId="9971" priority="32" operator="lessThan">
      <formula>0</formula>
    </cfRule>
  </conditionalFormatting>
  <conditionalFormatting sqref="AQ39">
    <cfRule type="cellIs" dxfId="9970" priority="31" operator="lessThan">
      <formula>0</formula>
    </cfRule>
  </conditionalFormatting>
  <conditionalFormatting sqref="AQ39">
    <cfRule type="cellIs" dxfId="9969" priority="30" operator="lessThan">
      <formula>0</formula>
    </cfRule>
  </conditionalFormatting>
  <conditionalFormatting sqref="AQ39">
    <cfRule type="cellIs" dxfId="9968" priority="29" operator="lessThan">
      <formula>0</formula>
    </cfRule>
  </conditionalFormatting>
  <conditionalFormatting sqref="AQ39">
    <cfRule type="cellIs" dxfId="9967" priority="28" operator="lessThan">
      <formula>0</formula>
    </cfRule>
  </conditionalFormatting>
  <conditionalFormatting sqref="AQ39">
    <cfRule type="cellIs" dxfId="9966" priority="27" operator="lessThan">
      <formula>0</formula>
    </cfRule>
  </conditionalFormatting>
  <conditionalFormatting sqref="AQ39">
    <cfRule type="cellIs" dxfId="9965" priority="26" operator="lessThan">
      <formula>0</formula>
    </cfRule>
  </conditionalFormatting>
  <conditionalFormatting sqref="AQ39">
    <cfRule type="cellIs" dxfId="9964" priority="25" operator="lessThan">
      <formula>0</formula>
    </cfRule>
  </conditionalFormatting>
  <conditionalFormatting sqref="AQ39">
    <cfRule type="cellIs" dxfId="9963" priority="24" operator="lessThan">
      <formula>0</formula>
    </cfRule>
  </conditionalFormatting>
  <conditionalFormatting sqref="AQ39">
    <cfRule type="cellIs" dxfId="9962" priority="23" operator="lessThan">
      <formula>0</formula>
    </cfRule>
  </conditionalFormatting>
  <conditionalFormatting sqref="AQ39">
    <cfRule type="cellIs" dxfId="9961" priority="22" operator="lessThan">
      <formula>0</formula>
    </cfRule>
  </conditionalFormatting>
  <conditionalFormatting sqref="AQ39">
    <cfRule type="cellIs" dxfId="9960" priority="21" operator="lessThan">
      <formula>0</formula>
    </cfRule>
  </conditionalFormatting>
  <conditionalFormatting sqref="AQ39">
    <cfRule type="cellIs" dxfId="9959" priority="20" operator="lessThan">
      <formula>0</formula>
    </cfRule>
  </conditionalFormatting>
  <conditionalFormatting sqref="AQ39">
    <cfRule type="cellIs" dxfId="9958" priority="19" operator="lessThan">
      <formula>0</formula>
    </cfRule>
  </conditionalFormatting>
  <conditionalFormatting sqref="AQ39">
    <cfRule type="cellIs" dxfId="9957" priority="18" operator="lessThan">
      <formula>0</formula>
    </cfRule>
  </conditionalFormatting>
  <conditionalFormatting sqref="AQ39">
    <cfRule type="cellIs" dxfId="9956" priority="17" operator="lessThan">
      <formula>0</formula>
    </cfRule>
  </conditionalFormatting>
  <conditionalFormatting sqref="AQ39">
    <cfRule type="cellIs" dxfId="9955" priority="16" operator="lessThan">
      <formula>0</formula>
    </cfRule>
  </conditionalFormatting>
  <conditionalFormatting sqref="AQ39">
    <cfRule type="cellIs" dxfId="9954" priority="15" operator="lessThan">
      <formula>0</formula>
    </cfRule>
  </conditionalFormatting>
  <conditionalFormatting sqref="AQ39">
    <cfRule type="cellIs" dxfId="9953" priority="14" operator="lessThan">
      <formula>0</formula>
    </cfRule>
  </conditionalFormatting>
  <conditionalFormatting sqref="AQ39">
    <cfRule type="cellIs" dxfId="9952" priority="13" operator="lessThan">
      <formula>0</formula>
    </cfRule>
  </conditionalFormatting>
  <conditionalFormatting sqref="Y39">
    <cfRule type="iconSet" priority="76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9951" priority="75" operator="lessThan">
      <formula>0</formula>
    </cfRule>
  </conditionalFormatting>
  <conditionalFormatting sqref="Y38:Y40">
    <cfRule type="cellIs" dxfId="9950" priority="74" operator="lessThan">
      <formula>0</formula>
    </cfRule>
  </conditionalFormatting>
  <conditionalFormatting sqref="Y41">
    <cfRule type="cellIs" dxfId="9949" priority="73" operator="lessThan">
      <formula>0</formula>
    </cfRule>
  </conditionalFormatting>
  <conditionalFormatting sqref="AQ39">
    <cfRule type="cellIs" dxfId="9948" priority="69" operator="lessThan">
      <formula>0</formula>
    </cfRule>
  </conditionalFormatting>
  <conditionalFormatting sqref="AQ39">
    <cfRule type="cellIs" dxfId="9947" priority="68" operator="lessThan">
      <formula>0</formula>
    </cfRule>
  </conditionalFormatting>
  <conditionalFormatting sqref="AQ39">
    <cfRule type="cellIs" dxfId="9946" priority="67" operator="lessThan">
      <formula>0</formula>
    </cfRule>
  </conditionalFormatting>
  <conditionalFormatting sqref="AQ39">
    <cfRule type="cellIs" dxfId="9945" priority="66" operator="lessThan">
      <formula>0</formula>
    </cfRule>
  </conditionalFormatting>
  <conditionalFormatting sqref="AQ39">
    <cfRule type="cellIs" dxfId="9944" priority="65" operator="lessThan">
      <formula>0</formula>
    </cfRule>
  </conditionalFormatting>
  <conditionalFormatting sqref="AQ39">
    <cfRule type="cellIs" dxfId="9943" priority="64" operator="lessThan">
      <formula>0</formula>
    </cfRule>
  </conditionalFormatting>
  <conditionalFormatting sqref="AQ39">
    <cfRule type="cellIs" dxfId="9942" priority="63" operator="lessThan">
      <formula>0</formula>
    </cfRule>
  </conditionalFormatting>
  <conditionalFormatting sqref="AQ39">
    <cfRule type="cellIs" dxfId="9941" priority="62" operator="lessThan">
      <formula>0</formula>
    </cfRule>
  </conditionalFormatting>
  <conditionalFormatting sqref="AQ39">
    <cfRule type="cellIs" dxfId="9940" priority="61" operator="lessThan">
      <formula>0</formula>
    </cfRule>
  </conditionalFormatting>
  <conditionalFormatting sqref="AQ39">
    <cfRule type="cellIs" dxfId="9939" priority="60" operator="lessThan">
      <formula>0</formula>
    </cfRule>
  </conditionalFormatting>
  <conditionalFormatting sqref="AQ39">
    <cfRule type="cellIs" dxfId="9938" priority="59" operator="lessThan">
      <formula>0</formula>
    </cfRule>
  </conditionalFormatting>
  <conditionalFormatting sqref="AQ39">
    <cfRule type="cellIs" dxfId="9937" priority="58" operator="lessThan">
      <formula>0</formula>
    </cfRule>
  </conditionalFormatting>
  <conditionalFormatting sqref="AQ39">
    <cfRule type="cellIs" dxfId="9936" priority="57" operator="lessThan">
      <formula>0</formula>
    </cfRule>
  </conditionalFormatting>
  <conditionalFormatting sqref="AQ39">
    <cfRule type="cellIs" dxfId="9935" priority="56" operator="lessThan">
      <formula>0</formula>
    </cfRule>
  </conditionalFormatting>
  <conditionalFormatting sqref="AQ39">
    <cfRule type="cellIs" dxfId="9934" priority="55" operator="lessThan">
      <formula>0</formula>
    </cfRule>
  </conditionalFormatting>
  <conditionalFormatting sqref="AQ39">
    <cfRule type="cellIs" dxfId="9933" priority="54" operator="lessThan">
      <formula>0</formula>
    </cfRule>
  </conditionalFormatting>
  <conditionalFormatting sqref="AQ39">
    <cfRule type="cellIs" dxfId="9932" priority="53" operator="lessThan">
      <formula>0</formula>
    </cfRule>
  </conditionalFormatting>
  <conditionalFormatting sqref="AQ39">
    <cfRule type="cellIs" dxfId="9931" priority="52" operator="lessThan">
      <formula>0</formula>
    </cfRule>
  </conditionalFormatting>
  <conditionalFormatting sqref="AQ39">
    <cfRule type="cellIs" dxfId="9930" priority="51" operator="lessThan">
      <formula>0</formula>
    </cfRule>
  </conditionalFormatting>
  <conditionalFormatting sqref="AQ39">
    <cfRule type="cellIs" dxfId="9929" priority="50" operator="lessThan">
      <formula>0</formula>
    </cfRule>
  </conditionalFormatting>
  <conditionalFormatting sqref="AQ39">
    <cfRule type="cellIs" dxfId="9928" priority="49" operator="lessThan">
      <formula>0</formula>
    </cfRule>
  </conditionalFormatting>
  <conditionalFormatting sqref="AQ39">
    <cfRule type="cellIs" dxfId="9927" priority="48" operator="lessThan">
      <formula>0</formula>
    </cfRule>
  </conditionalFormatting>
  <conditionalFormatting sqref="AQ39">
    <cfRule type="cellIs" dxfId="9926" priority="47" operator="lessThan">
      <formula>0</formula>
    </cfRule>
  </conditionalFormatting>
  <conditionalFormatting sqref="AQ39">
    <cfRule type="cellIs" dxfId="9925" priority="46" operator="lessThan">
      <formula>0</formula>
    </cfRule>
  </conditionalFormatting>
  <conditionalFormatting sqref="AQ39">
    <cfRule type="cellIs" dxfId="9924" priority="45" operator="lessThan">
      <formula>0</formula>
    </cfRule>
  </conditionalFormatting>
  <conditionalFormatting sqref="AQ39">
    <cfRule type="cellIs" dxfId="9923" priority="12" operator="lessThan">
      <formula>0</formula>
    </cfRule>
  </conditionalFormatting>
  <conditionalFormatting sqref="AQ39">
    <cfRule type="cellIs" dxfId="9922" priority="11" operator="lessThan">
      <formula>0</formula>
    </cfRule>
  </conditionalFormatting>
  <conditionalFormatting sqref="AQ39">
    <cfRule type="cellIs" dxfId="9921" priority="10" operator="lessThan">
      <formula>0</formula>
    </cfRule>
  </conditionalFormatting>
  <conditionalFormatting sqref="AQ39">
    <cfRule type="cellIs" dxfId="9920" priority="9" operator="lessThan">
      <formula>0</formula>
    </cfRule>
  </conditionalFormatting>
  <conditionalFormatting sqref="AQ39">
    <cfRule type="cellIs" dxfId="9919" priority="8" operator="lessThan">
      <formula>0</formula>
    </cfRule>
  </conditionalFormatting>
  <conditionalFormatting sqref="AQ39">
    <cfRule type="cellIs" dxfId="9918" priority="7" operator="lessThan">
      <formula>0</formula>
    </cfRule>
  </conditionalFormatting>
  <conditionalFormatting sqref="AQ39">
    <cfRule type="cellIs" dxfId="9917" priority="6" operator="lessThan">
      <formula>0</formula>
    </cfRule>
  </conditionalFormatting>
  <conditionalFormatting sqref="Y81">
    <cfRule type="cellIs" dxfId="9916" priority="5" operator="lessThan">
      <formula>0</formula>
    </cfRule>
  </conditionalFormatting>
  <conditionalFormatting sqref="J64">
    <cfRule type="cellIs" dxfId="9915" priority="4" operator="greaterThan">
      <formula>0</formula>
    </cfRule>
  </conditionalFormatting>
  <conditionalFormatting sqref="X11 X15 X19 X23 X27 X31 X35 X39 X43 X47 X51 X55 X59 X63 X67 X71 X75 X79 X83 X87 X91 X95 X99 X103 X107">
    <cfRule type="iconSet" priority="3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 X96 X100 X104 X108">
    <cfRule type="cellIs" dxfId="9914" priority="2" operator="lessThan">
      <formula>0</formula>
    </cfRule>
  </conditionalFormatting>
  <conditionalFormatting sqref="X10:X109">
    <cfRule type="cellIs" dxfId="9913" priority="1" operator="less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33" id="{41FB789B-101B-48D1-9831-EAE93A28CA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929" id="{8CDEA131-E58A-4652-A3B1-1A64E6D722E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926" id="{51E5A01E-3C5F-4DDF-99E5-97A7595C347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922" id="{F2E1395C-E30F-47DD-B6F0-DEE8464E74A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916" id="{015B402A-59A4-4D37-B7A8-3671324F4C7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911" id="{28E4BF85-FA82-4639-BB4E-96987C73890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907" id="{C6C9A7CB-D669-43C6-90AB-A93B630340D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904" id="{12274D9D-87F8-4B63-8AF5-37F49696952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901" id="{41854B00-AC29-47EF-8184-D6A85E0513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Z102</xm:sqref>
        </x14:conditionalFormatting>
        <x14:conditionalFormatting xmlns:xm="http://schemas.microsoft.com/office/excel/2006/main">
          <x14:cfRule type="iconSet" priority="895" id="{17D98579-F790-4DBF-B4CD-932F72EF529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890" id="{E3CE94CC-637D-461B-AFDE-72F49ADE0C9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886" id="{BB3DD92A-9B57-4329-9DAC-FC4BAED8810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878" id="{6C4BCDFD-A240-44DF-8282-3EDD437CF38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789" id="{66D03AEF-D00F-41B6-800B-10CEDB604BE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788" id="{117A6AD2-E2A0-40C6-9B1D-A5291044B54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743" id="{514C4682-D8D1-491F-9B70-832764B8B4F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Z98</xm:sqref>
        </x14:conditionalFormatting>
        <x14:conditionalFormatting xmlns:xm="http://schemas.microsoft.com/office/excel/2006/main">
          <x14:cfRule type="iconSet" priority="699" id="{2FAD464E-4F40-4A28-867F-5ABBF4BD247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Z94</xm:sqref>
        </x14:conditionalFormatting>
        <x14:conditionalFormatting xmlns:xm="http://schemas.microsoft.com/office/excel/2006/main">
          <x14:cfRule type="iconSet" priority="646" id="{49A86BFB-8067-45BE-92FE-14A9FFD7F8C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595" id="{DE7DBF38-6231-4BC6-BFFC-BF248030DD3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543" id="{D565F610-60BE-4473-B937-93A459A4051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492" id="{4C40AB84-2C8B-442B-903C-883713E1F08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408" id="{F80F890A-56D6-4EF3-8922-3DB322061C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Z106</xm:sqref>
        </x14:conditionalFormatting>
        <x14:conditionalFormatting xmlns:xm="http://schemas.microsoft.com/office/excel/2006/main">
          <x14:cfRule type="iconSet" priority="355" id="{F9901AA1-AC57-41D6-BC19-47E50EBC703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186" id="{7D862044-9C2C-4F0C-A196-89330C0C3D4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173" id="{9BCCB118-3C68-4B63-80DB-DA9C998F77C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121" id="{AD4CBFFD-CF2E-4267-B545-42513E42A06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97"/>
  <sheetViews>
    <sheetView zoomScale="18" zoomScaleNormal="18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AA6" sqref="AA6:AA9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0.65499869323750415</v>
      </c>
      <c r="AE2" s="520"/>
      <c r="AH2" s="183">
        <f>+SUBTOTAL(9,AH6:AH119)</f>
        <v>275490</v>
      </c>
      <c r="AI2" s="183">
        <f>+SUBTOTAL(9,AI6:AI119)</f>
        <v>180445.59000000003</v>
      </c>
      <c r="AT2" s="91">
        <v>0.59793648334624327</v>
      </c>
    </row>
    <row r="3" spans="2:58" ht="94.5" customHeight="1" x14ac:dyDescent="0.9">
      <c r="B3" s="482"/>
      <c r="C3" s="482"/>
      <c r="D3" s="482"/>
      <c r="E3" s="482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82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+SUMIF($L$6:$L$102,AA3,$AA$6:$AA$102)</f>
        <v>4709</v>
      </c>
      <c r="AB4" s="144" t="s">
        <v>28</v>
      </c>
      <c r="AC4" s="145"/>
      <c r="AD4" s="524" t="str">
        <f ca="1">RIGHT(CELL("filename",A1),LEN(CELL("filename",A1))-FIND("]",CELL("filename",A1)))</f>
        <v>10-01-2026</v>
      </c>
      <c r="AE4" s="524"/>
      <c r="AF4" s="397">
        <f>+SUM(AF6:AF107)</f>
        <v>4591.5</v>
      </c>
      <c r="AG4" s="397"/>
      <c r="AH4" s="98"/>
      <c r="AI4" s="98"/>
      <c r="AJ4" s="398">
        <v>7.25</v>
      </c>
      <c r="AQ4" s="437">
        <f>+SUBTOTAL(9,AQ6:AQ103)</f>
        <v>43.625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488</v>
      </c>
      <c r="H6" s="106"/>
      <c r="I6" s="106"/>
      <c r="J6" s="107" t="s">
        <v>20</v>
      </c>
      <c r="K6" s="108" t="s">
        <v>23</v>
      </c>
      <c r="L6" s="100" t="s">
        <v>21</v>
      </c>
      <c r="M6" s="448"/>
      <c r="N6" s="448"/>
      <c r="O6" s="448">
        <v>50</v>
      </c>
      <c r="P6" s="448"/>
      <c r="Q6" s="448">
        <v>200</v>
      </c>
      <c r="R6" s="448"/>
      <c r="S6" s="448">
        <v>50</v>
      </c>
      <c r="T6" s="448">
        <v>50</v>
      </c>
      <c r="U6" s="448"/>
      <c r="V6" s="448"/>
      <c r="W6" s="448"/>
      <c r="X6" s="447">
        <f>IF(AQ7="","",SUM(M6:W6)-(-(AQ7-SUM(M6:W6))/$AQ$3)*SUM($M$2:$W$2))</f>
        <v>350</v>
      </c>
      <c r="Y6" s="466">
        <v>0</v>
      </c>
      <c r="Z6" s="533">
        <f>+X8</f>
        <v>0</v>
      </c>
      <c r="AA6" s="447">
        <f t="shared" ref="AA6:AA67" si="0">+SUM(L6:W6)</f>
        <v>350</v>
      </c>
      <c r="AB6" s="343">
        <f>+AC6+AA6</f>
        <v>1050</v>
      </c>
      <c r="AC6" s="343">
        <v>700</v>
      </c>
      <c r="AD6" s="344"/>
      <c r="AE6" s="345"/>
      <c r="AF6" s="346"/>
      <c r="AG6" s="347">
        <f t="shared" ref="AG6:AG93" si="1">TRUNC(AF6)+(AF6-TRUNC(AF6))*60/100</f>
        <v>0</v>
      </c>
      <c r="AH6" s="341">
        <f t="shared" ref="AH6:AH93" si="2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483</v>
      </c>
      <c r="E7" s="111"/>
      <c r="F7" s="111" t="s">
        <v>35</v>
      </c>
      <c r="G7" s="541" t="str">
        <f>+G6</f>
        <v>7394-593-741</v>
      </c>
      <c r="H7" s="111"/>
      <c r="I7" s="111" t="s">
        <v>33</v>
      </c>
      <c r="J7" s="113">
        <v>41.87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15</v>
      </c>
      <c r="U7" s="214"/>
      <c r="V7" s="214"/>
      <c r="W7" s="214"/>
      <c r="X7" s="123">
        <f>+IF(H8="s",0,IF(AA7=0,0,IF(COUNTA(M7:W7)=AK9+0.75,SUMIF($C:$C,B7,$AA:$AA)/AK9,SUMIF($C:$C,B7,$AA:$AA)/(COUNTA(M7:W7)))))</f>
        <v>60</v>
      </c>
      <c r="Y7" s="466"/>
      <c r="Z7" s="534"/>
      <c r="AA7" s="134">
        <f t="shared" si="0"/>
        <v>435</v>
      </c>
      <c r="AB7" s="354">
        <f>+AA7+AC7</f>
        <v>456</v>
      </c>
      <c r="AC7" s="354">
        <v>21</v>
      </c>
      <c r="AD7" s="355">
        <f>+AB6-AB7</f>
        <v>594</v>
      </c>
      <c r="AE7" s="131">
        <f>+IF(((AA8+(AA9/2))*60)=0,"",(J7*AA7)/((AA8+(AA9/2))*60))</f>
        <v>0.86329896907216486</v>
      </c>
      <c r="AF7" s="347">
        <f>+AA8+AA9/2</f>
        <v>351.625</v>
      </c>
      <c r="AG7" s="347">
        <f t="shared" si="1"/>
        <v>351.375</v>
      </c>
      <c r="AH7" s="341">
        <f t="shared" si="2"/>
        <v>21097.5</v>
      </c>
      <c r="AI7" s="341">
        <f>+AA7*J7</f>
        <v>18213.449999999997</v>
      </c>
      <c r="AJ7" s="356">
        <f>+AA7-(AF7*K7/K9)</f>
        <v>-13.882978723404278</v>
      </c>
      <c r="AK7" s="348"/>
      <c r="AL7" s="349"/>
      <c r="AM7" s="341"/>
      <c r="AN7" s="341"/>
      <c r="AO7" s="341"/>
      <c r="AP7" s="341"/>
      <c r="AQ7" s="339">
        <f t="shared" ref="AQ7" si="3">IF(AR7=0,"",AT7-(($AQ$3*K7)+($AQ$3*K7)*AR7)+AA6)</f>
        <v>-178.5</v>
      </c>
      <c r="AR7" s="434">
        <v>1.3</v>
      </c>
      <c r="AT7" s="390">
        <v>679</v>
      </c>
      <c r="AV7" s="390">
        <f>+AT7-AD7</f>
        <v>85</v>
      </c>
      <c r="AW7" s="535" t="s">
        <v>484</v>
      </c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7394-593-741</v>
      </c>
      <c r="H8" s="411"/>
      <c r="I8" s="113">
        <f>+IFERROR(IF(K9=0,0,IF((LOOKUP(2,1/(M8:W8&lt;&gt;""),M8:W8)-K9)&lt;0,0,IF(K9=0,"",LOOKUP(2,1/(M8:W8&lt;&gt;""),M8:W8)-K9))),0)</f>
        <v>1</v>
      </c>
      <c r="J8" s="113"/>
      <c r="K8" s="114" t="s">
        <v>22</v>
      </c>
      <c r="L8" s="102" t="s">
        <v>18</v>
      </c>
      <c r="M8" s="448">
        <v>48</v>
      </c>
      <c r="N8" s="448">
        <v>48</v>
      </c>
      <c r="O8" s="448">
        <v>48</v>
      </c>
      <c r="P8" s="448">
        <v>48</v>
      </c>
      <c r="Q8" s="448">
        <v>48</v>
      </c>
      <c r="R8" s="448">
        <v>48</v>
      </c>
      <c r="S8" s="448">
        <v>48</v>
      </c>
      <c r="T8" s="448">
        <v>48</v>
      </c>
      <c r="U8" s="448"/>
      <c r="V8" s="448"/>
      <c r="W8" s="448"/>
      <c r="X8" s="160">
        <f>+IF(H8="l",IF(COUNTA(M7:W7)=AK9+0.75,AA7-K7*AK9,AA7-(K7*COUNTA(M7:W7))),IF(H8="s",0,IF(COUNTA(M7:W7)=AK9+0.75,SUMIF($C:$C,B7,$AA:$AA)-K7*AK9,SUMIF($C:$C,B7,$AA:$AA)-K7*COUNTA(M7:W7))))</f>
        <v>0</v>
      </c>
      <c r="Y8" s="466"/>
      <c r="Z8" s="534"/>
      <c r="AA8" s="462">
        <f>+SUM(M8:W8)-T8*0.75</f>
        <v>348</v>
      </c>
      <c r="AB8" s="360"/>
      <c r="AC8" s="360"/>
      <c r="AD8" s="362"/>
      <c r="AE8" s="363"/>
      <c r="AF8" s="346"/>
      <c r="AG8" s="347">
        <f t="shared" si="1"/>
        <v>0</v>
      </c>
      <c r="AH8" s="341">
        <f t="shared" si="2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348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7394-593-741</v>
      </c>
      <c r="H9" s="117"/>
      <c r="I9" s="442"/>
      <c r="J9" s="165">
        <f>+IF(K9="","",IF(K7=0,"",(K7*J7)/(K9*60)))</f>
        <v>0.89085106382978718</v>
      </c>
      <c r="K9" s="118">
        <v>47</v>
      </c>
      <c r="L9" s="104" t="s">
        <v>19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>
        <v>1</v>
      </c>
      <c r="U9" s="216"/>
      <c r="V9" s="216"/>
      <c r="W9" s="216"/>
      <c r="X9" s="173"/>
      <c r="Y9" s="467">
        <v>14.39</v>
      </c>
      <c r="Z9" s="365">
        <v>14.39</v>
      </c>
      <c r="AA9" s="465">
        <f>+SUM(M9:W9)-T9*0.75</f>
        <v>7.25</v>
      </c>
      <c r="AB9" s="367"/>
      <c r="AC9" s="367"/>
      <c r="AD9" s="368">
        <f>+IFERROR(AD7/(K7*$AQ$3),"")</f>
        <v>1.1314285714285715</v>
      </c>
      <c r="AE9" s="369"/>
      <c r="AF9" s="347"/>
      <c r="AG9" s="347">
        <f t="shared" si="1"/>
        <v>0</v>
      </c>
      <c r="AH9" s="341">
        <f t="shared" si="2"/>
        <v>0</v>
      </c>
      <c r="AI9" s="341"/>
      <c r="AJ9" s="356"/>
      <c r="AK9" s="370">
        <f>+$AJ$4</f>
        <v>7.25</v>
      </c>
      <c r="AL9" s="349">
        <f>+IF(AK9=7.75,SUM(M9:S9)+T9*0.75,IF(AK9=8,SUM(M9:T9),IF(AK9=7.25,SUM(M9:S9)+T9*0.25,IF(AK9=8.25,SUM(M9:T9)+U9*0.25,IF(AK9=8.75,SUM(M9:T9)+U9*0.75,0)))))</f>
        <v>7.25</v>
      </c>
      <c r="AM9" s="341">
        <f>+AL9-AA9</f>
        <v>0</v>
      </c>
      <c r="AN9" s="341"/>
      <c r="AO9" s="341"/>
      <c r="AP9" s="341"/>
      <c r="AQ9" s="369"/>
      <c r="AR9" s="434"/>
      <c r="AT9" s="390">
        <v>1.2933333333333332</v>
      </c>
      <c r="AV9" s="390"/>
    </row>
    <row r="10" spans="2:58" s="98" customFormat="1" ht="62.25" customHeight="1" thickTop="1" x14ac:dyDescent="0.9">
      <c r="B10" s="342">
        <f>+B11</f>
        <v>2</v>
      </c>
      <c r="C10" s="405"/>
      <c r="D10" s="106"/>
      <c r="E10" s="106"/>
      <c r="F10" s="106"/>
      <c r="G10" s="540" t="s">
        <v>429</v>
      </c>
      <c r="H10" s="106"/>
      <c r="I10" s="106"/>
      <c r="J10" s="107" t="s">
        <v>20</v>
      </c>
      <c r="K10" s="108" t="s">
        <v>23</v>
      </c>
      <c r="L10" s="100" t="s">
        <v>21</v>
      </c>
      <c r="M10" s="448"/>
      <c r="N10" s="448"/>
      <c r="O10" s="448"/>
      <c r="P10" s="448"/>
      <c r="Q10" s="448"/>
      <c r="R10" s="448"/>
      <c r="S10" s="448"/>
      <c r="T10" s="448"/>
      <c r="U10" s="448"/>
      <c r="V10" s="448"/>
      <c r="W10" s="448"/>
      <c r="X10" s="447" t="str">
        <f t="shared" ref="X10" si="4">IF(AQ11="","",SUM(M10:W10)-(-(AQ11-SUM(M10:W10))/$AQ$3)*SUM($M$2:$W$2))</f>
        <v/>
      </c>
      <c r="Y10" s="466">
        <v>0</v>
      </c>
      <c r="Z10" s="533">
        <f>+X12</f>
        <v>0</v>
      </c>
      <c r="AA10" s="447">
        <f t="shared" si="0"/>
        <v>0</v>
      </c>
      <c r="AB10" s="343">
        <f>+AC10+AA10</f>
        <v>6629</v>
      </c>
      <c r="AC10" s="343">
        <v>6629</v>
      </c>
      <c r="AD10" s="344"/>
      <c r="AE10" s="345"/>
      <c r="AF10" s="346"/>
      <c r="AG10" s="347">
        <f t="shared" si="1"/>
        <v>0</v>
      </c>
      <c r="AH10" s="341">
        <f t="shared" si="2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2</v>
      </c>
      <c r="C11" s="406">
        <f>+B11</f>
        <v>2</v>
      </c>
      <c r="D11" s="407" t="s">
        <v>427</v>
      </c>
      <c r="E11" s="111"/>
      <c r="F11" s="111" t="s">
        <v>428</v>
      </c>
      <c r="G11" s="541" t="str">
        <f t="shared" ref="G11:G13" si="5">+G10</f>
        <v>NEGRONI-202942</v>
      </c>
      <c r="H11" s="111"/>
      <c r="I11" s="111" t="s">
        <v>430</v>
      </c>
      <c r="J11" s="113">
        <v>48.06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123">
        <f>+IF(H12="s",0,IF(AA11=0,0,IF(COUNTA(M11:W11)=AK13+0.75,SUMIF($C:$C,B11,$AA:$AA)/AK13,SUMIF($C:$C,B11,$AA:$AA)/(COUNTA(M11:W11)))))</f>
        <v>0</v>
      </c>
      <c r="Y11" s="466"/>
      <c r="Z11" s="534"/>
      <c r="AA11" s="134">
        <f t="shared" si="0"/>
        <v>0</v>
      </c>
      <c r="AB11" s="354">
        <f>+AA11+AC11</f>
        <v>6594</v>
      </c>
      <c r="AC11" s="354">
        <v>6594</v>
      </c>
      <c r="AD11" s="355">
        <f>+AB10-AB11</f>
        <v>35</v>
      </c>
      <c r="AE11" s="131" t="str">
        <f>+IF(((AA12+(AA13/2))*60)=0,"",(J11*AA11)/((AA12+(AA13/2))*60))</f>
        <v/>
      </c>
      <c r="AF11" s="347">
        <f>+AA12+AA13/2</f>
        <v>0</v>
      </c>
      <c r="AG11" s="347">
        <f t="shared" si="1"/>
        <v>0</v>
      </c>
      <c r="AH11" s="341">
        <f t="shared" si="2"/>
        <v>0</v>
      </c>
      <c r="AI11" s="341">
        <f>+AA11*J11</f>
        <v>0</v>
      </c>
      <c r="AJ11" s="356">
        <f>+AA11-(AF11*K11/K13)</f>
        <v>0</v>
      </c>
      <c r="AK11" s="348"/>
      <c r="AL11" s="349"/>
      <c r="AM11" s="341"/>
      <c r="AN11" s="341"/>
      <c r="AO11" s="341"/>
      <c r="AP11" s="341"/>
      <c r="AQ11" s="339"/>
      <c r="AR11" s="434"/>
      <c r="AT11" s="390">
        <v>35</v>
      </c>
      <c r="AV11" s="390">
        <f>+AT11-AD11</f>
        <v>0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2</v>
      </c>
      <c r="C12" s="408"/>
      <c r="D12" s="184"/>
      <c r="E12" s="111">
        <f>+B11</f>
        <v>2</v>
      </c>
      <c r="F12" s="409"/>
      <c r="G12" s="541" t="str">
        <f t="shared" si="5"/>
        <v>NEGRONI-202942</v>
      </c>
      <c r="H12" s="411" t="s">
        <v>414</v>
      </c>
      <c r="I12" s="113">
        <f>+IFERROR(IF(K13=0,0,IF((LOOKUP(2,1/(M12:W12&lt;&gt;""),M12:W12)-K13)&lt;0,0,IF(K13=0,"",LOOKUP(2,1/(M12:W12&lt;&gt;""),M12:W12)-K13))),0)</f>
        <v>0</v>
      </c>
      <c r="J12" s="113">
        <v>0</v>
      </c>
      <c r="K12" s="114" t="s">
        <v>22</v>
      </c>
      <c r="L12" s="102" t="s">
        <v>18</v>
      </c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160">
        <f>+IF(H12="l",IF(COUNTA(M11:W11)=AK13+0.75,AA11-K11*AK13,AA11-(K11*COUNTA(M11:W11))),IF(H12="s",0,IF(COUNTA(M11:W11)=AK13+0.75,SUMIF($C:$C,B11,$AA:$AA)-K11*AK13,SUMIF($C:$C,B11,$AA:$AA)-K11*COUNTA(M11:W11))))</f>
        <v>0</v>
      </c>
      <c r="Y12" s="466"/>
      <c r="Z12" s="534"/>
      <c r="AA12" s="462">
        <f t="shared" ref="AA12:AA13" si="6">+SUM(M12:W12)-T12*0.75</f>
        <v>0</v>
      </c>
      <c r="AB12" s="360"/>
      <c r="AC12" s="360"/>
      <c r="AD12" s="362"/>
      <c r="AE12" s="363"/>
      <c r="AF12" s="346"/>
      <c r="AG12" s="347">
        <f t="shared" si="1"/>
        <v>0</v>
      </c>
      <c r="AH12" s="341">
        <f t="shared" si="2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0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2</v>
      </c>
      <c r="C13" s="410"/>
      <c r="D13" s="174" t="s">
        <v>419</v>
      </c>
      <c r="E13" s="175">
        <f>+E12+100</f>
        <v>102</v>
      </c>
      <c r="F13" s="175"/>
      <c r="G13" s="542" t="str">
        <f t="shared" si="5"/>
        <v>NEGRONI-202942</v>
      </c>
      <c r="H13" s="117"/>
      <c r="I13" s="442"/>
      <c r="J13" s="165">
        <f>+IF(K13="","",IF(K11=0,"",(K11*J11)/(K13*60)))</f>
        <v>0.87381818181818194</v>
      </c>
      <c r="K13" s="118">
        <v>55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36.14</v>
      </c>
      <c r="Z13" s="365">
        <v>36.14</v>
      </c>
      <c r="AA13" s="465">
        <f t="shared" si="6"/>
        <v>0</v>
      </c>
      <c r="AB13" s="367"/>
      <c r="AC13" s="367"/>
      <c r="AD13" s="368">
        <f>+IFERROR(AD11/(K11*$AQ$3),"")</f>
        <v>6.6666666666666666E-2</v>
      </c>
      <c r="AE13" s="369"/>
      <c r="AF13" s="347"/>
      <c r="AG13" s="347">
        <f t="shared" si="1"/>
        <v>0</v>
      </c>
      <c r="AH13" s="341">
        <f t="shared" si="2"/>
        <v>0</v>
      </c>
      <c r="AI13" s="341"/>
      <c r="AJ13" s="356"/>
      <c r="AK13" s="370">
        <f>+$AJ$4</f>
        <v>7.25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6.6666666666666666E-2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40" t="s">
        <v>481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60</v>
      </c>
      <c r="N14" s="448">
        <v>120</v>
      </c>
      <c r="O14" s="448"/>
      <c r="P14" s="448">
        <v>120</v>
      </c>
      <c r="Q14" s="448">
        <v>60</v>
      </c>
      <c r="R14" s="448"/>
      <c r="S14" s="448"/>
      <c r="T14" s="448"/>
      <c r="U14" s="448"/>
      <c r="V14" s="448"/>
      <c r="W14" s="448"/>
      <c r="X14" s="447">
        <f t="shared" ref="X14" si="7">IF(AQ15="","",SUM(M14:W14)-(-(AQ15-SUM(M14:W14))/$AQ$3)*SUM($M$2:$W$2))</f>
        <v>360</v>
      </c>
      <c r="Y14" s="466">
        <v>-434.75</v>
      </c>
      <c r="Z14" s="533">
        <f>+X16</f>
        <v>-68</v>
      </c>
      <c r="AA14" s="447">
        <f t="shared" si="0"/>
        <v>360</v>
      </c>
      <c r="AB14" s="343">
        <f>+AC14+AA14</f>
        <v>1356</v>
      </c>
      <c r="AC14" s="343">
        <v>996</v>
      </c>
      <c r="AD14" s="344"/>
      <c r="AE14" s="345"/>
      <c r="AF14" s="346"/>
      <c r="AG14" s="347">
        <f t="shared" si="1"/>
        <v>0</v>
      </c>
      <c r="AH14" s="341">
        <f t="shared" si="2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480</v>
      </c>
      <c r="E15" s="111"/>
      <c r="F15" s="111" t="s">
        <v>35</v>
      </c>
      <c r="G15" s="541" t="str">
        <f t="shared" ref="G15:G17" si="8">+G14</f>
        <v>2396-593-600</v>
      </c>
      <c r="H15" s="111"/>
      <c r="I15" s="111" t="s">
        <v>33</v>
      </c>
      <c r="J15" s="113">
        <v>38.82</v>
      </c>
      <c r="K15" s="130">
        <v>60</v>
      </c>
      <c r="L15" s="101" t="s">
        <v>17</v>
      </c>
      <c r="M15" s="214">
        <v>40</v>
      </c>
      <c r="N15" s="214">
        <v>31</v>
      </c>
      <c r="O15" s="214">
        <v>60</v>
      </c>
      <c r="P15" s="214">
        <v>60</v>
      </c>
      <c r="Q15" s="214">
        <v>60</v>
      </c>
      <c r="R15" s="214">
        <v>60</v>
      </c>
      <c r="S15" s="214">
        <v>48</v>
      </c>
      <c r="T15" s="214">
        <v>8</v>
      </c>
      <c r="U15" s="214"/>
      <c r="V15" s="214"/>
      <c r="W15" s="214"/>
      <c r="X15" s="123">
        <f>+IF(H16="s",0,IF(AA15=0,0,IF(COUNTA(M15:W15)=AK17+0.75,SUMIF($C:$C,B15,$AA:$AA)/AK17,SUMIF($C:$C,B15,$AA:$AA)/(COUNTA(M15:W15)))))</f>
        <v>50.620689655172413</v>
      </c>
      <c r="Y15" s="466"/>
      <c r="Z15" s="534"/>
      <c r="AA15" s="134">
        <f t="shared" si="0"/>
        <v>367</v>
      </c>
      <c r="AB15" s="354">
        <f>+AA15+AC15</f>
        <v>452</v>
      </c>
      <c r="AC15" s="354">
        <v>85</v>
      </c>
      <c r="AD15" s="355">
        <f>+AB14-AB15</f>
        <v>904</v>
      </c>
      <c r="AE15" s="131">
        <f>+IF(((AA16+(AA17/2))*60)=0,"",(J15*AA15)/((AA16+(AA17/2))*60))</f>
        <v>0.7119910044977511</v>
      </c>
      <c r="AF15" s="347">
        <f>+AA16+AA17/2</f>
        <v>333.5</v>
      </c>
      <c r="AG15" s="347">
        <f t="shared" si="1"/>
        <v>333.3</v>
      </c>
      <c r="AH15" s="341">
        <f t="shared" si="2"/>
        <v>20010</v>
      </c>
      <c r="AI15" s="341">
        <f>+AA15*J15</f>
        <v>14246.94</v>
      </c>
      <c r="AJ15" s="356">
        <f>+AA15-(AF15*K15/K17)</f>
        <v>-98.348837209302303</v>
      </c>
      <c r="AK15" s="348"/>
      <c r="AL15" s="349"/>
      <c r="AM15" s="341"/>
      <c r="AN15" s="341"/>
      <c r="AO15" s="341"/>
      <c r="AP15" s="341"/>
      <c r="AQ15" s="339">
        <f>-300+AA14</f>
        <v>60</v>
      </c>
      <c r="AR15" s="434"/>
      <c r="AT15" s="390">
        <v>911</v>
      </c>
      <c r="AV15" s="390">
        <f>+AT15-AD15</f>
        <v>7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/>
      <c r="F16" s="409"/>
      <c r="G16" s="541" t="str">
        <f t="shared" si="8"/>
        <v>2396-593-600</v>
      </c>
      <c r="H16" s="411" t="s">
        <v>412</v>
      </c>
      <c r="I16" s="113"/>
      <c r="J16" s="113">
        <v>1</v>
      </c>
      <c r="K16" s="114" t="s">
        <v>22</v>
      </c>
      <c r="L16" s="102" t="s">
        <v>18</v>
      </c>
      <c r="M16" s="448">
        <v>46</v>
      </c>
      <c r="N16" s="448">
        <v>46</v>
      </c>
      <c r="O16" s="448">
        <v>46</v>
      </c>
      <c r="P16" s="448">
        <v>46</v>
      </c>
      <c r="Q16" s="448">
        <v>46</v>
      </c>
      <c r="R16" s="448">
        <v>46</v>
      </c>
      <c r="S16" s="448">
        <v>46</v>
      </c>
      <c r="T16" s="448">
        <v>46</v>
      </c>
      <c r="U16" s="448"/>
      <c r="V16" s="448"/>
      <c r="W16" s="448"/>
      <c r="X16" s="160">
        <f>+IF(H16="l",IF(COUNTA(M15:W15)=AK17+0.75,AA15-K15*AK17,AA15-(K15*COUNTA(M15:W15))),IF(H16="s",0,IF(COUNTA(M15:W15)=AK17+0.75,SUMIF($C:$C,B15,$AA:$AA)-K15*AK17,SUMIF($C:$C,B15,$AA:$AA)-K15*COUNTA(M15:W15))))</f>
        <v>-68</v>
      </c>
      <c r="Y16" s="466"/>
      <c r="Z16" s="534"/>
      <c r="AA16" s="462">
        <f t="shared" ref="AA16:AA17" si="9">+SUM(M16:W16)-T16*0.75</f>
        <v>333.5</v>
      </c>
      <c r="AB16" s="360"/>
      <c r="AC16" s="360"/>
      <c r="AD16" s="362"/>
      <c r="AE16" s="363"/>
      <c r="AF16" s="346"/>
      <c r="AG16" s="347">
        <f t="shared" si="1"/>
        <v>0</v>
      </c>
      <c r="AH16" s="341">
        <f t="shared" si="2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333.5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/>
      <c r="F17" s="175"/>
      <c r="G17" s="542" t="str">
        <f t="shared" si="8"/>
        <v>2396-593-600</v>
      </c>
      <c r="H17" s="117"/>
      <c r="I17" s="442"/>
      <c r="J17" s="165">
        <f>+IF(K17="","",IF(K15=0,"",(K15*J15)/(K17*60)))</f>
        <v>0.90279069767441855</v>
      </c>
      <c r="K17" s="118">
        <v>43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7.6507936507936503</v>
      </c>
      <c r="Z17" s="371">
        <f>+IF(COUNTA(M15:W15)=$AJ$4+0.25,$AJ$4-(AA15/K15),COUNTA(M15:W15)-(AA15/K15))+Y17</f>
        <v>9.5341269841269849</v>
      </c>
      <c r="AA17" s="465">
        <f t="shared" si="9"/>
        <v>0</v>
      </c>
      <c r="AB17" s="367"/>
      <c r="AC17" s="367"/>
      <c r="AD17" s="368">
        <f>+IFERROR(AD15/(K15*$AQ$3),"")</f>
        <v>1.7219047619047618</v>
      </c>
      <c r="AE17" s="369"/>
      <c r="AF17" s="347"/>
      <c r="AG17" s="347">
        <f t="shared" si="1"/>
        <v>0</v>
      </c>
      <c r="AH17" s="341">
        <f t="shared" si="2"/>
        <v>0</v>
      </c>
      <c r="AI17" s="341"/>
      <c r="AJ17" s="356"/>
      <c r="AK17" s="370">
        <f>+$AJ$4</f>
        <v>7.25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1.6526077097505669</v>
      </c>
      <c r="AV17" s="390"/>
    </row>
    <row r="18" spans="2:58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540"/>
      <c r="H18" s="106"/>
      <c r="I18" s="106"/>
      <c r="J18" s="107" t="s">
        <v>20</v>
      </c>
      <c r="K18" s="108" t="s">
        <v>23</v>
      </c>
      <c r="L18" s="100" t="s">
        <v>21</v>
      </c>
      <c r="M18" s="453"/>
      <c r="N18" s="453"/>
      <c r="O18" s="453"/>
      <c r="P18" s="453"/>
      <c r="Q18" s="453"/>
      <c r="R18" s="453"/>
      <c r="S18" s="453"/>
      <c r="T18" s="453"/>
      <c r="U18" s="453"/>
      <c r="V18" s="453"/>
      <c r="W18" s="453"/>
      <c r="X18" s="447" t="str">
        <f t="shared" ref="X18" si="10">IF(AQ19="","",SUM(M18:W18)-(-(AQ19-SUM(M18:W18))/$AQ$3)*SUM($M$2:$W$2))</f>
        <v/>
      </c>
      <c r="Y18" s="466">
        <v>0</v>
      </c>
      <c r="Z18" s="533">
        <f>+X20</f>
        <v>0</v>
      </c>
      <c r="AA18" s="447">
        <f t="shared" si="0"/>
        <v>0</v>
      </c>
      <c r="AB18" s="343">
        <f>+AC18+AA18</f>
        <v>0</v>
      </c>
      <c r="AC18" s="343">
        <v>0</v>
      </c>
      <c r="AD18" s="344"/>
      <c r="AE18" s="345"/>
      <c r="AF18" s="346"/>
      <c r="AG18" s="347"/>
      <c r="AH18" s="341"/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3</v>
      </c>
      <c r="C19" s="406">
        <v>3</v>
      </c>
      <c r="D19" s="407"/>
      <c r="E19" s="111"/>
      <c r="F19" s="111"/>
      <c r="G19" s="541"/>
      <c r="H19" s="111"/>
      <c r="I19" s="111"/>
      <c r="J19" s="113"/>
      <c r="K19" s="130"/>
      <c r="L19" s="101" t="s">
        <v>17</v>
      </c>
      <c r="M19" s="454"/>
      <c r="N19" s="454"/>
      <c r="O19" s="454"/>
      <c r="P19" s="454"/>
      <c r="Q19" s="454"/>
      <c r="R19" s="454"/>
      <c r="S19" s="454"/>
      <c r="T19" s="454"/>
      <c r="U19" s="454"/>
      <c r="V19" s="454"/>
      <c r="W19" s="454"/>
      <c r="X19" s="123">
        <f>+IF(H20="s",0,IF(AA19=0,0,IF(COUNTA(M19:W19)=AK21+0.75,SUMIF($C:$C,B19,$AA:$AA)/AK21,SUMIF($C:$C,B19,$AA:$AA)/(COUNTA(M19:W19)))))</f>
        <v>0</v>
      </c>
      <c r="Y19" s="466"/>
      <c r="Z19" s="534"/>
      <c r="AA19" s="134">
        <f t="shared" si="0"/>
        <v>0</v>
      </c>
      <c r="AB19" s="354">
        <f>+AA19+AC19</f>
        <v>0</v>
      </c>
      <c r="AC19" s="354">
        <v>0</v>
      </c>
      <c r="AD19" s="355">
        <f>+AB18-AB19</f>
        <v>0</v>
      </c>
      <c r="AE19" s="131" t="str">
        <f>+IF(((AA20+(AA21/2))*60)=0,"",(J19*AA19)/((AA20+(AA21/2))*60))</f>
        <v/>
      </c>
      <c r="AF19" s="347"/>
      <c r="AG19" s="347"/>
      <c r="AH19" s="341"/>
      <c r="AI19" s="341"/>
      <c r="AJ19" s="356"/>
      <c r="AK19" s="348"/>
      <c r="AL19" s="349"/>
      <c r="AM19" s="341"/>
      <c r="AN19" s="341"/>
      <c r="AO19" s="341"/>
      <c r="AP19" s="341"/>
      <c r="AQ19" s="339" t="str">
        <f t="shared" ref="AQ19:AQ63" si="11">IF(AR19=0,"",AT19-(($AQ$3*K19)+($AQ$3*K19)*AR19)+AA18)</f>
        <v/>
      </c>
      <c r="AR19" s="434"/>
      <c r="AT19" s="390">
        <v>0</v>
      </c>
      <c r="AV19" s="390">
        <f t="shared" ref="AV19" si="12">+AT19-AD19</f>
        <v>0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541"/>
      <c r="H20" s="411" t="s">
        <v>414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53"/>
      <c r="N20" s="453"/>
      <c r="O20" s="453"/>
      <c r="P20" s="453"/>
      <c r="Q20" s="453"/>
      <c r="R20" s="453"/>
      <c r="S20" s="453"/>
      <c r="T20" s="453"/>
      <c r="U20" s="453"/>
      <c r="V20" s="453"/>
      <c r="W20" s="453"/>
      <c r="X20" s="160">
        <f>+IF(H20="l",IF(COUNTA(M19:W19)=AK21+0.75,AA19-K19*AK21,AA19-(K19*COUNTA(M19:W19))),IF(H20="s",0,IF(COUNTA(M19:W19)=AK21+0.75,SUMIF($C:$C,B19,$AA:$AA)-K19*AK21,SUMIF($C:$C,B19,$AA:$AA)-K19*COUNTA(M19:W19))))</f>
        <v>0</v>
      </c>
      <c r="Y20" s="466"/>
      <c r="Z20" s="534"/>
      <c r="AA20" s="462">
        <f t="shared" ref="AA20:AA21" si="13">+SUM(M20:W20)-T20*0.75</f>
        <v>0</v>
      </c>
      <c r="AB20" s="360"/>
      <c r="AC20" s="360"/>
      <c r="AD20" s="362"/>
      <c r="AE20" s="363"/>
      <c r="AF20" s="346"/>
      <c r="AG20" s="347"/>
      <c r="AH20" s="341"/>
      <c r="AI20" s="341"/>
      <c r="AJ20" s="341"/>
      <c r="AK20" s="348"/>
      <c r="AL20" s="349"/>
      <c r="AM20" s="341"/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542"/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455"/>
      <c r="N21" s="455"/>
      <c r="O21" s="455"/>
      <c r="P21" s="455"/>
      <c r="Q21" s="455"/>
      <c r="R21" s="455"/>
      <c r="S21" s="455"/>
      <c r="T21" s="455"/>
      <c r="U21" s="455"/>
      <c r="V21" s="455"/>
      <c r="W21" s="455"/>
      <c r="X21" s="173"/>
      <c r="Y21" s="467"/>
      <c r="Z21" s="371"/>
      <c r="AA21" s="465">
        <f t="shared" si="13"/>
        <v>0</v>
      </c>
      <c r="AB21" s="367"/>
      <c r="AC21" s="367"/>
      <c r="AD21" s="368" t="str">
        <f>+IFERROR(AD19/(K19*$AQ$3),"")</f>
        <v/>
      </c>
      <c r="AE21" s="369"/>
      <c r="AF21" s="347"/>
      <c r="AG21" s="347"/>
      <c r="AH21" s="341"/>
      <c r="AI21" s="341"/>
      <c r="AJ21" s="356"/>
      <c r="AK21" s="370">
        <f>+$AJ$4</f>
        <v>7.25</v>
      </c>
      <c r="AL21" s="349"/>
      <c r="AM21" s="341"/>
      <c r="AN21" s="341"/>
      <c r="AO21" s="341"/>
      <c r="AP21" s="341"/>
      <c r="AQ21" s="369"/>
      <c r="AR21" s="434"/>
      <c r="AT21" s="390" t="s">
        <v>416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539" t="s">
        <v>424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7" t="str">
        <f t="shared" ref="X22" si="14">IF(AQ23="","",SUM(M22:W22)-(-(AQ23-SUM(M22:W22))/$AQ$3)*SUM($M$2:$W$2))</f>
        <v/>
      </c>
      <c r="Y22" s="466">
        <v>0</v>
      </c>
      <c r="Z22" s="533">
        <f>+X24</f>
        <v>0</v>
      </c>
      <c r="AA22" s="447">
        <f t="shared" si="0"/>
        <v>0</v>
      </c>
      <c r="AB22" s="343">
        <f>+AC22+AA22</f>
        <v>8799</v>
      </c>
      <c r="AC22" s="343">
        <v>8799</v>
      </c>
      <c r="AD22" s="344"/>
      <c r="AE22" s="345"/>
      <c r="AF22" s="346"/>
      <c r="AG22" s="347">
        <f t="shared" si="1"/>
        <v>0</v>
      </c>
      <c r="AH22" s="341">
        <f t="shared" si="2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4</v>
      </c>
      <c r="C23" s="406">
        <f>+B23</f>
        <v>4</v>
      </c>
      <c r="D23" s="407" t="s">
        <v>423</v>
      </c>
      <c r="E23" s="111"/>
      <c r="F23" s="111" t="s">
        <v>35</v>
      </c>
      <c r="G23" s="539" t="str">
        <f t="shared" ref="G23:G25" si="15">+G22</f>
        <v>2215-518-800</v>
      </c>
      <c r="H23" s="111"/>
      <c r="I23" s="111" t="s">
        <v>33</v>
      </c>
      <c r="J23" s="113">
        <v>33.42</v>
      </c>
      <c r="K23" s="130">
        <v>61</v>
      </c>
      <c r="L23" s="101" t="s">
        <v>17</v>
      </c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123">
        <f>+IF(H24="s",0,IF(AA23=0,0,IF(COUNTA(M23:W23)=AK25+0.75,SUMIF($C:$C,B23,$AA:$AA)/AK25,SUMIF($C:$C,B23,$AA:$AA)/(COUNTA(M23:W23)))))</f>
        <v>0</v>
      </c>
      <c r="Y23" s="466"/>
      <c r="Z23" s="534"/>
      <c r="AA23" s="134">
        <f t="shared" si="0"/>
        <v>0</v>
      </c>
      <c r="AB23" s="354">
        <f>+AA23+AC23</f>
        <v>8771</v>
      </c>
      <c r="AC23" s="354">
        <v>8771</v>
      </c>
      <c r="AD23" s="355">
        <f>+AB22-AB23</f>
        <v>28</v>
      </c>
      <c r="AE23" s="131" t="str">
        <f>+IF(((AA24+(AA25/2))*60)=0,"",(J23*AA23)/((AA24+(AA25/2))*60))</f>
        <v/>
      </c>
      <c r="AF23" s="347">
        <f>+AA24+AA25/2</f>
        <v>0</v>
      </c>
      <c r="AG23" s="347">
        <f t="shared" si="1"/>
        <v>0</v>
      </c>
      <c r="AH23" s="341">
        <f t="shared" si="2"/>
        <v>0</v>
      </c>
      <c r="AI23" s="341">
        <f>+AA23*J23</f>
        <v>0</v>
      </c>
      <c r="AJ23" s="356">
        <f>+AA23-(AF23*K23/K25)</f>
        <v>0</v>
      </c>
      <c r="AK23" s="348"/>
      <c r="AL23" s="349"/>
      <c r="AM23" s="341"/>
      <c r="AN23" s="341"/>
      <c r="AO23" s="341"/>
      <c r="AP23" s="341"/>
      <c r="AQ23" s="339" t="str">
        <f t="shared" si="11"/>
        <v/>
      </c>
      <c r="AR23" s="434"/>
      <c r="AT23" s="390">
        <v>28</v>
      </c>
      <c r="AV23" s="390">
        <f t="shared" ref="AV23" si="16">+AT23-AD23</f>
        <v>0</v>
      </c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539" t="str">
        <f t="shared" si="15"/>
        <v>2215-518-800</v>
      </c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>
        <v>0</v>
      </c>
      <c r="K24" s="114" t="s">
        <v>22</v>
      </c>
      <c r="L24" s="102" t="s">
        <v>18</v>
      </c>
      <c r="M24" s="448"/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160">
        <f>+IF(H24="l",IF(COUNTA(M23:W23)=AK25+0.75,AA23-K23*AK25,AA23-(K23*COUNTA(M23:W23))),IF(H24="s",0,IF(COUNTA(M23:W23)=AK25+0.75,SUMIF($C:$C,B23,$AA:$AA)-K23*AK25,SUMIF($C:$C,B23,$AA:$AA)-K23*COUNTA(M23:W23))))</f>
        <v>0</v>
      </c>
      <c r="Y24" s="466"/>
      <c r="Z24" s="534"/>
      <c r="AA24" s="462">
        <f t="shared" ref="AA24:AA25" si="17">+SUM(M24:W24)-T24*0.75</f>
        <v>0</v>
      </c>
      <c r="AB24" s="360"/>
      <c r="AC24" s="360"/>
      <c r="AD24" s="362"/>
      <c r="AE24" s="363"/>
      <c r="AF24" s="346"/>
      <c r="AG24" s="347">
        <f t="shared" si="1"/>
        <v>0</v>
      </c>
      <c r="AH24" s="341">
        <f t="shared" si="2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0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539" t="str">
        <f t="shared" si="15"/>
        <v>2215-518-800</v>
      </c>
      <c r="H25" s="117"/>
      <c r="I25" s="442"/>
      <c r="J25" s="165">
        <f>+IF(K25="","",IF(K23=0,"",(K23*J23)/(K25*60)))</f>
        <v>0.8941315789473685</v>
      </c>
      <c r="K25" s="118">
        <v>38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24.63</v>
      </c>
      <c r="Z25" s="365">
        <v>24.63</v>
      </c>
      <c r="AA25" s="465">
        <f t="shared" si="17"/>
        <v>0</v>
      </c>
      <c r="AB25" s="367"/>
      <c r="AC25" s="367"/>
      <c r="AD25" s="368">
        <f>+IFERROR(AD23/(K23*$AQ$3),"")</f>
        <v>5.2459016393442623E-2</v>
      </c>
      <c r="AE25" s="369"/>
      <c r="AF25" s="347"/>
      <c r="AG25" s="347">
        <f t="shared" si="1"/>
        <v>0</v>
      </c>
      <c r="AH25" s="341">
        <f t="shared" si="2"/>
        <v>0</v>
      </c>
      <c r="AI25" s="341"/>
      <c r="AJ25" s="356"/>
      <c r="AK25" s="370">
        <f>+$AJ$4</f>
        <v>7.25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5.2459016393442623E-2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40" t="s">
        <v>442</v>
      </c>
      <c r="H26" s="106"/>
      <c r="I26" s="106"/>
      <c r="J26" s="107" t="s">
        <v>20</v>
      </c>
      <c r="K26" s="108" t="s">
        <v>23</v>
      </c>
      <c r="L26" s="100" t="s">
        <v>21</v>
      </c>
      <c r="M26" s="448">
        <v>60</v>
      </c>
      <c r="N26" s="448">
        <v>60</v>
      </c>
      <c r="O26" s="448"/>
      <c r="P26" s="448">
        <v>120</v>
      </c>
      <c r="Q26" s="448"/>
      <c r="R26" s="448">
        <v>120</v>
      </c>
      <c r="S26" s="448">
        <v>60</v>
      </c>
      <c r="T26" s="448"/>
      <c r="U26" s="448"/>
      <c r="V26" s="448"/>
      <c r="W26" s="448"/>
      <c r="X26" s="447">
        <f t="shared" ref="X26" si="18">IF(AQ27="","",SUM(M26:W26)-(-(AQ27-SUM(M26:W26))/$AQ$3)*SUM($M$2:$W$2))</f>
        <v>420</v>
      </c>
      <c r="Y26" s="466">
        <v>0.75</v>
      </c>
      <c r="Z26" s="533">
        <f>+X28</f>
        <v>0.75</v>
      </c>
      <c r="AA26" s="447">
        <f t="shared" si="0"/>
        <v>420</v>
      </c>
      <c r="AB26" s="343">
        <f>+AC26+AA26</f>
        <v>2701</v>
      </c>
      <c r="AC26" s="343">
        <v>2281</v>
      </c>
      <c r="AD26" s="344"/>
      <c r="AE26" s="345"/>
      <c r="AF26" s="346"/>
      <c r="AG26" s="347">
        <f t="shared" si="1"/>
        <v>0</v>
      </c>
      <c r="AH26" s="341">
        <f t="shared" si="2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1.35">
      <c r="B27" s="351">
        <v>4</v>
      </c>
      <c r="C27" s="406">
        <f>+B27</f>
        <v>4</v>
      </c>
      <c r="D27" s="407" t="s">
        <v>441</v>
      </c>
      <c r="E27" s="111"/>
      <c r="F27" s="111" t="s">
        <v>35</v>
      </c>
      <c r="G27" s="541" t="str">
        <f t="shared" ref="G27:G29" si="19">+G26</f>
        <v>2259-600-730</v>
      </c>
      <c r="H27" s="111"/>
      <c r="I27" s="111" t="s">
        <v>33</v>
      </c>
      <c r="J27" s="113">
        <v>34.450000000000003</v>
      </c>
      <c r="K27" s="130">
        <v>61</v>
      </c>
      <c r="L27" s="101" t="s">
        <v>17</v>
      </c>
      <c r="M27" s="214">
        <v>61</v>
      </c>
      <c r="N27" s="214">
        <v>61</v>
      </c>
      <c r="O27" s="214">
        <v>61</v>
      </c>
      <c r="P27" s="214">
        <v>61</v>
      </c>
      <c r="Q27" s="214">
        <v>61</v>
      </c>
      <c r="R27" s="214">
        <v>61</v>
      </c>
      <c r="S27" s="214">
        <v>61</v>
      </c>
      <c r="T27" s="214">
        <v>16</v>
      </c>
      <c r="U27" s="214"/>
      <c r="V27" s="214"/>
      <c r="W27" s="214"/>
      <c r="X27" s="123">
        <f>+IF(H28="s",0,IF(AA27=0,0,IF(COUNTA(M27:W27)=AK29+0.75,SUMIF($C:$C,B27,$AA:$AA)/AK29,SUMIF($C:$C,B27,$AA:$AA)/(COUNTA(M27:W27)))))</f>
        <v>61.103448275862071</v>
      </c>
      <c r="Y27" s="466"/>
      <c r="Z27" s="534"/>
      <c r="AA27" s="134">
        <f t="shared" si="0"/>
        <v>443</v>
      </c>
      <c r="AB27" s="354">
        <f>+AA27+AC27</f>
        <v>1974</v>
      </c>
      <c r="AC27" s="354">
        <v>1531</v>
      </c>
      <c r="AD27" s="355">
        <f>+AB26-AB27</f>
        <v>727</v>
      </c>
      <c r="AE27" s="131">
        <f>+IF(((AA28+(AA29/2))*60)=0,"",(J27*AA27)/((AA28+(AA29/2))*60))</f>
        <v>0.89957854406130267</v>
      </c>
      <c r="AF27" s="347">
        <f>+AA28+AA29/2</f>
        <v>282.75</v>
      </c>
      <c r="AG27" s="347">
        <f t="shared" si="1"/>
        <v>282.45</v>
      </c>
      <c r="AH27" s="341">
        <f t="shared" si="2"/>
        <v>16965</v>
      </c>
      <c r="AI27" s="341">
        <f>+AA27*J27</f>
        <v>15261.35</v>
      </c>
      <c r="AJ27" s="356">
        <f>+AA27-(AF27*K27/K29)</f>
        <v>-10.888157894736821</v>
      </c>
      <c r="AK27" s="348"/>
      <c r="AL27" s="349"/>
      <c r="AM27" s="341"/>
      <c r="AN27" s="341"/>
      <c r="AO27" s="341"/>
      <c r="AP27" s="341"/>
      <c r="AQ27" s="339">
        <f t="shared" si="11"/>
        <v>-57.625</v>
      </c>
      <c r="AR27" s="434">
        <v>1.3</v>
      </c>
      <c r="AT27" s="390">
        <v>750</v>
      </c>
      <c r="AV27" s="390">
        <f t="shared" ref="AV27" si="20">+AT27-AD27</f>
        <v>23</v>
      </c>
      <c r="AW27" s="535" t="s">
        <v>484</v>
      </c>
      <c r="AX27" s="535"/>
      <c r="AY27" s="535"/>
      <c r="AZ27" s="535"/>
      <c r="BA27" s="535"/>
      <c r="BB27" s="535"/>
      <c r="BC27" s="535"/>
      <c r="BD27" s="535"/>
      <c r="BE27" s="535"/>
      <c r="BF27" s="535"/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41" t="str">
        <f t="shared" si="19"/>
        <v>2259-600-730</v>
      </c>
      <c r="H28" s="411" t="s">
        <v>412</v>
      </c>
      <c r="I28" s="113">
        <f>+IFERROR(IF(K29=0,0,IF((LOOKUP(2,1/(M28:W28&lt;&gt;""),M28:W28)-K29)&lt;0,0,IF(K29=0,"",LOOKUP(2,1/(M28:W28&lt;&gt;""),M28:W28)-K29))),0)</f>
        <v>1</v>
      </c>
      <c r="J28" s="113">
        <v>2</v>
      </c>
      <c r="K28" s="114" t="s">
        <v>22</v>
      </c>
      <c r="L28" s="102" t="s">
        <v>18</v>
      </c>
      <c r="M28" s="448">
        <v>39</v>
      </c>
      <c r="N28" s="448">
        <v>39</v>
      </c>
      <c r="O28" s="448">
        <v>39</v>
      </c>
      <c r="P28" s="448">
        <v>39</v>
      </c>
      <c r="Q28" s="448">
        <v>39</v>
      </c>
      <c r="R28" s="448">
        <v>39</v>
      </c>
      <c r="S28" s="448">
        <v>39</v>
      </c>
      <c r="T28" s="448">
        <v>39</v>
      </c>
      <c r="U28" s="448"/>
      <c r="V28" s="448"/>
      <c r="W28" s="448"/>
      <c r="X28" s="160">
        <f>+IF(H28="l",IF(COUNTA(M27:W27)=AK29+0.75,AA27-K27*AK29,AA27-(K27*COUNTA(M27:W27))),IF(H28="s",0,IF(COUNTA(M27:W27)=AK29+0.75,SUMIF($C:$C,B27,$AA:$AA)-K27*AK29,SUMIF($C:$C,B27,$AA:$AA)-K27*COUNTA(M27:W27))))</f>
        <v>0.75</v>
      </c>
      <c r="Y28" s="466"/>
      <c r="Z28" s="534"/>
      <c r="AA28" s="462">
        <f t="shared" ref="AA28:AA29" si="21">+SUM(M28:W28)-T28*0.75</f>
        <v>282.75</v>
      </c>
      <c r="AB28" s="360"/>
      <c r="AC28" s="360"/>
      <c r="AD28" s="362"/>
      <c r="AE28" s="363"/>
      <c r="AF28" s="346"/>
      <c r="AG28" s="347">
        <f t="shared" si="1"/>
        <v>0</v>
      </c>
      <c r="AH28" s="341">
        <f t="shared" si="2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282.75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42" t="str">
        <f t="shared" si="19"/>
        <v>2259-600-730</v>
      </c>
      <c r="H29" s="117"/>
      <c r="I29" s="442"/>
      <c r="J29" s="165">
        <f>+IF(K29="","",IF(K27=0,"",(K27*J27)/(K29*60)))</f>
        <v>0.92168859649122814</v>
      </c>
      <c r="K29" s="118">
        <v>38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18.90949978982766</v>
      </c>
      <c r="Z29" s="467">
        <v>18.90949978982766</v>
      </c>
      <c r="AA29" s="465">
        <f t="shared" si="21"/>
        <v>0</v>
      </c>
      <c r="AB29" s="367"/>
      <c r="AC29" s="367"/>
      <c r="AD29" s="368">
        <f>+IFERROR(AD27/(K27*$AQ$3),"")</f>
        <v>1.3620608899297424</v>
      </c>
      <c r="AE29" s="369"/>
      <c r="AF29" s="347"/>
      <c r="AG29" s="347">
        <f t="shared" si="1"/>
        <v>0</v>
      </c>
      <c r="AH29" s="341">
        <f t="shared" si="2"/>
        <v>0</v>
      </c>
      <c r="AI29" s="341"/>
      <c r="AJ29" s="356"/>
      <c r="AK29" s="370">
        <f>+$AJ$4</f>
        <v>7.25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1.405152224824356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539" t="s">
        <v>434</v>
      </c>
      <c r="H30" s="106"/>
      <c r="I30" s="111"/>
      <c r="J30" s="107" t="s">
        <v>20</v>
      </c>
      <c r="K30" s="108" t="s">
        <v>23</v>
      </c>
      <c r="L30" s="100" t="s">
        <v>21</v>
      </c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7" t="str">
        <f t="shared" ref="X30" si="22">IF(AQ31="","",SUM(M30:W30)-(-(AQ31-SUM(M30:W30))/$AQ$3)*SUM($M$2:$W$2))</f>
        <v/>
      </c>
      <c r="Y30" s="466">
        <v>-123.75</v>
      </c>
      <c r="Z30" s="533">
        <f>+X32</f>
        <v>-93.75</v>
      </c>
      <c r="AA30" s="447">
        <f t="shared" si="0"/>
        <v>0</v>
      </c>
      <c r="AB30" s="343">
        <f>+AC30+AA30</f>
        <v>4060</v>
      </c>
      <c r="AC30" s="343">
        <v>4060</v>
      </c>
      <c r="AD30" s="344"/>
      <c r="AE30" s="345"/>
      <c r="AF30" s="346"/>
      <c r="AG30" s="347">
        <f t="shared" si="1"/>
        <v>0</v>
      </c>
      <c r="AH30" s="341">
        <f t="shared" si="2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539" t="str">
        <f t="shared" ref="G31:G33" si="23">+G30</f>
        <v>ATENAS-203645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>
        <v>40</v>
      </c>
      <c r="N31" s="214">
        <v>40</v>
      </c>
      <c r="O31" s="214">
        <v>40</v>
      </c>
      <c r="P31" s="214">
        <v>40</v>
      </c>
      <c r="Q31" s="214">
        <v>40</v>
      </c>
      <c r="R31" s="214">
        <v>37</v>
      </c>
      <c r="S31" s="214">
        <v>10</v>
      </c>
      <c r="T31" s="214">
        <v>0</v>
      </c>
      <c r="U31" s="214"/>
      <c r="V31" s="214"/>
      <c r="W31" s="214"/>
      <c r="X31" s="123">
        <f>+IF(H32="s",0,IF(AA31=0,0,IF(COUNTA(M31:W31)=AK33+0.75,SUMIF($C:$C,B31,$AA:$AA)/AK33,SUMIF($C:$C,B31,$AA:$AA)/(COUNTA(M31:W31)))))</f>
        <v>34.068965517241381</v>
      </c>
      <c r="Y31" s="466"/>
      <c r="Z31" s="534"/>
      <c r="AA31" s="134">
        <f t="shared" si="0"/>
        <v>247</v>
      </c>
      <c r="AB31" s="354">
        <f>+AA31+AC31</f>
        <v>3668</v>
      </c>
      <c r="AC31" s="354">
        <v>3421</v>
      </c>
      <c r="AD31" s="355">
        <f>+AB30-AB31</f>
        <v>392</v>
      </c>
      <c r="AE31" s="131">
        <f>+IF(((AA32+(AA33/2))*60)=0,"",(J31*AA31)/((AA32+(AA33/2))*60))</f>
        <v>1.0584474885844748</v>
      </c>
      <c r="AF31" s="347">
        <f>+AA32+AA33/2</f>
        <v>237.25</v>
      </c>
      <c r="AG31" s="347">
        <f t="shared" si="1"/>
        <v>237.15</v>
      </c>
      <c r="AH31" s="341">
        <f t="shared" si="2"/>
        <v>14235</v>
      </c>
      <c r="AI31" s="341">
        <f>+AA31*J31</f>
        <v>15067</v>
      </c>
      <c r="AJ31" s="356">
        <f>+AA31-(AF31*K31/K33)</f>
        <v>47.879464285714278</v>
      </c>
      <c r="AK31" s="348"/>
      <c r="AL31" s="349"/>
      <c r="AM31" s="341"/>
      <c r="AN31" s="341"/>
      <c r="AO31" s="341"/>
      <c r="AP31" s="341"/>
      <c r="AQ31" s="339"/>
      <c r="AR31" s="434"/>
      <c r="AT31" s="390">
        <v>639</v>
      </c>
      <c r="AV31" s="390">
        <f t="shared" ref="AV31" si="24">+AT31-AD31</f>
        <v>247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539" t="str">
        <f t="shared" si="23"/>
        <v>ATENAS-203645</v>
      </c>
      <c r="H32" s="411"/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448">
        <v>48</v>
      </c>
      <c r="N32" s="448">
        <v>40</v>
      </c>
      <c r="O32" s="448">
        <v>38</v>
      </c>
      <c r="P32" s="448">
        <v>30</v>
      </c>
      <c r="Q32" s="448">
        <v>25</v>
      </c>
      <c r="R32" s="448">
        <v>25</v>
      </c>
      <c r="S32" s="448">
        <v>25</v>
      </c>
      <c r="T32" s="448">
        <v>25</v>
      </c>
      <c r="U32" s="448"/>
      <c r="V32" s="448"/>
      <c r="W32" s="448"/>
      <c r="X32" s="160">
        <f>+IF(H32="l",IF(COUNTA(M31:W31)=AK33+0.75,AA31-K31*AK33,AA31-(K31*COUNTA(M31:W31))),IF(H32="s",0,IF(COUNTA(M31:W31)=AK33+0.75,SUMIF($C:$C,B31,$AA:$AA)-K31*AK33,SUMIF($C:$C,B31,$AA:$AA)-K31*COUNTA(M31:W31))))</f>
        <v>-93.75</v>
      </c>
      <c r="Y32" s="466"/>
      <c r="Z32" s="534"/>
      <c r="AA32" s="462">
        <f t="shared" ref="AA32:AA33" si="25">+SUM(M32:W32)-T32*0.75</f>
        <v>237.25</v>
      </c>
      <c r="AB32" s="360"/>
      <c r="AC32" s="360"/>
      <c r="AD32" s="362"/>
      <c r="AE32" s="363"/>
      <c r="AF32" s="346"/>
      <c r="AG32" s="347">
        <f t="shared" si="1"/>
        <v>0</v>
      </c>
      <c r="AH32" s="341">
        <f t="shared" si="2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237.25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539" t="str">
        <f t="shared" si="23"/>
        <v>ATENAS-203645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57.857446808510637</v>
      </c>
      <c r="Z33" s="371">
        <f>+IF(COUNTA(M31:W31)=$AJ$4+0.25,$AJ$4-(AA31/K31),COUNTA(M31:W31)-(AA31/K31))+Y33</f>
        <v>60.602127659574464</v>
      </c>
      <c r="AA33" s="465">
        <f t="shared" si="25"/>
        <v>0</v>
      </c>
      <c r="AB33" s="367"/>
      <c r="AC33" s="367"/>
      <c r="AD33" s="368">
        <f>+IFERROR(AD31/(K31*$AQ$3),"")</f>
        <v>0.95319148936170217</v>
      </c>
      <c r="AE33" s="369"/>
      <c r="AF33" s="347"/>
      <c r="AG33" s="347">
        <f t="shared" si="1"/>
        <v>0</v>
      </c>
      <c r="AH33" s="341">
        <f t="shared" si="2"/>
        <v>0</v>
      </c>
      <c r="AI33" s="341"/>
      <c r="AJ33" s="356"/>
      <c r="AK33" s="370">
        <f>+$AJ$4</f>
        <v>7.25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1.5537993920972644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40" t="s">
        <v>481</v>
      </c>
      <c r="H34" s="106"/>
      <c r="I34" s="111"/>
      <c r="J34" s="107" t="s">
        <v>20</v>
      </c>
      <c r="K34" s="108" t="s">
        <v>23</v>
      </c>
      <c r="L34" s="100" t="s">
        <v>21</v>
      </c>
      <c r="M34" s="448">
        <v>120</v>
      </c>
      <c r="N34" s="448">
        <v>120</v>
      </c>
      <c r="O34" s="448"/>
      <c r="P34" s="448">
        <v>60</v>
      </c>
      <c r="Q34" s="448"/>
      <c r="R34" s="448"/>
      <c r="S34" s="448"/>
      <c r="T34" s="448"/>
      <c r="U34" s="448"/>
      <c r="V34" s="448"/>
      <c r="W34" s="448"/>
      <c r="X34" s="447">
        <f t="shared" ref="X34" si="26">IF(AQ35="","",SUM(M34:W34)-(-(AQ35-SUM(M34:W34))/$AQ$3)*SUM($M$2:$W$2))</f>
        <v>300</v>
      </c>
      <c r="Y34" s="466">
        <v>264</v>
      </c>
      <c r="Z34" s="533">
        <f>+X36</f>
        <v>0</v>
      </c>
      <c r="AA34" s="447">
        <f t="shared" si="0"/>
        <v>300</v>
      </c>
      <c r="AB34" s="343">
        <f>+AC34+AA34</f>
        <v>600</v>
      </c>
      <c r="AC34" s="343">
        <v>300</v>
      </c>
      <c r="AD34" s="344"/>
      <c r="AE34" s="345"/>
      <c r="AF34" s="346"/>
      <c r="AG34" s="347">
        <f t="shared" si="1"/>
        <v>0</v>
      </c>
      <c r="AH34" s="341">
        <f t="shared" si="2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480</v>
      </c>
      <c r="E35" s="111"/>
      <c r="F35" s="111" t="s">
        <v>35</v>
      </c>
      <c r="G35" s="541" t="str">
        <f t="shared" ref="G35:G37" si="27">+G34</f>
        <v>2396-593-600</v>
      </c>
      <c r="H35" s="111"/>
      <c r="I35" s="111" t="s">
        <v>33</v>
      </c>
      <c r="J35" s="113">
        <v>38.82</v>
      </c>
      <c r="K35" s="130">
        <v>60</v>
      </c>
      <c r="L35" s="101" t="s">
        <v>17</v>
      </c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123">
        <f>+IF(H36="s",0,IF(AA35=0,0,IF(COUNTA(M35:W35)=AK37+0.75,SUMIF($C:$C,B35,$AA:$AA)/AK37,SUMIF($C:$C,B35,$AA:$AA)/(COUNTA(M35:W35)))))</f>
        <v>0</v>
      </c>
      <c r="Y35" s="466"/>
      <c r="Z35" s="534"/>
      <c r="AA35" s="134">
        <f t="shared" si="0"/>
        <v>0</v>
      </c>
      <c r="AB35" s="354">
        <f>+AA35+AC35</f>
        <v>0</v>
      </c>
      <c r="AC35" s="354">
        <v>0</v>
      </c>
      <c r="AD35" s="355">
        <f>+AB34-AB35</f>
        <v>600</v>
      </c>
      <c r="AE35" s="131">
        <f>+IF(((AA36+(AA37/2))*60)=0,"",(J35*AA35)/((AA36+(AA37/2))*60))</f>
        <v>0</v>
      </c>
      <c r="AF35" s="347">
        <f>+AA36+AA37/2</f>
        <v>168.75</v>
      </c>
      <c r="AG35" s="347">
        <f t="shared" si="1"/>
        <v>168.45</v>
      </c>
      <c r="AH35" s="341">
        <f t="shared" si="2"/>
        <v>10125</v>
      </c>
      <c r="AI35" s="341">
        <f>+AA35*J35</f>
        <v>0</v>
      </c>
      <c r="AJ35" s="356">
        <f>+AA35-(AF35*K35/K37)</f>
        <v>-235.46511627906978</v>
      </c>
      <c r="AK35" s="348"/>
      <c r="AL35" s="349"/>
      <c r="AM35" s="341"/>
      <c r="AN35" s="341"/>
      <c r="AO35" s="341"/>
      <c r="AP35" s="341"/>
      <c r="AQ35" s="339">
        <f>-300+AA34</f>
        <v>0</v>
      </c>
      <c r="AR35" s="434"/>
      <c r="AT35" s="390">
        <v>300</v>
      </c>
      <c r="AV35" s="390">
        <f t="shared" ref="AV35" si="28">+AT35-AD35</f>
        <v>-300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41" t="str">
        <f t="shared" si="27"/>
        <v>2396-593-600</v>
      </c>
      <c r="H36" s="411" t="s">
        <v>412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448">
        <f>56-48</f>
        <v>8</v>
      </c>
      <c r="N36" s="448">
        <f>56-40</f>
        <v>16</v>
      </c>
      <c r="O36" s="448">
        <f>56-38</f>
        <v>18</v>
      </c>
      <c r="P36" s="448">
        <f>56-30</f>
        <v>26</v>
      </c>
      <c r="Q36" s="448">
        <f>56-25</f>
        <v>31</v>
      </c>
      <c r="R36" s="448">
        <f>56-25</f>
        <v>31</v>
      </c>
      <c r="S36" s="448">
        <f>56-25</f>
        <v>31</v>
      </c>
      <c r="T36" s="448">
        <f>56-25</f>
        <v>31</v>
      </c>
      <c r="U36" s="448"/>
      <c r="V36" s="448"/>
      <c r="W36" s="448"/>
      <c r="X36" s="160">
        <f>+IF(H36="l",IF(COUNTA(M35:W35)=AK37+0.75,AA35-K35*AK37,AA35-(K35*COUNTA(M35:W35))),IF(H36="s",0,IF(COUNTA(M35:W35)=AK37+0.75,SUMIF($C:$C,B35,$AA:$AA)-K35*AK37,SUMIF($C:$C,B35,$AA:$AA)-K35*COUNTA(M35:W35))))</f>
        <v>0</v>
      </c>
      <c r="Y36" s="466"/>
      <c r="Z36" s="534"/>
      <c r="AA36" s="462">
        <f t="shared" ref="AA36:AA37" si="29">+SUM(M36:W36)-T36*0.75</f>
        <v>168.75</v>
      </c>
      <c r="AB36" s="360"/>
      <c r="AC36" s="360"/>
      <c r="AD36" s="362"/>
      <c r="AE36" s="363"/>
      <c r="AF36" s="346"/>
      <c r="AG36" s="347">
        <f t="shared" si="1"/>
        <v>0</v>
      </c>
      <c r="AH36" s="341">
        <f t="shared" si="2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168.75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42" t="str">
        <f t="shared" si="27"/>
        <v>2396-593-600</v>
      </c>
      <c r="H37" s="117"/>
      <c r="I37" s="442"/>
      <c r="J37" s="165">
        <f>+IF(K37="","",IF(K35=0,"",(K35*J35)/(K37*60)))</f>
        <v>0.90279069767441855</v>
      </c>
      <c r="K37" s="118">
        <v>43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0</v>
      </c>
      <c r="Z37" s="371">
        <f>+IF(COUNTA(M35:W35)=$AJ$4+0.25,$AJ$4-(AA35/K35),COUNTA(M35:W35)-(AA35/K35))+Y37</f>
        <v>0</v>
      </c>
      <c r="AA37" s="465">
        <f t="shared" si="29"/>
        <v>0</v>
      </c>
      <c r="AB37" s="367"/>
      <c r="AC37" s="367"/>
      <c r="AD37" s="368">
        <f>+IFERROR(AD35/(K35*$AQ$3),"")</f>
        <v>1.1428571428571428</v>
      </c>
      <c r="AE37" s="369"/>
      <c r="AF37" s="347"/>
      <c r="AG37" s="347">
        <f t="shared" si="1"/>
        <v>0</v>
      </c>
      <c r="AH37" s="341">
        <f t="shared" si="2"/>
        <v>0</v>
      </c>
      <c r="AI37" s="341"/>
      <c r="AJ37" s="356"/>
      <c r="AK37" s="370">
        <f>+$AJ$4</f>
        <v>7.25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0.72948328267477203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540" t="s">
        <v>442</v>
      </c>
      <c r="H38" s="106"/>
      <c r="I38" s="111"/>
      <c r="J38" s="107" t="s">
        <v>20</v>
      </c>
      <c r="K38" s="108">
        <v>0</v>
      </c>
      <c r="L38" s="100" t="s">
        <v>21</v>
      </c>
      <c r="M38" s="448">
        <v>60</v>
      </c>
      <c r="N38" s="448">
        <v>60</v>
      </c>
      <c r="O38" s="448"/>
      <c r="P38" s="448">
        <v>60</v>
      </c>
      <c r="Q38" s="448">
        <v>60</v>
      </c>
      <c r="R38" s="448"/>
      <c r="S38" s="448">
        <v>120</v>
      </c>
      <c r="T38" s="448">
        <v>60</v>
      </c>
      <c r="U38" s="448"/>
      <c r="V38" s="448"/>
      <c r="W38" s="448"/>
      <c r="X38" s="447">
        <f t="shared" ref="X38" si="30">IF(AQ39="","",SUM(M38:W38)-(-(AQ39-SUM(M38:W38))/$AQ$3)*SUM($M$2:$W$2))</f>
        <v>420</v>
      </c>
      <c r="Y38" s="466">
        <v>-60</v>
      </c>
      <c r="Z38" s="533">
        <f>+X40</f>
        <v>7</v>
      </c>
      <c r="AA38" s="447">
        <f t="shared" si="0"/>
        <v>420</v>
      </c>
      <c r="AB38" s="343">
        <f>+AC38+AA38</f>
        <v>2040</v>
      </c>
      <c r="AC38" s="343">
        <v>1620</v>
      </c>
      <c r="AD38" s="344"/>
      <c r="AE38" s="345"/>
      <c r="AF38" s="346"/>
      <c r="AG38" s="347">
        <f t="shared" si="1"/>
        <v>0</v>
      </c>
      <c r="AH38" s="341">
        <f t="shared" si="2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441</v>
      </c>
      <c r="E39" s="111"/>
      <c r="F39" s="111" t="s">
        <v>35</v>
      </c>
      <c r="G39" s="541" t="str">
        <f t="shared" ref="G39:G41" si="31">+G38</f>
        <v>2259-600-730</v>
      </c>
      <c r="H39" s="111"/>
      <c r="I39" s="111" t="s">
        <v>33</v>
      </c>
      <c r="J39" s="113">
        <v>34.450000000000003</v>
      </c>
      <c r="K39" s="130">
        <v>60</v>
      </c>
      <c r="L39" s="101" t="s">
        <v>17</v>
      </c>
      <c r="M39" s="214">
        <v>61</v>
      </c>
      <c r="N39" s="214">
        <v>61</v>
      </c>
      <c r="O39" s="214">
        <v>61</v>
      </c>
      <c r="P39" s="214">
        <v>61</v>
      </c>
      <c r="Q39" s="214">
        <v>61</v>
      </c>
      <c r="R39" s="214">
        <v>61</v>
      </c>
      <c r="S39" s="214">
        <v>61</v>
      </c>
      <c r="T39" s="214">
        <v>15</v>
      </c>
      <c r="U39" s="214"/>
      <c r="V39" s="214"/>
      <c r="W39" s="214"/>
      <c r="X39" s="123">
        <f>+IF(H40="s",0,IF(AA39=0,0,IF(COUNTA(M39:W39)=AK41+0.75,SUMIF($C:$C,B39,$AA:$AA)/AK41,SUMIF($C:$C,B39,$AA:$AA)/(COUNTA(M39:W39)))))</f>
        <v>60.96551724137931</v>
      </c>
      <c r="Y39" s="466"/>
      <c r="Z39" s="534"/>
      <c r="AA39" s="134">
        <f t="shared" si="0"/>
        <v>442</v>
      </c>
      <c r="AB39" s="354">
        <f>+AA39+AC39</f>
        <v>1237</v>
      </c>
      <c r="AC39" s="354">
        <v>795</v>
      </c>
      <c r="AD39" s="355">
        <f>+AB38-AB39</f>
        <v>803</v>
      </c>
      <c r="AE39" s="131">
        <f>+IF(((AA40+(AA41/2))*60)=0,"",(J39*AA39)/((AA40+(AA41/2))*60))</f>
        <v>0.88618652698966982</v>
      </c>
      <c r="AF39" s="347">
        <f>+AA40+AA41/2</f>
        <v>286.375</v>
      </c>
      <c r="AG39" s="347">
        <f t="shared" si="1"/>
        <v>286.22500000000002</v>
      </c>
      <c r="AH39" s="341">
        <f t="shared" si="2"/>
        <v>17182.5</v>
      </c>
      <c r="AI39" s="341">
        <f>+AA39*J39</f>
        <v>15226.900000000001</v>
      </c>
      <c r="AJ39" s="356">
        <f>+AA39-(AF39*K39/K41)</f>
        <v>-10.171052631578959</v>
      </c>
      <c r="AK39" s="348"/>
      <c r="AL39" s="349"/>
      <c r="AM39" s="341"/>
      <c r="AN39" s="341"/>
      <c r="AO39" s="341"/>
      <c r="AP39" s="341"/>
      <c r="AQ39" s="339">
        <f t="shared" si="11"/>
        <v>37.5</v>
      </c>
      <c r="AR39" s="434">
        <v>1.3</v>
      </c>
      <c r="AT39" s="390">
        <v>825</v>
      </c>
      <c r="AV39" s="390">
        <f t="shared" ref="AV39" si="32">+AT39-AD39</f>
        <v>22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541" t="str">
        <f t="shared" si="31"/>
        <v>2259-600-730</v>
      </c>
      <c r="H40" s="411" t="s">
        <v>413</v>
      </c>
      <c r="I40" s="113">
        <f>+IFERROR(IF(K41=0,0,IF((LOOKUP(2,1/(M40:W40&lt;&gt;""),M40:W40)-K41)&lt;0,0,IF(K41=0,"",LOOKUP(2,1/(M40:W40&lt;&gt;""),M40:W40)-K41))),0)</f>
        <v>1</v>
      </c>
      <c r="J40" s="113">
        <v>0</v>
      </c>
      <c r="K40" s="114" t="s">
        <v>22</v>
      </c>
      <c r="L40" s="102" t="s">
        <v>18</v>
      </c>
      <c r="M40" s="448">
        <v>39</v>
      </c>
      <c r="N40" s="448">
        <v>39</v>
      </c>
      <c r="O40" s="448">
        <v>39</v>
      </c>
      <c r="P40" s="448">
        <v>39</v>
      </c>
      <c r="Q40" s="448">
        <v>39</v>
      </c>
      <c r="R40" s="448">
        <v>39</v>
      </c>
      <c r="S40" s="448">
        <v>39</v>
      </c>
      <c r="T40" s="448">
        <v>39</v>
      </c>
      <c r="U40" s="448"/>
      <c r="V40" s="448"/>
      <c r="W40" s="448"/>
      <c r="X40" s="160">
        <f>+IF(H40="l",IF(COUNTA(M39:W39)=AK41+0.75,AA39-K39*AK41,AA39-(K39*COUNTA(M39:W39))),IF(H40="s",0,IF(COUNTA(M39:W39)=AK41+0.75,SUMIF($C:$C,B39,$AA:$AA)-K39*AK41,SUMIF($C:$C,B39,$AA:$AA)-K39*COUNTA(M39:W39))))</f>
        <v>7</v>
      </c>
      <c r="Y40" s="466"/>
      <c r="Z40" s="534"/>
      <c r="AA40" s="462">
        <f t="shared" ref="AA40:AA41" si="33">+SUM(M40:W40)-T40*0.75</f>
        <v>282.75</v>
      </c>
      <c r="AB40" s="360"/>
      <c r="AC40" s="360"/>
      <c r="AD40" s="362"/>
      <c r="AE40" s="363"/>
      <c r="AF40" s="346"/>
      <c r="AG40" s="347">
        <f t="shared" si="1"/>
        <v>0</v>
      </c>
      <c r="AH40" s="341">
        <f t="shared" si="2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282.75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542" t="str">
        <f t="shared" si="31"/>
        <v>2259-600-730</v>
      </c>
      <c r="H41" s="117"/>
      <c r="I41" s="442"/>
      <c r="J41" s="165">
        <f>+IF(K41="","",IF(K39=0,"",(K39*J39)/(K41*60)))</f>
        <v>0.90657894736842104</v>
      </c>
      <c r="K41" s="118">
        <v>38</v>
      </c>
      <c r="L41" s="104" t="s">
        <v>19</v>
      </c>
      <c r="M41" s="216">
        <v>1</v>
      </c>
      <c r="N41" s="216">
        <v>1</v>
      </c>
      <c r="O41" s="216">
        <v>1</v>
      </c>
      <c r="P41" s="216">
        <v>1</v>
      </c>
      <c r="Q41" s="216">
        <v>1</v>
      </c>
      <c r="R41" s="216">
        <v>1</v>
      </c>
      <c r="S41" s="216">
        <v>1</v>
      </c>
      <c r="T41" s="216">
        <v>1</v>
      </c>
      <c r="U41" s="216"/>
      <c r="V41" s="216"/>
      <c r="W41" s="216"/>
      <c r="X41" s="173"/>
      <c r="Y41" s="467">
        <v>13.58</v>
      </c>
      <c r="Z41" s="371">
        <f>+IF(COUNTA(M39:W39)=$AJ$4+0.25,$AJ$4-(AA39/K39),COUNTA(M39:W39)-(AA39/K39))+Y41</f>
        <v>14.213333333333335</v>
      </c>
      <c r="AA41" s="465">
        <f t="shared" si="33"/>
        <v>7.25</v>
      </c>
      <c r="AB41" s="367"/>
      <c r="AC41" s="367"/>
      <c r="AD41" s="368">
        <f>+IFERROR(AD39/(K39*$AQ$3),"")</f>
        <v>1.5295238095238095</v>
      </c>
      <c r="AE41" s="369"/>
      <c r="AF41" s="347"/>
      <c r="AG41" s="347">
        <f t="shared" si="1"/>
        <v>0</v>
      </c>
      <c r="AH41" s="341">
        <f t="shared" si="2"/>
        <v>0</v>
      </c>
      <c r="AI41" s="341"/>
      <c r="AJ41" s="356"/>
      <c r="AK41" s="370">
        <f>+$AJ$4</f>
        <v>7.25</v>
      </c>
      <c r="AL41" s="349">
        <f>+IF(AK41=7.75,SUM(M41:S41)+T41*0.75,IF(AK41=8,SUM(M41:T41),IF(AK41=7.25,SUM(M41:S41)+T41*0.25,IF(AK41=8.25,SUM(M41:T41)+U41*0.25,IF(AK41=8.75,SUM(M41:T41)+U41*0.75,0)))))</f>
        <v>7.25</v>
      </c>
      <c r="AM41" s="341">
        <f>+AL41-AA41</f>
        <v>0</v>
      </c>
      <c r="AN41" s="341"/>
      <c r="AO41" s="341"/>
      <c r="AP41" s="341"/>
      <c r="AQ41" s="369"/>
      <c r="AR41" s="434"/>
      <c r="AT41" s="390">
        <v>1.5714285714285714</v>
      </c>
      <c r="AV41" s="390"/>
    </row>
    <row r="42" spans="2:58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539" t="s">
        <v>435</v>
      </c>
      <c r="H42" s="106"/>
      <c r="I42" s="106"/>
      <c r="J42" s="107" t="s">
        <v>20</v>
      </c>
      <c r="K42" s="108" t="s">
        <v>23</v>
      </c>
      <c r="L42" s="100" t="s">
        <v>21</v>
      </c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7" t="str">
        <f t="shared" ref="X42" si="34">IF(AQ43="","",SUM(M42:W42)-(-(AQ43-SUM(M42:W42))/$AQ$3)*SUM($M$2:$W$2))</f>
        <v/>
      </c>
      <c r="Y42" s="466">
        <v>0</v>
      </c>
      <c r="Z42" s="533">
        <f>+X44</f>
        <v>0</v>
      </c>
      <c r="AA42" s="447">
        <f t="shared" si="0"/>
        <v>0</v>
      </c>
      <c r="AB42" s="343">
        <f>+AC42+AA42</f>
        <v>3601</v>
      </c>
      <c r="AC42" s="343">
        <v>3601</v>
      </c>
      <c r="AD42" s="344"/>
      <c r="AE42" s="345"/>
      <c r="AF42" s="346"/>
      <c r="AG42" s="347">
        <f t="shared" si="1"/>
        <v>0</v>
      </c>
      <c r="AH42" s="341">
        <f t="shared" si="2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7</v>
      </c>
      <c r="C43" s="406">
        <f>+B43</f>
        <v>7</v>
      </c>
      <c r="D43" s="407" t="s">
        <v>436</v>
      </c>
      <c r="E43" s="111"/>
      <c r="F43" s="111" t="s">
        <v>35</v>
      </c>
      <c r="G43" s="539" t="str">
        <f t="shared" ref="G43:G45" si="35">+G42</f>
        <v>2076-780-803</v>
      </c>
      <c r="H43" s="111"/>
      <c r="I43" s="111" t="s">
        <v>38</v>
      </c>
      <c r="J43" s="113">
        <v>38.729999999999997</v>
      </c>
      <c r="K43" s="471">
        <v>52</v>
      </c>
      <c r="L43" s="101" t="s">
        <v>17</v>
      </c>
      <c r="M43" s="214">
        <v>6</v>
      </c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123">
        <f>+IF(H44="s",0,IF(AA43=0,0,IF(COUNTA(M43:W43)=AK45+0.75,SUMIF($C:$C,B43,$AA:$AA)/AK45,SUMIF($C:$C,B43,$AA:$AA)/(COUNTA(M43:W43)))))</f>
        <v>0</v>
      </c>
      <c r="Y43" s="466"/>
      <c r="Z43" s="534"/>
      <c r="AA43" s="134">
        <f t="shared" si="0"/>
        <v>6</v>
      </c>
      <c r="AB43" s="354">
        <f>+AA43+AC43</f>
        <v>3601</v>
      </c>
      <c r="AC43" s="354">
        <v>3595</v>
      </c>
      <c r="AD43" s="355">
        <f>+AB42-AB43</f>
        <v>0</v>
      </c>
      <c r="AE43" s="131">
        <f>+IF(((AA44+(AA45/2))*60)=0,"",(J43*AA43)/((AA44+(AA45/2))*60))</f>
        <v>3.8729999999999998</v>
      </c>
      <c r="AF43" s="347">
        <f>+AA44+AA45/2</f>
        <v>1</v>
      </c>
      <c r="AG43" s="347">
        <f t="shared" si="1"/>
        <v>1</v>
      </c>
      <c r="AH43" s="341">
        <f t="shared" si="2"/>
        <v>60</v>
      </c>
      <c r="AI43" s="341">
        <f>+AA43*J43</f>
        <v>232.38</v>
      </c>
      <c r="AJ43" s="356">
        <f>+AA43-(AF43*K43/K45)</f>
        <v>4.7</v>
      </c>
      <c r="AK43" s="348"/>
      <c r="AL43" s="349"/>
      <c r="AM43" s="341"/>
      <c r="AN43" s="341"/>
      <c r="AO43" s="341"/>
      <c r="AP43" s="341"/>
      <c r="AQ43" s="339"/>
      <c r="AR43" s="434">
        <v>0.88200000000000001</v>
      </c>
      <c r="AT43" s="390">
        <v>6</v>
      </c>
      <c r="AV43" s="390">
        <f t="shared" ref="AV43" si="36">+AT43-AD43</f>
        <v>6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539" t="str">
        <f t="shared" si="35"/>
        <v>2076-780-803</v>
      </c>
      <c r="H44" s="411" t="s">
        <v>414</v>
      </c>
      <c r="I44" s="113">
        <f>+IFERROR(IF(K45=0,0,IF((LOOKUP(2,1/(M44:W44&lt;&gt;""),M44:W44)-K45)&lt;0,0,IF(K45=0,"",LOOKUP(2,1/(M44:W44&lt;&gt;""),M44:W44)-K45))),0)</f>
        <v>0</v>
      </c>
      <c r="J44" s="113">
        <v>1</v>
      </c>
      <c r="K44" s="114" t="s">
        <v>22</v>
      </c>
      <c r="L44" s="102" t="s">
        <v>18</v>
      </c>
      <c r="M44" s="448">
        <v>1</v>
      </c>
      <c r="N44" s="448"/>
      <c r="O44" s="448"/>
      <c r="P44" s="448"/>
      <c r="Q44" s="448"/>
      <c r="R44" s="448"/>
      <c r="S44" s="448"/>
      <c r="T44" s="448"/>
      <c r="U44" s="448"/>
      <c r="V44" s="448"/>
      <c r="W44" s="448"/>
      <c r="X44" s="160">
        <f>+IF(H44="l",IF(COUNTA(M43:W43)=AK45+0.75,AA43-K43*AK45,AA43-(K43*COUNTA(M43:W43))),IF(H44="s",0,IF(COUNTA(M43:W43)=AK45+0.75,SUMIF($C:$C,B43,$AA:$AA)-K43*AK45,SUMIF($C:$C,B43,$AA:$AA)-K43*COUNTA(M43:W43))))</f>
        <v>0</v>
      </c>
      <c r="Y44" s="466"/>
      <c r="Z44" s="534"/>
      <c r="AA44" s="462">
        <f t="shared" ref="AA44:AA45" si="37">+SUM(M44:W44)-T44*0.75</f>
        <v>1</v>
      </c>
      <c r="AB44" s="360"/>
      <c r="AC44" s="360"/>
      <c r="AD44" s="362"/>
      <c r="AE44" s="363"/>
      <c r="AF44" s="346"/>
      <c r="AG44" s="347">
        <f t="shared" si="1"/>
        <v>0</v>
      </c>
      <c r="AH44" s="341">
        <f t="shared" si="2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1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539" t="str">
        <f t="shared" si="35"/>
        <v>2076-780-803</v>
      </c>
      <c r="H45" s="117"/>
      <c r="I45" s="442"/>
      <c r="J45" s="165">
        <f>+IF(K45="","",IF(K43=0,"",(K43*J43)/(K45*60)))</f>
        <v>0.83914999999999995</v>
      </c>
      <c r="K45" s="471">
        <v>40</v>
      </c>
      <c r="L45" s="104" t="s">
        <v>19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32.52832891246684</v>
      </c>
      <c r="Z45" s="371">
        <f>+IF(COUNTA(M43:W43)=$AJ$4+0.25,$AJ$4-(AA43/K43),COUNTA(M43:W43)-(AA43/K43))+Y45</f>
        <v>33.412944297082227</v>
      </c>
      <c r="AA45" s="465">
        <f t="shared" si="37"/>
        <v>0</v>
      </c>
      <c r="AB45" s="367"/>
      <c r="AC45" s="367"/>
      <c r="AD45" s="368">
        <f>+IFERROR(AD43/(K43*$AQ$3),"")</f>
        <v>0</v>
      </c>
      <c r="AE45" s="369"/>
      <c r="AF45" s="347"/>
      <c r="AG45" s="347">
        <f t="shared" si="1"/>
        <v>0</v>
      </c>
      <c r="AH45" s="341">
        <f t="shared" si="2"/>
        <v>0</v>
      </c>
      <c r="AI45" s="341"/>
      <c r="AJ45" s="356"/>
      <c r="AK45" s="370">
        <f>+$AJ$4</f>
        <v>7.25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1.3186813186813187E-2</v>
      </c>
      <c r="AV45" s="390"/>
    </row>
    <row r="46" spans="2:58" s="98" customFormat="1" ht="62.25" customHeight="1" thickTop="1" x14ac:dyDescent="0.9">
      <c r="B46" s="342">
        <f>+B47</f>
        <v>7</v>
      </c>
      <c r="C46" s="405"/>
      <c r="D46" s="106"/>
      <c r="E46" s="106"/>
      <c r="F46" s="106"/>
      <c r="G46" s="540" t="s">
        <v>442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60</v>
      </c>
      <c r="N46" s="448">
        <v>60</v>
      </c>
      <c r="O46" s="448"/>
      <c r="P46" s="448">
        <v>60</v>
      </c>
      <c r="Q46" s="448">
        <v>60</v>
      </c>
      <c r="R46" s="448"/>
      <c r="S46" s="448">
        <v>60</v>
      </c>
      <c r="T46" s="448"/>
      <c r="U46" s="473"/>
      <c r="V46" s="448"/>
      <c r="W46" s="448"/>
      <c r="X46" s="447">
        <f t="shared" ref="X46" si="38">IF(AQ47="","",SUM(M46:W46)-(-(AQ47-SUM(M46:W46))/$AQ$3)*SUM($M$2:$W$2))</f>
        <v>300</v>
      </c>
      <c r="Y46" s="466">
        <v>-350</v>
      </c>
      <c r="Z46" s="533">
        <f>+X48</f>
        <v>-95</v>
      </c>
      <c r="AA46" s="447">
        <f t="shared" si="0"/>
        <v>300</v>
      </c>
      <c r="AB46" s="343">
        <f>+AC46+AA46</f>
        <v>1320</v>
      </c>
      <c r="AC46" s="343">
        <v>1020</v>
      </c>
      <c r="AD46" s="344"/>
      <c r="AE46" s="345"/>
      <c r="AF46" s="346"/>
      <c r="AG46" s="347">
        <f t="shared" si="1"/>
        <v>0</v>
      </c>
      <c r="AH46" s="341">
        <f t="shared" si="2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1.35">
      <c r="B47" s="351">
        <v>7</v>
      </c>
      <c r="C47" s="406">
        <f>+B47</f>
        <v>7</v>
      </c>
      <c r="D47" s="407" t="s">
        <v>441</v>
      </c>
      <c r="E47" s="111"/>
      <c r="F47" s="111" t="s">
        <v>35</v>
      </c>
      <c r="G47" s="541" t="str">
        <f t="shared" ref="G47:G49" si="39">+G46</f>
        <v>2259-600-730</v>
      </c>
      <c r="H47" s="111"/>
      <c r="I47" s="111" t="s">
        <v>33</v>
      </c>
      <c r="J47" s="113">
        <v>34.450000000000003</v>
      </c>
      <c r="K47" s="130">
        <v>60</v>
      </c>
      <c r="L47" s="101" t="s">
        <v>17</v>
      </c>
      <c r="M47" s="214">
        <v>40</v>
      </c>
      <c r="N47" s="214">
        <v>40</v>
      </c>
      <c r="O47" s="214">
        <v>50</v>
      </c>
      <c r="P47" s="214">
        <v>50</v>
      </c>
      <c r="Q47" s="214">
        <v>50</v>
      </c>
      <c r="R47" s="214">
        <v>50</v>
      </c>
      <c r="S47" s="214">
        <v>50</v>
      </c>
      <c r="T47" s="214">
        <v>10</v>
      </c>
      <c r="U47" s="214"/>
      <c r="V47" s="214"/>
      <c r="W47" s="214"/>
      <c r="X47" s="123">
        <f>+IF(H48="s",0,IF(AA47=0,0,IF(COUNTA(M47:W47)=AK49+0.75,SUMIF($C:$C,B47,$AA:$AA)/AK49,SUMIF($C:$C,B47,$AA:$AA)/(COUNTA(M47:W47)))))</f>
        <v>47.724137931034484</v>
      </c>
      <c r="Y47" s="466"/>
      <c r="Z47" s="534"/>
      <c r="AA47" s="134">
        <f t="shared" si="0"/>
        <v>340</v>
      </c>
      <c r="AB47" s="354">
        <f>+AA47+AC47</f>
        <v>485</v>
      </c>
      <c r="AC47" s="354">
        <v>145</v>
      </c>
      <c r="AD47" s="355">
        <f>+AB46-AB47</f>
        <v>835</v>
      </c>
      <c r="AE47" s="131">
        <f>+IF(((AA48+(AA49/2))*60)=0,"",(J47*AA47)/((AA48+(AA49/2))*60))</f>
        <v>0.71117182756527031</v>
      </c>
      <c r="AF47" s="347">
        <f>+AA48+AA49/2</f>
        <v>274.5</v>
      </c>
      <c r="AG47" s="347">
        <f t="shared" si="1"/>
        <v>274.3</v>
      </c>
      <c r="AH47" s="341">
        <f t="shared" si="2"/>
        <v>16470</v>
      </c>
      <c r="AI47" s="341">
        <f>+AA47*J47</f>
        <v>11713.000000000002</v>
      </c>
      <c r="AJ47" s="356">
        <f>+AA47-(AF47*K47/K49)</f>
        <v>-93.421052631578959</v>
      </c>
      <c r="AK47" s="348"/>
      <c r="AL47" s="349"/>
      <c r="AM47" s="341"/>
      <c r="AN47" s="341"/>
      <c r="AO47" s="341"/>
      <c r="AP47" s="341"/>
      <c r="AQ47" s="339">
        <f>-300+AA46</f>
        <v>0</v>
      </c>
      <c r="AR47" s="434"/>
      <c r="AT47" s="390">
        <v>875</v>
      </c>
      <c r="AV47" s="390">
        <f t="shared" ref="AV47" si="40">+AT47-AD47</f>
        <v>40</v>
      </c>
      <c r="AW47" s="535"/>
      <c r="AX47" s="535"/>
      <c r="AY47" s="535"/>
      <c r="AZ47" s="535"/>
      <c r="BA47" s="535"/>
      <c r="BB47" s="535"/>
      <c r="BC47" s="535"/>
      <c r="BD47" s="535"/>
      <c r="BE47" s="535"/>
      <c r="BF47" s="535"/>
    </row>
    <row r="48" spans="2:58" s="98" customFormat="1" ht="62.25" customHeight="1" x14ac:dyDescent="0.9">
      <c r="B48" s="357">
        <f>B47</f>
        <v>7</v>
      </c>
      <c r="C48" s="408"/>
      <c r="D48" s="184"/>
      <c r="E48" s="111">
        <f>+B47</f>
        <v>7</v>
      </c>
      <c r="F48" s="409"/>
      <c r="G48" s="541" t="str">
        <f t="shared" si="39"/>
        <v>2259-600-730</v>
      </c>
      <c r="H48" s="411" t="s">
        <v>413</v>
      </c>
      <c r="I48" s="113">
        <f>+IFERROR(IF(K49=0,0,IF((LOOKUP(2,1/(M48:W48&lt;&gt;""),M48:W48)-K49)&lt;0,0,IF(K49=0,"",LOOKUP(2,1/(M48:W48&lt;&gt;""),M48:W48)-K49))),0)</f>
        <v>0</v>
      </c>
      <c r="J48" s="113">
        <v>1</v>
      </c>
      <c r="K48" s="114" t="s">
        <v>22</v>
      </c>
      <c r="L48" s="102" t="s">
        <v>18</v>
      </c>
      <c r="M48" s="448">
        <v>37</v>
      </c>
      <c r="N48" s="448">
        <v>38</v>
      </c>
      <c r="O48" s="448">
        <v>38</v>
      </c>
      <c r="P48" s="448">
        <v>38</v>
      </c>
      <c r="Q48" s="448">
        <v>38</v>
      </c>
      <c r="R48" s="448">
        <v>38</v>
      </c>
      <c r="S48" s="448">
        <v>38</v>
      </c>
      <c r="T48" s="448">
        <v>38</v>
      </c>
      <c r="U48" s="448"/>
      <c r="V48" s="448"/>
      <c r="W48" s="448"/>
      <c r="X48" s="160">
        <f>+IF(H48="l",IF(COUNTA(M47:W47)=AK49+0.75,AA47-K47*AK49,AA47-(K47*COUNTA(M47:W47))),IF(H48="s",0,IF(COUNTA(M47:W47)=AK49+0.75,SUMIF($C:$C,B47,$AA:$AA)-K47*AK49,SUMIF($C:$C,B47,$AA:$AA)-K47*COUNTA(M47:W47))))</f>
        <v>-95</v>
      </c>
      <c r="Y48" s="466"/>
      <c r="Z48" s="534"/>
      <c r="AA48" s="462">
        <f t="shared" ref="AA48:AA49" si="41">+SUM(M48:W48)-T48*0.75</f>
        <v>274.5</v>
      </c>
      <c r="AB48" s="360"/>
      <c r="AC48" s="360"/>
      <c r="AD48" s="362"/>
      <c r="AE48" s="363"/>
      <c r="AF48" s="346"/>
      <c r="AG48" s="347">
        <f t="shared" si="1"/>
        <v>0</v>
      </c>
      <c r="AH48" s="341">
        <f t="shared" si="2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274.5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72">
        <f>B47</f>
        <v>7</v>
      </c>
      <c r="C49" s="410"/>
      <c r="D49" s="174" t="s">
        <v>93</v>
      </c>
      <c r="E49" s="175">
        <f>+E48+100</f>
        <v>107</v>
      </c>
      <c r="F49" s="175"/>
      <c r="G49" s="542" t="str">
        <f t="shared" si="39"/>
        <v>2259-600-730</v>
      </c>
      <c r="H49" s="117"/>
      <c r="I49" s="442"/>
      <c r="J49" s="165">
        <f>+IF(K49="","",IF(K47=0,"",(K47*J47)/(K49*60)))</f>
        <v>0.90657894736842104</v>
      </c>
      <c r="K49" s="118">
        <v>38</v>
      </c>
      <c r="L49" s="104" t="s">
        <v>19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12.391033333333333</v>
      </c>
      <c r="Z49" s="371">
        <f>+IF(COUNTA(M47:W47)=$AJ$4+0.25,$AJ$4-(AA47/K47),COUNTA(M47:W47)-(AA47/K47))+Y49</f>
        <v>14.724366666666665</v>
      </c>
      <c r="AA49" s="465">
        <f t="shared" si="41"/>
        <v>0</v>
      </c>
      <c r="AB49" s="367"/>
      <c r="AC49" s="367"/>
      <c r="AD49" s="368">
        <f>+IFERROR(AD47/(K47*$AQ$3),"")</f>
        <v>1.5904761904761904</v>
      </c>
      <c r="AE49" s="369"/>
      <c r="AF49" s="347"/>
      <c r="AG49" s="347">
        <f t="shared" si="1"/>
        <v>0</v>
      </c>
      <c r="AH49" s="341">
        <f t="shared" si="2"/>
        <v>0</v>
      </c>
      <c r="AI49" s="341"/>
      <c r="AJ49" s="356"/>
      <c r="AK49" s="370">
        <f>+$AJ$4</f>
        <v>7.25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1.6666666666666667</v>
      </c>
      <c r="AV49" s="390"/>
    </row>
    <row r="50" spans="2:58" s="98" customFormat="1" ht="62.25" customHeight="1" thickTop="1" x14ac:dyDescent="0.9">
      <c r="B50" s="342">
        <f>+B51</f>
        <v>8</v>
      </c>
      <c r="C50" s="405"/>
      <c r="D50" s="106"/>
      <c r="E50" s="106"/>
      <c r="F50" s="106"/>
      <c r="G50" s="539" t="s">
        <v>432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60</v>
      </c>
      <c r="N50" s="448">
        <v>120</v>
      </c>
      <c r="O50" s="448">
        <v>60</v>
      </c>
      <c r="P50" s="448">
        <v>60</v>
      </c>
      <c r="Q50" s="448">
        <v>120</v>
      </c>
      <c r="R50" s="448"/>
      <c r="S50" s="448"/>
      <c r="T50" s="448"/>
      <c r="U50" s="448"/>
      <c r="V50" s="448"/>
      <c r="W50" s="448"/>
      <c r="X50" s="447">
        <f t="shared" ref="X50" si="42">IF(AQ51="","",SUM(M50:W50)-(-(AQ51-SUM(M50:W50))/$AQ$3)*SUM($M$2:$W$2))</f>
        <v>420</v>
      </c>
      <c r="Y50" s="466">
        <v>0.75</v>
      </c>
      <c r="Z50" s="533">
        <f>+X52</f>
        <v>0.75</v>
      </c>
      <c r="AA50" s="447">
        <f t="shared" si="0"/>
        <v>420</v>
      </c>
      <c r="AB50" s="343">
        <f>+AC50+AA50</f>
        <v>4321</v>
      </c>
      <c r="AC50" s="343">
        <v>3901</v>
      </c>
      <c r="AD50" s="344"/>
      <c r="AE50" s="345"/>
      <c r="AF50" s="346"/>
      <c r="AG50" s="347">
        <f t="shared" si="1"/>
        <v>0</v>
      </c>
      <c r="AH50" s="341">
        <f t="shared" si="2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0.9">
      <c r="B51" s="351">
        <v>8</v>
      </c>
      <c r="C51" s="406">
        <f>+B51</f>
        <v>8</v>
      </c>
      <c r="D51" s="407" t="s">
        <v>431</v>
      </c>
      <c r="E51" s="111"/>
      <c r="F51" s="111" t="s">
        <v>35</v>
      </c>
      <c r="G51" s="539" t="str">
        <f t="shared" ref="G51:G53" si="43">+G50</f>
        <v>2158-755-712</v>
      </c>
      <c r="H51" s="111"/>
      <c r="I51" s="111" t="s">
        <v>33</v>
      </c>
      <c r="J51" s="113">
        <v>51.42</v>
      </c>
      <c r="K51" s="130">
        <v>53</v>
      </c>
      <c r="L51" s="101" t="s">
        <v>17</v>
      </c>
      <c r="M51" s="214">
        <v>53</v>
      </c>
      <c r="N51" s="214">
        <v>53</v>
      </c>
      <c r="O51" s="214">
        <v>53</v>
      </c>
      <c r="P51" s="214">
        <v>48</v>
      </c>
      <c r="Q51" s="214">
        <v>58</v>
      </c>
      <c r="R51" s="214">
        <v>53</v>
      </c>
      <c r="S51" s="214">
        <v>53</v>
      </c>
      <c r="T51" s="214">
        <v>14</v>
      </c>
      <c r="U51" s="214"/>
      <c r="V51" s="214"/>
      <c r="W51" s="214"/>
      <c r="X51" s="123">
        <f>+IF(H52="s",0,IF(AA51=0,0,IF(COUNTA(M51:W51)=AK53+0.75,SUMIF($C:$C,B51,$AA:$AA)/AK53,SUMIF($C:$C,B51,$AA:$AA)/(COUNTA(M51:W51)))))</f>
        <v>53.103448275862071</v>
      </c>
      <c r="Y51" s="466"/>
      <c r="Z51" s="534"/>
      <c r="AA51" s="134">
        <f t="shared" si="0"/>
        <v>385</v>
      </c>
      <c r="AB51" s="354">
        <f>+AA51+AC51</f>
        <v>3536</v>
      </c>
      <c r="AC51" s="354">
        <v>3151</v>
      </c>
      <c r="AD51" s="355">
        <f>+AB50-AB51</f>
        <v>785</v>
      </c>
      <c r="AE51" s="131">
        <f>+IF(((AA52+(AA53/2))*60)=0,"",(J51*AA51)/((AA52+(AA53/2))*60))</f>
        <v>0.87518567639257294</v>
      </c>
      <c r="AF51" s="347">
        <f>+AA52+AA53/2</f>
        <v>377</v>
      </c>
      <c r="AG51" s="347">
        <f t="shared" si="1"/>
        <v>377</v>
      </c>
      <c r="AH51" s="341">
        <f t="shared" si="2"/>
        <v>22620</v>
      </c>
      <c r="AI51" s="341">
        <f>+AA51*J51</f>
        <v>19796.7</v>
      </c>
      <c r="AJ51" s="356">
        <f>+AA51-(AF51*K51/K53)</f>
        <v>-6.7843137254902217</v>
      </c>
      <c r="AK51" s="348"/>
      <c r="AL51" s="349"/>
      <c r="AM51" s="341"/>
      <c r="AN51" s="341"/>
      <c r="AO51" s="341"/>
      <c r="AP51" s="341"/>
      <c r="AQ51" s="339">
        <f t="shared" si="11"/>
        <v>10.625</v>
      </c>
      <c r="AR51" s="434">
        <v>1.5</v>
      </c>
      <c r="AT51" s="390">
        <v>750</v>
      </c>
      <c r="AV51" s="390">
        <f t="shared" ref="AV51" si="44">+AT51-AD51</f>
        <v>-35</v>
      </c>
    </row>
    <row r="52" spans="2:58" s="98" customFormat="1" ht="62.25" customHeight="1" x14ac:dyDescent="0.9">
      <c r="B52" s="357">
        <f>+B51</f>
        <v>8</v>
      </c>
      <c r="C52" s="408"/>
      <c r="D52" s="184"/>
      <c r="E52" s="111">
        <f>+B51</f>
        <v>8</v>
      </c>
      <c r="F52" s="409"/>
      <c r="G52" s="539" t="str">
        <f t="shared" si="43"/>
        <v>2158-755-712</v>
      </c>
      <c r="H52" s="411"/>
      <c r="I52" s="113">
        <f>+IFERROR(IF(K53=0,0,IF((LOOKUP(2,1/(M52:W52&lt;&gt;""),M52:W52)-K53)&lt;0,0,IF(K53=0,"",LOOKUP(2,1/(M52:W52&lt;&gt;""),M52:W52)-K53))),0)</f>
        <v>1</v>
      </c>
      <c r="J52" s="113"/>
      <c r="K52" s="114" t="s">
        <v>22</v>
      </c>
      <c r="L52" s="102" t="s">
        <v>18</v>
      </c>
      <c r="M52" s="448">
        <v>52</v>
      </c>
      <c r="N52" s="448">
        <v>52</v>
      </c>
      <c r="O52" s="448">
        <v>52</v>
      </c>
      <c r="P52" s="448">
        <v>52</v>
      </c>
      <c r="Q52" s="448">
        <v>52</v>
      </c>
      <c r="R52" s="448">
        <v>52</v>
      </c>
      <c r="S52" s="448">
        <v>52</v>
      </c>
      <c r="T52" s="448">
        <v>52</v>
      </c>
      <c r="U52" s="448"/>
      <c r="V52" s="448"/>
      <c r="W52" s="448"/>
      <c r="X52" s="160">
        <f>+IF(H52="l",IF(COUNTA(M51:W51)=AK53+0.75,AA51-K51*AK53,AA51-(K51*COUNTA(M51:W51))),IF(H52="s",0,IF(COUNTA(M51:W51)=AK53+0.75,SUMIF($C:$C,B51,$AA:$AA)-K51*AK53,SUMIF($C:$C,B51,$AA:$AA)-K51*COUNTA(M51:W51))))</f>
        <v>0.75</v>
      </c>
      <c r="Y52" s="466"/>
      <c r="Z52" s="534"/>
      <c r="AA52" s="462">
        <f t="shared" ref="AA52:AA53" si="45">+SUM(M52:W52)-T52*0.75</f>
        <v>377</v>
      </c>
      <c r="AB52" s="360"/>
      <c r="AC52" s="360"/>
      <c r="AD52" s="362"/>
      <c r="AE52" s="363"/>
      <c r="AF52" s="346"/>
      <c r="AG52" s="347">
        <f t="shared" si="1"/>
        <v>0</v>
      </c>
      <c r="AH52" s="341">
        <f t="shared" si="2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377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8</v>
      </c>
      <c r="C53" s="410"/>
      <c r="D53" s="174" t="s">
        <v>373</v>
      </c>
      <c r="E53" s="175">
        <f>+E52+100</f>
        <v>108</v>
      </c>
      <c r="F53" s="175"/>
      <c r="G53" s="539" t="str">
        <f t="shared" si="43"/>
        <v>2158-755-712</v>
      </c>
      <c r="H53" s="117"/>
      <c r="I53" s="442"/>
      <c r="J53" s="165">
        <f>+IF(K53="","",IF(K51=0,"",(K51*J51)/(K53*60)))</f>
        <v>0.89060784313725494</v>
      </c>
      <c r="K53" s="118">
        <v>51</v>
      </c>
      <c r="L53" s="104" t="s">
        <v>422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>
        <v>12.75</v>
      </c>
      <c r="Z53" s="365">
        <v>12.75</v>
      </c>
      <c r="AA53" s="465">
        <f t="shared" si="45"/>
        <v>0</v>
      </c>
      <c r="AB53" s="367"/>
      <c r="AC53" s="367"/>
      <c r="AD53" s="368">
        <f>+IFERROR(AD51/(K51*$AQ$3),"")</f>
        <v>1.692722371967655</v>
      </c>
      <c r="AE53" s="369"/>
      <c r="AF53" s="347"/>
      <c r="AG53" s="347">
        <f t="shared" si="1"/>
        <v>0</v>
      </c>
      <c r="AH53" s="341">
        <f t="shared" si="2"/>
        <v>0</v>
      </c>
      <c r="AI53" s="341"/>
      <c r="AJ53" s="356"/>
      <c r="AK53" s="370">
        <f>+$AJ$4</f>
        <v>7.25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1.6172506738544474</v>
      </c>
      <c r="AV53" s="390"/>
    </row>
    <row r="54" spans="2:58" s="98" customFormat="1" ht="62.25" customHeight="1" thickTop="1" x14ac:dyDescent="0.9">
      <c r="B54" s="342">
        <f>+B55</f>
        <v>11</v>
      </c>
      <c r="C54" s="405"/>
      <c r="D54" s="106"/>
      <c r="E54" s="106"/>
      <c r="F54" s="106"/>
      <c r="G54" s="540" t="s">
        <v>435</v>
      </c>
      <c r="H54" s="106"/>
      <c r="I54" s="106"/>
      <c r="J54" s="107" t="s">
        <v>20</v>
      </c>
      <c r="K54" s="108" t="s">
        <v>23</v>
      </c>
      <c r="L54" s="100" t="s">
        <v>21</v>
      </c>
      <c r="M54" s="448"/>
      <c r="N54" s="448"/>
      <c r="O54" s="448"/>
      <c r="P54" s="448"/>
      <c r="Q54" s="448"/>
      <c r="R54" s="448"/>
      <c r="S54" s="448"/>
      <c r="T54" s="448"/>
      <c r="U54" s="448"/>
      <c r="V54" s="448"/>
      <c r="W54" s="448"/>
      <c r="X54" s="447" t="str">
        <f t="shared" ref="X54" si="46">IF(AQ55="","",SUM(M54:W54)-(-(AQ55-SUM(M54:W54))/$AQ$3)*SUM($M$2:$W$2))</f>
        <v/>
      </c>
      <c r="Y54" s="466">
        <v>0</v>
      </c>
      <c r="Z54" s="533">
        <f>+X56</f>
        <v>0</v>
      </c>
      <c r="AA54" s="447">
        <f t="shared" si="0"/>
        <v>0</v>
      </c>
      <c r="AB54" s="343">
        <f>+AC54+AA54</f>
        <v>3475</v>
      </c>
      <c r="AC54" s="343">
        <v>3475</v>
      </c>
      <c r="AD54" s="344"/>
      <c r="AE54" s="345"/>
      <c r="AF54" s="346"/>
      <c r="AG54" s="347">
        <f t="shared" si="1"/>
        <v>0</v>
      </c>
      <c r="AH54" s="341">
        <f t="shared" si="2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1.35">
      <c r="B55" s="351">
        <v>11</v>
      </c>
      <c r="C55" s="406">
        <f>+B55</f>
        <v>11</v>
      </c>
      <c r="D55" s="407" t="s">
        <v>436</v>
      </c>
      <c r="E55" s="111"/>
      <c r="F55" s="111" t="s">
        <v>35</v>
      </c>
      <c r="G55" s="541" t="str">
        <f t="shared" ref="G55:G57" si="47">+G54</f>
        <v>2076-780-803</v>
      </c>
      <c r="H55" s="111"/>
      <c r="I55" s="111" t="s">
        <v>38</v>
      </c>
      <c r="J55" s="113">
        <v>38.729999999999997</v>
      </c>
      <c r="K55" s="130">
        <v>58</v>
      </c>
      <c r="L55" s="101" t="s">
        <v>17</v>
      </c>
      <c r="M55" s="214">
        <v>13</v>
      </c>
      <c r="N55" s="214"/>
      <c r="O55" s="214"/>
      <c r="P55" s="214"/>
      <c r="Q55" s="214"/>
      <c r="R55" s="214"/>
      <c r="S55" s="214">
        <v>14</v>
      </c>
      <c r="T55" s="214"/>
      <c r="U55" s="214"/>
      <c r="V55" s="214"/>
      <c r="W55" s="214"/>
      <c r="X55" s="123">
        <f>+IF(H56="s",0,IF(AA55=0,0,IF(COUNTA(M55:W55)=AK57+0.75,SUMIF($C:$C,B55,$AA:$AA)/AK57,SUMIF($C:$C,B55,$AA:$AA)/(COUNTA(M55:W55)))))</f>
        <v>0</v>
      </c>
      <c r="Y55" s="466"/>
      <c r="Z55" s="534"/>
      <c r="AA55" s="134">
        <f t="shared" si="0"/>
        <v>27</v>
      </c>
      <c r="AB55" s="354">
        <f>+AA55+AC55</f>
        <v>3457</v>
      </c>
      <c r="AC55" s="354">
        <v>3430</v>
      </c>
      <c r="AD55" s="355">
        <f>+AB54-AB55</f>
        <v>18</v>
      </c>
      <c r="AE55" s="131">
        <f>+IF(((AA56+(AA57/2))*60)=0,"",(J55*AA55)/((AA56+(AA57/2))*60))</f>
        <v>4.357124999999999</v>
      </c>
      <c r="AF55" s="347">
        <f>+AA56+AA57/2</f>
        <v>4</v>
      </c>
      <c r="AG55" s="347">
        <f t="shared" si="1"/>
        <v>4</v>
      </c>
      <c r="AH55" s="341">
        <f t="shared" si="2"/>
        <v>240</v>
      </c>
      <c r="AI55" s="341">
        <f>+AA55*J55</f>
        <v>1045.7099999999998</v>
      </c>
      <c r="AJ55" s="356">
        <f>+AA55-(AF55*K55/K57)</f>
        <v>21.476190476190474</v>
      </c>
      <c r="AK55" s="348"/>
      <c r="AL55" s="349"/>
      <c r="AM55" s="341"/>
      <c r="AN55" s="341"/>
      <c r="AO55" s="341"/>
      <c r="AP55" s="341"/>
      <c r="AQ55" s="339"/>
      <c r="AR55" s="434"/>
      <c r="AT55" s="390">
        <v>45</v>
      </c>
      <c r="AV55" s="390">
        <f t="shared" ref="AV55" si="48">+AT55-AD55</f>
        <v>27</v>
      </c>
      <c r="AW55" s="535"/>
      <c r="AX55" s="535"/>
      <c r="AY55" s="535"/>
      <c r="AZ55" s="535"/>
      <c r="BA55" s="535"/>
      <c r="BB55" s="535"/>
      <c r="BC55" s="535"/>
      <c r="BD55" s="535"/>
      <c r="BE55" s="535"/>
      <c r="BF55" s="535"/>
    </row>
    <row r="56" spans="2:58" s="98" customFormat="1" ht="62.25" customHeight="1" x14ac:dyDescent="0.9">
      <c r="B56" s="357">
        <f>+B55</f>
        <v>11</v>
      </c>
      <c r="C56" s="408"/>
      <c r="D56" s="184"/>
      <c r="E56" s="111">
        <f>+B55</f>
        <v>11</v>
      </c>
      <c r="F56" s="412"/>
      <c r="G56" s="541" t="str">
        <f t="shared" si="47"/>
        <v>2076-780-803</v>
      </c>
      <c r="H56" s="411" t="s">
        <v>414</v>
      </c>
      <c r="I56" s="113">
        <f>+IFERROR(IF(K57=0,0,IF((LOOKUP(2,1/(M56:W56&lt;&gt;""),M56:W56)-K57)&lt;0,0,IF(K57=0,"",LOOKUP(2,1/(M56:W56&lt;&gt;""),M56:W56)-K57))),0)</f>
        <v>0</v>
      </c>
      <c r="J56" s="113">
        <v>1</v>
      </c>
      <c r="K56" s="114" t="s">
        <v>22</v>
      </c>
      <c r="L56" s="102" t="s">
        <v>18</v>
      </c>
      <c r="M56" s="448">
        <v>3</v>
      </c>
      <c r="N56" s="448"/>
      <c r="O56" s="448"/>
      <c r="P56" s="448"/>
      <c r="Q56" s="448"/>
      <c r="R56" s="448"/>
      <c r="S56" s="448">
        <v>1</v>
      </c>
      <c r="T56" s="448"/>
      <c r="U56" s="448"/>
      <c r="V56" s="448"/>
      <c r="W56" s="448"/>
      <c r="X56" s="160">
        <f>+IF(H56="l",IF(COUNTA(M55:W55)=AK57+0.75,AA55-K55*AK57,AA55-(K55*COUNTA(M55:W55))),IF(H56="s",0,IF(COUNTA(M55:W55)=AK57+0.75,SUMIF($C:$C,B55,$AA:$AA)-K55*AK57,SUMIF($C:$C,B55,$AA:$AA)-K55*COUNTA(M55:W55))))</f>
        <v>0</v>
      </c>
      <c r="Y56" s="466"/>
      <c r="Z56" s="534"/>
      <c r="AA56" s="462">
        <f t="shared" ref="AA56:AA57" si="49">+SUM(M56:W56)-T56*0.75</f>
        <v>4</v>
      </c>
      <c r="AB56" s="360"/>
      <c r="AC56" s="360"/>
      <c r="AD56" s="362"/>
      <c r="AE56" s="363"/>
      <c r="AF56" s="346"/>
      <c r="AG56" s="347">
        <f t="shared" si="1"/>
        <v>0</v>
      </c>
      <c r="AH56" s="341">
        <f t="shared" si="2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4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11</v>
      </c>
      <c r="C57" s="410"/>
      <c r="D57" s="174" t="s">
        <v>418</v>
      </c>
      <c r="E57" s="175">
        <f>+E56+100</f>
        <v>111</v>
      </c>
      <c r="F57" s="175"/>
      <c r="G57" s="542" t="str">
        <f t="shared" si="47"/>
        <v>2076-780-803</v>
      </c>
      <c r="H57" s="117"/>
      <c r="I57" s="442"/>
      <c r="J57" s="165">
        <f>+IF(K57="","",IF(K55=0,"",(K55*J55)/(K57*60)))</f>
        <v>0.89140476190476181</v>
      </c>
      <c r="K57" s="118">
        <v>42</v>
      </c>
      <c r="L57" s="104" t="s">
        <v>422</v>
      </c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173"/>
      <c r="Y57" s="467">
        <v>34.818965517241381</v>
      </c>
      <c r="Z57" s="371">
        <f>+IF(COUNTA(M55:W55)=$AJ$4+0.25,$AJ$4-(AA55/K55),COUNTA(M55:W55)-(AA55/K55))+Y57</f>
        <v>36.353448275862071</v>
      </c>
      <c r="AA57" s="465">
        <f t="shared" si="49"/>
        <v>0</v>
      </c>
      <c r="AB57" s="367"/>
      <c r="AC57" s="367"/>
      <c r="AD57" s="368">
        <f>+IFERROR(AD55/(K55*$AQ$3),"")</f>
        <v>3.5467980295566505E-2</v>
      </c>
      <c r="AE57" s="369"/>
      <c r="AF57" s="347"/>
      <c r="AG57" s="347">
        <f t="shared" si="1"/>
        <v>0</v>
      </c>
      <c r="AH57" s="341">
        <f t="shared" si="2"/>
        <v>0</v>
      </c>
      <c r="AI57" s="341"/>
      <c r="AJ57" s="356"/>
      <c r="AK57" s="370">
        <f>+$AJ$4</f>
        <v>7.25</v>
      </c>
      <c r="AL57" s="349">
        <f>+IF(AK57=7.75,SUM(M57:S57)+T57*0.75,IF(AK57=8,SUM(M57:T57),IF(AK57=7.25,SUM(M57:S57)+T57*0.25,IF(AK57=8.25,SUM(M57:T57)+U57*0.25,IF(AK57=8.75,SUM(M57:T57)+U57*0.75,0)))))</f>
        <v>0</v>
      </c>
      <c r="AM57" s="341">
        <f>+AL57-AA57</f>
        <v>0</v>
      </c>
      <c r="AN57" s="341"/>
      <c r="AO57" s="341"/>
      <c r="AP57" s="341"/>
      <c r="AQ57" s="369"/>
      <c r="AR57" s="434"/>
      <c r="AT57" s="390">
        <v>8.8669950738916259E-2</v>
      </c>
      <c r="AV57" s="390"/>
    </row>
    <row r="58" spans="2:58" s="98" customFormat="1" ht="62.25" customHeight="1" thickTop="1" x14ac:dyDescent="0.9">
      <c r="B58" s="342">
        <f>+B59</f>
        <v>11</v>
      </c>
      <c r="C58" s="405"/>
      <c r="D58" s="106"/>
      <c r="E58" s="106"/>
      <c r="F58" s="106"/>
      <c r="G58" s="540" t="s">
        <v>481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180</v>
      </c>
      <c r="N58" s="448">
        <v>180</v>
      </c>
      <c r="O58" s="448"/>
      <c r="P58" s="448"/>
      <c r="Q58" s="448"/>
      <c r="R58" s="448"/>
      <c r="S58" s="448"/>
      <c r="T58" s="448"/>
      <c r="U58" s="448"/>
      <c r="V58" s="448"/>
      <c r="W58" s="448"/>
      <c r="X58" s="447">
        <f t="shared" ref="X58" si="50">IF(AQ59="","",SUM(M58:W58)-(-(AQ59-SUM(M58:W58))/$AQ$3)*SUM($M$2:$W$2))</f>
        <v>360</v>
      </c>
      <c r="Y58" s="466">
        <v>-366</v>
      </c>
      <c r="Z58" s="533">
        <f>+X60</f>
        <v>-230</v>
      </c>
      <c r="AA58" s="447">
        <f t="shared" si="0"/>
        <v>360</v>
      </c>
      <c r="AB58" s="343">
        <f>+AC58+AA58</f>
        <v>1140</v>
      </c>
      <c r="AC58" s="343">
        <v>780</v>
      </c>
      <c r="AD58" s="344"/>
      <c r="AE58" s="345"/>
      <c r="AF58" s="346"/>
      <c r="AG58" s="347">
        <f t="shared" si="1"/>
        <v>0</v>
      </c>
      <c r="AH58" s="341">
        <f t="shared" si="2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1.35">
      <c r="B59" s="351">
        <v>11</v>
      </c>
      <c r="C59" s="406">
        <f>+B59</f>
        <v>11</v>
      </c>
      <c r="D59" s="407" t="s">
        <v>480</v>
      </c>
      <c r="E59" s="111"/>
      <c r="F59" s="111" t="s">
        <v>35</v>
      </c>
      <c r="G59" s="541" t="str">
        <f t="shared" ref="G59:G61" si="51">+G58</f>
        <v>2396-593-600</v>
      </c>
      <c r="H59" s="111"/>
      <c r="I59" s="111" t="s">
        <v>33</v>
      </c>
      <c r="J59" s="113">
        <v>38.82</v>
      </c>
      <c r="K59" s="130">
        <v>60</v>
      </c>
      <c r="L59" s="101" t="s">
        <v>17</v>
      </c>
      <c r="M59" s="214">
        <v>0</v>
      </c>
      <c r="N59" s="214">
        <v>15</v>
      </c>
      <c r="O59" s="214">
        <v>20</v>
      </c>
      <c r="P59" s="214">
        <v>30</v>
      </c>
      <c r="Q59" s="214">
        <v>40</v>
      </c>
      <c r="R59" s="214">
        <v>45</v>
      </c>
      <c r="S59" s="214">
        <v>45</v>
      </c>
      <c r="T59" s="214">
        <v>10</v>
      </c>
      <c r="U59" s="214"/>
      <c r="V59" s="214"/>
      <c r="W59" s="214"/>
      <c r="X59" s="123">
        <f>+IF(H60="s",0,IF(AA59=0,0,IF(COUNTA(M59:W59)=AK61+0.75,SUMIF($C:$C,B59,$AA:$AA)/AK61,SUMIF($C:$C,B59,$AA:$AA)/(COUNTA(M59:W59)))))</f>
        <v>32</v>
      </c>
      <c r="Y59" s="466"/>
      <c r="Z59" s="534"/>
      <c r="AA59" s="134">
        <f t="shared" si="0"/>
        <v>205</v>
      </c>
      <c r="AB59" s="354">
        <f>+AA59+AC59</f>
        <v>205</v>
      </c>
      <c r="AC59" s="354">
        <v>0</v>
      </c>
      <c r="AD59" s="355">
        <f>+AB58-AB59</f>
        <v>935</v>
      </c>
      <c r="AE59" s="131">
        <f>+IF(((AA60+(AA61/2))*60)=0,"",(J59*AA59)/((AA60+(AA61/2))*60))</f>
        <v>0.42106349206349208</v>
      </c>
      <c r="AF59" s="347">
        <f>+AA60+AA61/2</f>
        <v>315</v>
      </c>
      <c r="AG59" s="347">
        <f t="shared" si="1"/>
        <v>315</v>
      </c>
      <c r="AH59" s="341">
        <f t="shared" si="2"/>
        <v>18900</v>
      </c>
      <c r="AI59" s="341">
        <f>+AA59*J59</f>
        <v>7958.1</v>
      </c>
      <c r="AJ59" s="356">
        <f>+AA59-(AF59*K59/K61)</f>
        <v>-234.53488372093022</v>
      </c>
      <c r="AK59" s="348"/>
      <c r="AL59" s="349"/>
      <c r="AM59" s="341"/>
      <c r="AN59" s="341"/>
      <c r="AO59" s="341"/>
      <c r="AP59" s="341"/>
      <c r="AQ59" s="339">
        <f>-300+AA58</f>
        <v>60</v>
      </c>
      <c r="AR59" s="434"/>
      <c r="AT59" s="390">
        <v>780</v>
      </c>
      <c r="AV59" s="390">
        <f t="shared" ref="AV59" si="52">+AT59-AD59</f>
        <v>-155</v>
      </c>
      <c r="AW59" s="535"/>
      <c r="AX59" s="535"/>
      <c r="AY59" s="535"/>
      <c r="AZ59" s="535"/>
      <c r="BA59" s="535"/>
      <c r="BB59" s="535"/>
      <c r="BC59" s="535"/>
      <c r="BD59" s="535"/>
      <c r="BE59" s="535"/>
      <c r="BF59" s="535"/>
    </row>
    <row r="60" spans="2:58" s="98" customFormat="1" ht="62.25" customHeight="1" x14ac:dyDescent="0.9">
      <c r="B60" s="357">
        <f>+B59</f>
        <v>11</v>
      </c>
      <c r="C60" s="408"/>
      <c r="D60" s="184"/>
      <c r="E60" s="111">
        <f>+B59</f>
        <v>11</v>
      </c>
      <c r="F60" s="412"/>
      <c r="G60" s="541" t="str">
        <f t="shared" si="51"/>
        <v>2396-593-600</v>
      </c>
      <c r="H60" s="411" t="s">
        <v>412</v>
      </c>
      <c r="I60" s="113">
        <f>+IFERROR(IF(K61=0,0,IF((LOOKUP(2,1/(M60:W60&lt;&gt;""),M60:W60)-K61)&lt;0,0,IF(K61=0,"",LOOKUP(2,1/(M60:W60&lt;&gt;""),M60:W60)-K61))),0)</f>
        <v>1</v>
      </c>
      <c r="J60" s="113"/>
      <c r="K60" s="114" t="s">
        <v>22</v>
      </c>
      <c r="L60" s="102" t="s">
        <v>18</v>
      </c>
      <c r="M60" s="448">
        <v>41</v>
      </c>
      <c r="N60" s="448">
        <v>44</v>
      </c>
      <c r="O60" s="448">
        <v>44</v>
      </c>
      <c r="P60" s="448">
        <v>44</v>
      </c>
      <c r="Q60" s="448">
        <v>44</v>
      </c>
      <c r="R60" s="448">
        <v>44</v>
      </c>
      <c r="S60" s="448">
        <v>43</v>
      </c>
      <c r="T60" s="448">
        <v>44</v>
      </c>
      <c r="U60" s="448"/>
      <c r="V60" s="448"/>
      <c r="W60" s="448"/>
      <c r="X60" s="160">
        <f>+IF(H60="l",IF(COUNTA(M59:W59)=AK61+0.75,AA59-K59*AK61,AA59-(K59*COUNTA(M59:W59))),IF(H60="s",0,IF(COUNTA(M59:W59)=AK61+0.75,SUMIF($C:$C,B59,$AA:$AA)-K59*AK61,SUMIF($C:$C,B59,$AA:$AA)-K59*COUNTA(M59:W59))))</f>
        <v>-230</v>
      </c>
      <c r="Y60" s="466"/>
      <c r="Z60" s="534"/>
      <c r="AA60" s="462">
        <f t="shared" ref="AA60:AA61" si="53">+SUM(M60:W60)-T60*0.75</f>
        <v>315</v>
      </c>
      <c r="AB60" s="360"/>
      <c r="AC60" s="360"/>
      <c r="AD60" s="362"/>
      <c r="AE60" s="363"/>
      <c r="AF60" s="346"/>
      <c r="AG60" s="347">
        <f t="shared" si="1"/>
        <v>0</v>
      </c>
      <c r="AH60" s="341">
        <f t="shared" si="2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315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11</v>
      </c>
      <c r="C61" s="410"/>
      <c r="D61" s="174" t="s">
        <v>418</v>
      </c>
      <c r="E61" s="175">
        <f>+E60+100</f>
        <v>111</v>
      </c>
      <c r="F61" s="175"/>
      <c r="G61" s="542" t="str">
        <f t="shared" si="51"/>
        <v>2396-593-600</v>
      </c>
      <c r="H61" s="117"/>
      <c r="I61" s="442"/>
      <c r="J61" s="165">
        <f>+IF(K61="","",IF(K59=0,"",(K59*J59)/(K61*60)))</f>
        <v>0.90279069767441855</v>
      </c>
      <c r="K61" s="118">
        <v>43</v>
      </c>
      <c r="L61" s="104" t="s">
        <v>422</v>
      </c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173"/>
      <c r="Y61" s="467">
        <v>5.3705999999999996</v>
      </c>
      <c r="Z61" s="371">
        <f>+IF(COUNTA(M59:W59)=$AJ$4+0.25,$AJ$4-(AA59/K59),COUNTA(M59:W59)-(AA59/K59))+Y61</f>
        <v>9.9539333333333335</v>
      </c>
      <c r="AA61" s="465">
        <f t="shared" si="53"/>
        <v>0</v>
      </c>
      <c r="AB61" s="367"/>
      <c r="AC61" s="367"/>
      <c r="AD61" s="368">
        <f>+IFERROR(AD59/(K59*$AQ$3),"")</f>
        <v>1.7809523809523808</v>
      </c>
      <c r="AE61" s="369"/>
      <c r="AF61" s="347"/>
      <c r="AG61" s="347">
        <f t="shared" si="1"/>
        <v>0</v>
      </c>
      <c r="AH61" s="341">
        <f t="shared" si="2"/>
        <v>0</v>
      </c>
      <c r="AI61" s="341"/>
      <c r="AJ61" s="356"/>
      <c r="AK61" s="370">
        <f>+$AJ$4</f>
        <v>7.25</v>
      </c>
      <c r="AL61" s="349">
        <f>+IF(AK61=7.75,SUM(M61:S61)+T61*0.75,IF(AK61=8,SUM(M61:T61),IF(AK61=7.25,SUM(M61:S61)+T61*0.25,IF(AK61=8.25,SUM(M61:T61)+U61*0.25,IF(AK61=8.75,SUM(M61:T61)+U61*0.75,0)))))</f>
        <v>0</v>
      </c>
      <c r="AM61" s="341">
        <f>+AL61-AA61</f>
        <v>0</v>
      </c>
      <c r="AN61" s="341"/>
      <c r="AO61" s="341"/>
      <c r="AP61" s="341"/>
      <c r="AQ61" s="369"/>
      <c r="AR61" s="434"/>
      <c r="AT61" s="390">
        <v>1.4613583138173303</v>
      </c>
      <c r="AV61" s="390"/>
    </row>
    <row r="62" spans="2:58" s="98" customFormat="1" ht="62.25" customHeight="1" thickTop="1" x14ac:dyDescent="0.9">
      <c r="B62" s="342">
        <f>+B63</f>
        <v>12</v>
      </c>
      <c r="C62" s="405"/>
      <c r="D62" s="106"/>
      <c r="E62" s="106"/>
      <c r="F62" s="106"/>
      <c r="G62" s="539"/>
      <c r="H62" s="106"/>
      <c r="I62" s="106"/>
      <c r="J62" s="107" t="s">
        <v>20</v>
      </c>
      <c r="K62" s="108" t="s">
        <v>23</v>
      </c>
      <c r="L62" s="100" t="s">
        <v>21</v>
      </c>
      <c r="M62" s="453"/>
      <c r="N62" s="453"/>
      <c r="O62" s="453"/>
      <c r="P62" s="453"/>
      <c r="Q62" s="453"/>
      <c r="R62" s="453"/>
      <c r="S62" s="453"/>
      <c r="T62" s="453"/>
      <c r="U62" s="453"/>
      <c r="V62" s="453"/>
      <c r="W62" s="453"/>
      <c r="X62" s="447" t="str">
        <f t="shared" ref="X62" si="54">IF(AQ63="","",SUM(M62:W62)-(-(AQ63-SUM(M62:W62))/$AQ$3)*SUM($M$2:$W$2))</f>
        <v/>
      </c>
      <c r="Y62" s="466">
        <v>0</v>
      </c>
      <c r="Z62" s="533">
        <f>+X64</f>
        <v>0</v>
      </c>
      <c r="AA62" s="447">
        <f t="shared" si="0"/>
        <v>0</v>
      </c>
      <c r="AB62" s="343">
        <f>+AC62+AA62</f>
        <v>0</v>
      </c>
      <c r="AC62" s="343">
        <v>0</v>
      </c>
      <c r="AD62" s="344"/>
      <c r="AE62" s="345"/>
      <c r="AF62" s="346"/>
      <c r="AG62" s="347"/>
      <c r="AH62" s="341"/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0.9">
      <c r="B63" s="351">
        <v>12</v>
      </c>
      <c r="C63" s="406">
        <v>12</v>
      </c>
      <c r="D63" s="407"/>
      <c r="E63" s="111"/>
      <c r="F63" s="111"/>
      <c r="G63" s="539"/>
      <c r="H63" s="111"/>
      <c r="I63" s="111"/>
      <c r="J63" s="113"/>
      <c r="K63" s="130"/>
      <c r="L63" s="101" t="s">
        <v>17</v>
      </c>
      <c r="M63" s="454"/>
      <c r="N63" s="454"/>
      <c r="O63" s="454"/>
      <c r="P63" s="454"/>
      <c r="Q63" s="454"/>
      <c r="R63" s="454"/>
      <c r="S63" s="454"/>
      <c r="T63" s="454"/>
      <c r="U63" s="454"/>
      <c r="V63" s="454"/>
      <c r="W63" s="454"/>
      <c r="X63" s="123">
        <f>+IF(H64="s",0,IF(AA63=0,0,IF(COUNTA(M63:W63)=AK65+0.75,SUMIF($C:$C,B63,$AA:$AA)/AK65,SUMIF($C:$C,B63,$AA:$AA)/(COUNTA(M63:W63)))))</f>
        <v>0</v>
      </c>
      <c r="Y63" s="466"/>
      <c r="Z63" s="534"/>
      <c r="AA63" s="134">
        <f t="shared" si="0"/>
        <v>0</v>
      </c>
      <c r="AB63" s="354">
        <f>+AA63+AC63</f>
        <v>0</v>
      </c>
      <c r="AC63" s="354">
        <v>0</v>
      </c>
      <c r="AD63" s="355">
        <f>+AB62-AB63</f>
        <v>0</v>
      </c>
      <c r="AE63" s="131" t="str">
        <f>+IF(((AA64+(AA65/2))*60)=0,"",(J63*AA63)/((AA64+(AA65/2))*60))</f>
        <v/>
      </c>
      <c r="AF63" s="347"/>
      <c r="AG63" s="347"/>
      <c r="AH63" s="341"/>
      <c r="AI63" s="341"/>
      <c r="AJ63" s="356"/>
      <c r="AK63" s="348"/>
      <c r="AL63" s="349"/>
      <c r="AM63" s="341"/>
      <c r="AN63" s="341"/>
      <c r="AO63" s="341"/>
      <c r="AP63" s="341"/>
      <c r="AQ63" s="339" t="str">
        <f t="shared" si="11"/>
        <v/>
      </c>
      <c r="AR63" s="434"/>
      <c r="AT63" s="390">
        <v>0</v>
      </c>
      <c r="AV63" s="390">
        <f t="shared" ref="AV63" si="55">+AT63-AD63</f>
        <v>0</v>
      </c>
    </row>
    <row r="64" spans="2:58" s="98" customFormat="1" ht="62.25" customHeight="1" x14ac:dyDescent="0.9">
      <c r="B64" s="357">
        <f>+B63</f>
        <v>12</v>
      </c>
      <c r="C64" s="408"/>
      <c r="D64" s="184"/>
      <c r="E64" s="111">
        <f>+B63</f>
        <v>12</v>
      </c>
      <c r="F64" s="409"/>
      <c r="G64" s="539"/>
      <c r="H64" s="411"/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53"/>
      <c r="N64" s="453"/>
      <c r="O64" s="453"/>
      <c r="P64" s="453"/>
      <c r="Q64" s="453"/>
      <c r="R64" s="453"/>
      <c r="S64" s="453"/>
      <c r="T64" s="453"/>
      <c r="U64" s="453"/>
      <c r="V64" s="453"/>
      <c r="W64" s="453"/>
      <c r="X64" s="160">
        <f>+IF(H64="l",IF(COUNTA(M63:W63)=AK65+0.75,AA63-K63*AK65,AA63-(K63*COUNTA(M63:W63))),IF(H64="s",0,IF(COUNTA(M63:W63)=AK65+0.75,SUMIF($C:$C,B63,$AA:$AA)-K63*AK65,SUMIF($C:$C,B63,$AA:$AA)-K63*COUNTA(M63:W63))))</f>
        <v>0</v>
      </c>
      <c r="Y64" s="466"/>
      <c r="Z64" s="534"/>
      <c r="AA64" s="462">
        <f t="shared" ref="AA64:AA65" si="56">+SUM(M64:W64)-T64*0.75</f>
        <v>0</v>
      </c>
      <c r="AB64" s="360"/>
      <c r="AC64" s="360"/>
      <c r="AD64" s="362"/>
      <c r="AE64" s="363"/>
      <c r="AF64" s="346"/>
      <c r="AG64" s="347"/>
      <c r="AH64" s="341"/>
      <c r="AI64" s="341"/>
      <c r="AJ64" s="341"/>
      <c r="AK64" s="348"/>
      <c r="AL64" s="349"/>
      <c r="AM64" s="341"/>
      <c r="AN64" s="341"/>
      <c r="AO64" s="341"/>
      <c r="AP64" s="341"/>
      <c r="AQ64" s="438"/>
      <c r="AR64" s="434"/>
      <c r="AT64" s="390"/>
      <c r="AV64" s="390"/>
    </row>
    <row r="65" spans="2:48" s="98" customFormat="1" ht="62.25" customHeight="1" thickBot="1" x14ac:dyDescent="0.95">
      <c r="B65" s="364">
        <f>+B63</f>
        <v>12</v>
      </c>
      <c r="C65" s="410"/>
      <c r="D65" s="174"/>
      <c r="E65" s="175">
        <f>+E64+100</f>
        <v>112</v>
      </c>
      <c r="F65" s="175"/>
      <c r="G65" s="539"/>
      <c r="H65" s="117"/>
      <c r="I65" s="442"/>
      <c r="J65" s="165" t="str">
        <f>+IF(K65="","",IF(K63=0,"",(K63*J63)/(K65*60)))</f>
        <v/>
      </c>
      <c r="K65" s="118"/>
      <c r="L65" s="104" t="s">
        <v>19</v>
      </c>
      <c r="M65" s="455"/>
      <c r="N65" s="455"/>
      <c r="O65" s="455"/>
      <c r="P65" s="455"/>
      <c r="Q65" s="455"/>
      <c r="R65" s="455"/>
      <c r="S65" s="455"/>
      <c r="T65" s="455"/>
      <c r="U65" s="455"/>
      <c r="V65" s="455"/>
      <c r="W65" s="455"/>
      <c r="X65" s="173"/>
      <c r="Y65" s="467"/>
      <c r="Z65" s="371"/>
      <c r="AA65" s="465">
        <f t="shared" si="56"/>
        <v>0</v>
      </c>
      <c r="AB65" s="367"/>
      <c r="AC65" s="367"/>
      <c r="AD65" s="368" t="str">
        <f>+IFERROR(AD63/(K63*$AQ$3),"")</f>
        <v/>
      </c>
      <c r="AE65" s="369"/>
      <c r="AF65" s="347"/>
      <c r="AG65" s="347"/>
      <c r="AH65" s="341"/>
      <c r="AI65" s="341"/>
      <c r="AJ65" s="356"/>
      <c r="AK65" s="370">
        <f>+$AJ$4</f>
        <v>7.25</v>
      </c>
      <c r="AL65" s="349"/>
      <c r="AM65" s="341"/>
      <c r="AN65" s="341"/>
      <c r="AO65" s="341"/>
      <c r="AP65" s="341"/>
      <c r="AQ65" s="369"/>
      <c r="AR65" s="434"/>
      <c r="AT65" s="390" t="s">
        <v>416</v>
      </c>
      <c r="AV65" s="390"/>
    </row>
    <row r="66" spans="2:48" s="98" customFormat="1" ht="62.25" customHeight="1" thickTop="1" x14ac:dyDescent="0.9">
      <c r="B66" s="342">
        <f>+B67</f>
        <v>13</v>
      </c>
      <c r="C66" s="405"/>
      <c r="D66" s="106"/>
      <c r="E66" s="106"/>
      <c r="F66" s="106"/>
      <c r="G66" s="540" t="s">
        <v>432</v>
      </c>
      <c r="H66" s="106"/>
      <c r="I66" s="106"/>
      <c r="J66" s="107" t="s">
        <v>20</v>
      </c>
      <c r="K66" s="108" t="s">
        <v>23</v>
      </c>
      <c r="L66" s="100" t="s">
        <v>21</v>
      </c>
      <c r="M66" s="448"/>
      <c r="N66" s="448"/>
      <c r="O66" s="448"/>
      <c r="P66" s="448"/>
      <c r="Q66" s="448"/>
      <c r="R66" s="448"/>
      <c r="S66" s="448"/>
      <c r="T66" s="448"/>
      <c r="U66" s="448"/>
      <c r="V66" s="448"/>
      <c r="W66" s="448"/>
      <c r="X66" s="447" t="str">
        <f t="shared" ref="X66" si="57">IF(AQ67="","",SUM(M66:W66)-(-(AQ67-SUM(M66:W66))/$AQ$3)*SUM($M$2:$W$2))</f>
        <v/>
      </c>
      <c r="Y66" s="466">
        <v>-51</v>
      </c>
      <c r="Z66" s="533">
        <f>+X68</f>
        <v>-92</v>
      </c>
      <c r="AA66" s="447">
        <f t="shared" si="0"/>
        <v>0</v>
      </c>
      <c r="AB66" s="343">
        <f>+AC66+AA66</f>
        <v>5811</v>
      </c>
      <c r="AC66" s="343">
        <v>5811</v>
      </c>
      <c r="AD66" s="344"/>
      <c r="AE66" s="345"/>
      <c r="AF66" s="346"/>
      <c r="AG66" s="347">
        <f t="shared" si="1"/>
        <v>0</v>
      </c>
      <c r="AH66" s="341">
        <f t="shared" si="2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48" s="98" customFormat="1" ht="62.25" customHeight="1" x14ac:dyDescent="0.9">
      <c r="B67" s="351">
        <v>13</v>
      </c>
      <c r="C67" s="406">
        <f>+B67</f>
        <v>13</v>
      </c>
      <c r="D67" s="407" t="s">
        <v>431</v>
      </c>
      <c r="E67" s="111"/>
      <c r="F67" s="111" t="s">
        <v>35</v>
      </c>
      <c r="G67" s="541" t="str">
        <f t="shared" ref="G67:G69" si="58">+G66</f>
        <v>2158-755-712</v>
      </c>
      <c r="H67" s="111"/>
      <c r="I67" s="111" t="s">
        <v>33</v>
      </c>
      <c r="J67" s="113">
        <v>51.42</v>
      </c>
      <c r="K67" s="130">
        <v>52</v>
      </c>
      <c r="L67" s="101" t="s">
        <v>17</v>
      </c>
      <c r="M67" s="214">
        <v>40</v>
      </c>
      <c r="N67" s="214">
        <v>45</v>
      </c>
      <c r="O67" s="214">
        <v>40</v>
      </c>
      <c r="P67" s="214">
        <v>46</v>
      </c>
      <c r="Q67" s="214">
        <v>45</v>
      </c>
      <c r="R67" s="214">
        <v>40</v>
      </c>
      <c r="S67" s="214">
        <v>20</v>
      </c>
      <c r="T67" s="214">
        <v>9</v>
      </c>
      <c r="U67" s="214"/>
      <c r="V67" s="214"/>
      <c r="W67" s="214"/>
      <c r="X67" s="123">
        <f>+IF(H68="s",0,IF(AA67=0,0,IF(COUNTA(M67:W67)=AK69+0.75,SUMIF($C:$C,B67,$AA:$AA)/AK69,SUMIF($C:$C,B67,$AA:$AA)/(COUNTA(M67:W67)))))</f>
        <v>39.310344827586206</v>
      </c>
      <c r="Y67" s="466"/>
      <c r="Z67" s="534"/>
      <c r="AA67" s="134">
        <f t="shared" si="0"/>
        <v>285</v>
      </c>
      <c r="AB67" s="354">
        <f>+AA67+AC67</f>
        <v>5552</v>
      </c>
      <c r="AC67" s="354">
        <v>5267</v>
      </c>
      <c r="AD67" s="355">
        <f>+AB66-AB67</f>
        <v>259</v>
      </c>
      <c r="AE67" s="131">
        <f>+IF(((AA68+(AA69/2))*60)=0,"",(J67*AA67)/((AA68+(AA69/2))*60))</f>
        <v>0.7323688155922039</v>
      </c>
      <c r="AF67" s="347">
        <f>+AA68+AA69/2</f>
        <v>333.5</v>
      </c>
      <c r="AG67" s="347">
        <f t="shared" si="1"/>
        <v>333.3</v>
      </c>
      <c r="AH67" s="341">
        <f t="shared" si="2"/>
        <v>20010</v>
      </c>
      <c r="AI67" s="341">
        <f>+AA67*J67</f>
        <v>14654.7</v>
      </c>
      <c r="AJ67" s="356">
        <f>+AA67-(AF67*K67/K69)</f>
        <v>-55.039215686274531</v>
      </c>
      <c r="AK67" s="348"/>
      <c r="AL67" s="349"/>
      <c r="AM67" s="341"/>
      <c r="AN67" s="341"/>
      <c r="AO67" s="341"/>
      <c r="AP67" s="341"/>
      <c r="AQ67" s="339"/>
      <c r="AR67" s="434"/>
      <c r="AT67" s="390">
        <v>544</v>
      </c>
      <c r="AV67" s="390">
        <f t="shared" ref="AV67" si="59">+AT67-AD67</f>
        <v>285</v>
      </c>
    </row>
    <row r="68" spans="2:48" s="98" customFormat="1" ht="62.25" customHeight="1" x14ac:dyDescent="0.9">
      <c r="B68" s="357">
        <f>+B67</f>
        <v>13</v>
      </c>
      <c r="C68" s="408"/>
      <c r="D68" s="184"/>
      <c r="E68" s="111">
        <f>+B67</f>
        <v>13</v>
      </c>
      <c r="F68" s="412"/>
      <c r="G68" s="541" t="str">
        <f t="shared" si="58"/>
        <v>2158-755-712</v>
      </c>
      <c r="H68" s="411"/>
      <c r="I68" s="113">
        <f>+IFERROR(IF(K69=0,0,IF((LOOKUP(2,1/(M68:W68&lt;&gt;""),M68:W68)-K69)&lt;0,0,IF(K69=0,"",LOOKUP(2,1/(M68:W68&lt;&gt;""),M68:W68)-K69))),0)</f>
        <v>0</v>
      </c>
      <c r="J68" s="113">
        <v>1</v>
      </c>
      <c r="K68" s="114" t="s">
        <v>22</v>
      </c>
      <c r="L68" s="102" t="s">
        <v>18</v>
      </c>
      <c r="M68" s="448">
        <v>46</v>
      </c>
      <c r="N68" s="448">
        <v>46</v>
      </c>
      <c r="O68" s="448">
        <v>46</v>
      </c>
      <c r="P68" s="448">
        <v>46</v>
      </c>
      <c r="Q68" s="448">
        <v>46</v>
      </c>
      <c r="R68" s="448">
        <v>46</v>
      </c>
      <c r="S68" s="448">
        <v>46</v>
      </c>
      <c r="T68" s="448">
        <v>46</v>
      </c>
      <c r="U68" s="448"/>
      <c r="V68" s="448"/>
      <c r="W68" s="448"/>
      <c r="X68" s="160">
        <f>+IF(H68="l",IF(COUNTA(M67:W67)=AK69+0.75,AA67-K67*AK69,AA67-(K67*COUNTA(M67:W67))),IF(H68="s",0,IF(COUNTA(M67:W67)=AK69+0.75,SUMIF($C:$C,B67,$AA:$AA)-K67*AK69,SUMIF($C:$C,B67,$AA:$AA)-K67*COUNTA(M67:W67))))</f>
        <v>-92</v>
      </c>
      <c r="Y68" s="466"/>
      <c r="Z68" s="534"/>
      <c r="AA68" s="462">
        <f t="shared" ref="AA68:AA69" si="60">+SUM(M68:W68)-T68*0.75</f>
        <v>333.5</v>
      </c>
      <c r="AB68" s="360"/>
      <c r="AC68" s="360"/>
      <c r="AD68" s="362"/>
      <c r="AE68" s="363"/>
      <c r="AF68" s="346"/>
      <c r="AG68" s="347">
        <f t="shared" si="1"/>
        <v>0</v>
      </c>
      <c r="AH68" s="341">
        <f t="shared" si="2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333.5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48" s="98" customFormat="1" ht="62.25" customHeight="1" thickBot="1" x14ac:dyDescent="0.95">
      <c r="B69" s="364">
        <f>+B67</f>
        <v>13</v>
      </c>
      <c r="C69" s="410"/>
      <c r="D69" s="174" t="s">
        <v>379</v>
      </c>
      <c r="E69" s="175">
        <f>+E68+100</f>
        <v>113</v>
      </c>
      <c r="F69" s="175"/>
      <c r="G69" s="542" t="str">
        <f t="shared" si="58"/>
        <v>2158-755-712</v>
      </c>
      <c r="H69" s="117"/>
      <c r="I69" s="442"/>
      <c r="J69" s="165">
        <f>+IF(K69="","",IF(K67=0,"",(K67*J67)/(K69*60)))</f>
        <v>0.87380392156862752</v>
      </c>
      <c r="K69" s="118">
        <v>51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>
        <v>30.54</v>
      </c>
      <c r="Z69" s="365">
        <v>30.54</v>
      </c>
      <c r="AA69" s="465">
        <f t="shared" si="60"/>
        <v>0</v>
      </c>
      <c r="AB69" s="367"/>
      <c r="AC69" s="367"/>
      <c r="AD69" s="368">
        <f>+IFERROR(AD67/(K67*$AQ$3),"")</f>
        <v>0.56923076923076921</v>
      </c>
      <c r="AE69" s="369"/>
      <c r="AF69" s="347"/>
      <c r="AG69" s="347">
        <f t="shared" si="1"/>
        <v>0</v>
      </c>
      <c r="AH69" s="341">
        <f t="shared" si="2"/>
        <v>0</v>
      </c>
      <c r="AI69" s="341"/>
      <c r="AJ69" s="356"/>
      <c r="AK69" s="370">
        <f>+$AJ$4</f>
        <v>7.25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1.1956043956043956</v>
      </c>
      <c r="AV69" s="390"/>
    </row>
    <row r="70" spans="2:48" s="98" customFormat="1" ht="62.25" customHeight="1" thickTop="1" x14ac:dyDescent="0.9">
      <c r="B70" s="342">
        <f>+B71</f>
        <v>13</v>
      </c>
      <c r="C70" s="405"/>
      <c r="D70" s="106"/>
      <c r="E70" s="106"/>
      <c r="F70" s="106"/>
      <c r="G70" s="539" t="s">
        <v>476</v>
      </c>
      <c r="H70" s="106"/>
      <c r="I70" s="106"/>
      <c r="J70" s="107" t="s">
        <v>20</v>
      </c>
      <c r="K70" s="108" t="s">
        <v>23</v>
      </c>
      <c r="L70" s="100" t="s">
        <v>21</v>
      </c>
      <c r="M70" s="448">
        <v>120</v>
      </c>
      <c r="N70" s="448">
        <v>120</v>
      </c>
      <c r="O70" s="448"/>
      <c r="P70" s="448"/>
      <c r="Q70" s="448">
        <v>60</v>
      </c>
      <c r="R70" s="448"/>
      <c r="S70" s="448"/>
      <c r="T70" s="448"/>
      <c r="U70" s="448"/>
      <c r="V70" s="448"/>
      <c r="W70" s="448"/>
      <c r="X70" s="447">
        <f t="shared" ref="X70" si="61">IF(AQ71="","",SUM(M70:W70)-(-(AQ71-SUM(M70:W70))/$AQ$3)*SUM($M$2:$W$2))</f>
        <v>300</v>
      </c>
      <c r="Y70" s="466">
        <v>0</v>
      </c>
      <c r="Z70" s="533">
        <f>+X72</f>
        <v>0</v>
      </c>
      <c r="AA70" s="447">
        <f t="shared" ref="AA70:AA99" si="62">+SUM(L70:W70)</f>
        <v>300</v>
      </c>
      <c r="AB70" s="343">
        <f>+AC70+AA70</f>
        <v>420</v>
      </c>
      <c r="AC70" s="343">
        <v>120</v>
      </c>
      <c r="AD70" s="344"/>
      <c r="AE70" s="345"/>
      <c r="AF70" s="346"/>
      <c r="AG70" s="347">
        <f t="shared" si="1"/>
        <v>0</v>
      </c>
      <c r="AH70" s="341">
        <f t="shared" si="2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48" s="98" customFormat="1" ht="62.25" customHeight="1" x14ac:dyDescent="0.9">
      <c r="B71" s="351">
        <v>13</v>
      </c>
      <c r="C71" s="406">
        <f>+B71</f>
        <v>13</v>
      </c>
      <c r="D71" s="407" t="s">
        <v>474</v>
      </c>
      <c r="E71" s="111"/>
      <c r="F71" s="111" t="s">
        <v>475</v>
      </c>
      <c r="G71" s="539" t="str">
        <f t="shared" ref="G71:G73" si="63">+G70</f>
        <v>Cheristina-blanc</v>
      </c>
      <c r="H71" s="111"/>
      <c r="I71" s="111" t="s">
        <v>477</v>
      </c>
      <c r="J71" s="113">
        <v>21.04</v>
      </c>
      <c r="K71" s="130">
        <v>140</v>
      </c>
      <c r="L71" s="101" t="s">
        <v>17</v>
      </c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123">
        <f>+IF(H72="s",0,IF(AA71=0,0,IF(COUNTA(M71:W71)=AK73+0.75,SUMIF($C:$C,B71,$AA:$AA)/AK73,SUMIF($C:$C,B71,$AA:$AA)/(COUNTA(M71:W71)))))</f>
        <v>0</v>
      </c>
      <c r="Y71" s="466"/>
      <c r="Z71" s="534"/>
      <c r="AA71" s="134">
        <f t="shared" si="62"/>
        <v>0</v>
      </c>
      <c r="AB71" s="354">
        <f>+AA71+AC71</f>
        <v>0</v>
      </c>
      <c r="AC71" s="354">
        <v>0</v>
      </c>
      <c r="AD71" s="355">
        <f>+AB70-AB71</f>
        <v>420</v>
      </c>
      <c r="AE71" s="131">
        <f>+IF(((AA72+(AA73/2))*60)=0,"",(J71*AA71)/((AA72+(AA73/2))*60))</f>
        <v>0</v>
      </c>
      <c r="AF71" s="347">
        <f>+AA72+AA73/2</f>
        <v>14.5</v>
      </c>
      <c r="AG71" s="347">
        <f t="shared" si="1"/>
        <v>14.3</v>
      </c>
      <c r="AH71" s="341">
        <f t="shared" si="2"/>
        <v>870</v>
      </c>
      <c r="AI71" s="341">
        <f>+AA71*J71</f>
        <v>0</v>
      </c>
      <c r="AJ71" s="356">
        <f>+AA71-(AF71*K71/K73)</f>
        <v>-35.614035087719301</v>
      </c>
      <c r="AK71" s="348"/>
      <c r="AL71" s="349"/>
      <c r="AM71" s="341"/>
      <c r="AN71" s="341"/>
      <c r="AO71" s="341"/>
      <c r="AP71" s="341"/>
      <c r="AQ71" s="339">
        <f>-300+AA70</f>
        <v>0</v>
      </c>
      <c r="AR71" s="434"/>
      <c r="AT71" s="390">
        <v>120</v>
      </c>
      <c r="AV71" s="390">
        <f t="shared" ref="AV71" si="64">+AT71-AD71</f>
        <v>-300</v>
      </c>
    </row>
    <row r="72" spans="2:48" s="98" customFormat="1" ht="62.25" customHeight="1" x14ac:dyDescent="0.9">
      <c r="B72" s="357">
        <f>+B71</f>
        <v>13</v>
      </c>
      <c r="C72" s="408"/>
      <c r="D72" s="184"/>
      <c r="E72" s="111">
        <f>+B71</f>
        <v>13</v>
      </c>
      <c r="F72" s="409"/>
      <c r="G72" s="539" t="str">
        <f t="shared" si="63"/>
        <v>Cheristina-blanc</v>
      </c>
      <c r="H72" s="411" t="s">
        <v>413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48">
        <v>2</v>
      </c>
      <c r="N72" s="448">
        <v>2</v>
      </c>
      <c r="O72" s="448">
        <v>2</v>
      </c>
      <c r="P72" s="448">
        <v>2</v>
      </c>
      <c r="Q72" s="448">
        <v>2</v>
      </c>
      <c r="R72" s="448">
        <v>2</v>
      </c>
      <c r="S72" s="448">
        <v>2</v>
      </c>
      <c r="T72" s="448">
        <v>2</v>
      </c>
      <c r="U72" s="448"/>
      <c r="V72" s="448"/>
      <c r="W72" s="448"/>
      <c r="X72" s="160">
        <f>+IF(H72="l",IF(COUNTA(M71:W71)=AK73+0.75,AA71-K71*AK73,AA71-(K71*COUNTA(M71:W71))),IF(H72="s",0,IF(COUNTA(M71:W71)=AK73+0.75,SUMIF($C:$C,B71,$AA:$AA)-K71*AK73,SUMIF($C:$C,B71,$AA:$AA)-K71*COUNTA(M71:W71))))</f>
        <v>0</v>
      </c>
      <c r="Y72" s="466"/>
      <c r="Z72" s="534"/>
      <c r="AA72" s="462">
        <f t="shared" ref="AA72:AA73" si="65">+SUM(M72:W72)-T72*0.75</f>
        <v>14.5</v>
      </c>
      <c r="AB72" s="360"/>
      <c r="AC72" s="360"/>
      <c r="AD72" s="362"/>
      <c r="AE72" s="363"/>
      <c r="AF72" s="346"/>
      <c r="AG72" s="347">
        <f t="shared" si="1"/>
        <v>0</v>
      </c>
      <c r="AH72" s="341">
        <f t="shared" si="2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14.5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48" s="98" customFormat="1" ht="62.25" customHeight="1" thickBot="1" x14ac:dyDescent="0.95">
      <c r="B73" s="364">
        <f>+B71</f>
        <v>13</v>
      </c>
      <c r="C73" s="410"/>
      <c r="D73" s="174" t="s">
        <v>379</v>
      </c>
      <c r="E73" s="175">
        <f>+E72+100</f>
        <v>113</v>
      </c>
      <c r="F73" s="175"/>
      <c r="G73" s="539" t="str">
        <f t="shared" si="63"/>
        <v>Cheristina-blanc</v>
      </c>
      <c r="H73" s="117"/>
      <c r="I73" s="442"/>
      <c r="J73" s="165">
        <f>+IF(K73="","",IF(K71=0,"",(K71*J71)/(K73*60)))</f>
        <v>0.86128654970760232</v>
      </c>
      <c r="K73" s="118">
        <v>57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>
        <v>0</v>
      </c>
      <c r="Z73" s="371">
        <f>+IF(COUNTA(M71:W71)=$AJ$4+0.25,$AJ$4-(AA71/K71),COUNTA(M71:W71)-(AA71/K71))+Y73</f>
        <v>0</v>
      </c>
      <c r="AA73" s="465">
        <f t="shared" si="65"/>
        <v>0</v>
      </c>
      <c r="AB73" s="367"/>
      <c r="AC73" s="367"/>
      <c r="AD73" s="368">
        <f>+IFERROR(AD71/(K71*$AQ$3),"")</f>
        <v>0.34285714285714286</v>
      </c>
      <c r="AE73" s="369"/>
      <c r="AF73" s="347"/>
      <c r="AG73" s="347">
        <f t="shared" si="1"/>
        <v>0</v>
      </c>
      <c r="AH73" s="341">
        <f t="shared" si="2"/>
        <v>0</v>
      </c>
      <c r="AI73" s="341"/>
      <c r="AJ73" s="356"/>
      <c r="AK73" s="370">
        <f>+$AJ$4</f>
        <v>7.25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0.26373626373626374</v>
      </c>
      <c r="AV73" s="390"/>
    </row>
    <row r="74" spans="2:48" s="98" customFormat="1" ht="58.5" customHeight="1" thickTop="1" x14ac:dyDescent="0.9">
      <c r="B74" s="373">
        <f>+B75</f>
        <v>14</v>
      </c>
      <c r="C74" s="405"/>
      <c r="D74" s="106"/>
      <c r="E74" s="106"/>
      <c r="F74" s="106"/>
      <c r="G74" s="540" t="s">
        <v>429</v>
      </c>
      <c r="H74" s="106"/>
      <c r="I74" s="106"/>
      <c r="J74" s="107" t="s">
        <v>20</v>
      </c>
      <c r="K74" s="108" t="s">
        <v>23</v>
      </c>
      <c r="L74" s="100" t="s">
        <v>21</v>
      </c>
      <c r="M74" s="448"/>
      <c r="N74" s="448"/>
      <c r="O74" s="448"/>
      <c r="P74" s="448"/>
      <c r="Q74" s="448"/>
      <c r="R74" s="448"/>
      <c r="S74" s="448"/>
      <c r="T74" s="448"/>
      <c r="U74" s="448"/>
      <c r="V74" s="448"/>
      <c r="W74" s="448"/>
      <c r="X74" s="447" t="str">
        <f t="shared" ref="X74" si="66">IF(AQ75="","",SUM(M74:W74)-(-(AQ75-SUM(M74:W74))/$AQ$3)*SUM($M$2:$W$2))</f>
        <v/>
      </c>
      <c r="Y74" s="466">
        <v>-201</v>
      </c>
      <c r="Z74" s="533">
        <f>+X76</f>
        <v>0</v>
      </c>
      <c r="AA74" s="447">
        <f t="shared" si="62"/>
        <v>0</v>
      </c>
      <c r="AB74" s="343">
        <f>+AC74+AA74</f>
        <v>5850</v>
      </c>
      <c r="AC74" s="343">
        <v>5850</v>
      </c>
      <c r="AD74" s="344"/>
      <c r="AE74" s="345"/>
      <c r="AF74" s="346"/>
      <c r="AG74" s="347">
        <f t="shared" si="1"/>
        <v>0</v>
      </c>
      <c r="AH74" s="341">
        <f t="shared" si="2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48" s="98" customFormat="1" ht="58.5" customHeight="1" x14ac:dyDescent="0.9">
      <c r="B75" s="374">
        <v>14</v>
      </c>
      <c r="C75" s="406">
        <f>+B75</f>
        <v>14</v>
      </c>
      <c r="D75" s="407" t="s">
        <v>427</v>
      </c>
      <c r="E75" s="111"/>
      <c r="F75" s="111" t="s">
        <v>428</v>
      </c>
      <c r="G75" s="541" t="str">
        <f t="shared" ref="G75:G77" si="67">+G74</f>
        <v>NEGRONI-202942</v>
      </c>
      <c r="H75" s="111"/>
      <c r="I75" s="111" t="s">
        <v>430</v>
      </c>
      <c r="J75" s="113">
        <v>48.06</v>
      </c>
      <c r="K75" s="471">
        <v>44</v>
      </c>
      <c r="L75" s="101" t="s">
        <v>17</v>
      </c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123">
        <f>+IF(H76="s",0,IF(AA75=0,0,IF(COUNTA(M75:W75)=AK77+0.75,SUMIF($C:$C,B75,$AA:$AA)/AK77,SUMIF($C:$C,B75,$AA:$AA)/(COUNTA(M75:W75)))))</f>
        <v>0</v>
      </c>
      <c r="Y75" s="466"/>
      <c r="Z75" s="534"/>
      <c r="AA75" s="134">
        <f t="shared" si="62"/>
        <v>0</v>
      </c>
      <c r="AB75" s="354">
        <f>+AA75+AC75</f>
        <v>5748</v>
      </c>
      <c r="AC75" s="354">
        <v>5748</v>
      </c>
      <c r="AD75" s="355">
        <f>+AB74-AB75</f>
        <v>102</v>
      </c>
      <c r="AE75" s="131" t="str">
        <f>+IF(((AA76+(AA77/2))*60)=0,"",(J75*AA75)/((AA76+(AA77/2))*60))</f>
        <v/>
      </c>
      <c r="AF75" s="347">
        <f>+AA76+AA77/2</f>
        <v>0</v>
      </c>
      <c r="AG75" s="347">
        <f t="shared" si="1"/>
        <v>0</v>
      </c>
      <c r="AH75" s="341">
        <f t="shared" si="2"/>
        <v>0</v>
      </c>
      <c r="AI75" s="341">
        <f>+AA75*J75</f>
        <v>0</v>
      </c>
      <c r="AJ75" s="356">
        <f>+AA75-(AF75*K75/K77)</f>
        <v>0</v>
      </c>
      <c r="AK75" s="348"/>
      <c r="AL75" s="349"/>
      <c r="AM75" s="341"/>
      <c r="AN75" s="341"/>
      <c r="AO75" s="341"/>
      <c r="AP75" s="341"/>
      <c r="AQ75" s="339"/>
      <c r="AR75" s="434"/>
      <c r="AT75" s="390">
        <v>102</v>
      </c>
      <c r="AV75" s="390">
        <f t="shared" ref="AV75" si="68">+AT75-AD75</f>
        <v>0</v>
      </c>
    </row>
    <row r="76" spans="2:48" s="98" customFormat="1" ht="58.5" customHeight="1" x14ac:dyDescent="0.9">
      <c r="B76" s="357">
        <f>+B75</f>
        <v>14</v>
      </c>
      <c r="C76" s="408"/>
      <c r="D76" s="184"/>
      <c r="E76" s="111">
        <f>+B75</f>
        <v>14</v>
      </c>
      <c r="F76" s="409"/>
      <c r="G76" s="541" t="str">
        <f t="shared" si="67"/>
        <v>NEGRONI-202942</v>
      </c>
      <c r="H76" s="411" t="s">
        <v>414</v>
      </c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48"/>
      <c r="N76" s="448"/>
      <c r="O76" s="448"/>
      <c r="P76" s="448"/>
      <c r="Q76" s="448"/>
      <c r="R76" s="448"/>
      <c r="S76" s="448"/>
      <c r="T76" s="448"/>
      <c r="U76" s="448"/>
      <c r="V76" s="448"/>
      <c r="W76" s="448"/>
      <c r="X76" s="160">
        <f>+IF(H76="l",IF(COUNTA(M75:W75)=AK77+0.75,AA75-K75*AK77,AA75-(K75*COUNTA(M75:W75))),IF(H76="s",0,IF(COUNTA(M75:W75)=AK77+0.75,SUMIF($C:$C,B75,$AA:$AA)-K75*AK77,SUMIF($C:$C,B75,$AA:$AA)-K75*COUNTA(M75:W75))))</f>
        <v>0</v>
      </c>
      <c r="Y76" s="466"/>
      <c r="Z76" s="534"/>
      <c r="AA76" s="462">
        <f t="shared" ref="AA76:AA77" si="69">+SUM(M76:W76)-T76*0.75</f>
        <v>0</v>
      </c>
      <c r="AB76" s="360"/>
      <c r="AC76" s="360"/>
      <c r="AD76" s="362"/>
      <c r="AE76" s="363"/>
      <c r="AF76" s="346"/>
      <c r="AG76" s="347">
        <f t="shared" si="1"/>
        <v>0</v>
      </c>
      <c r="AH76" s="341">
        <f t="shared" si="2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0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48" s="98" customFormat="1" ht="58.5" customHeight="1" thickBot="1" x14ac:dyDescent="0.95">
      <c r="B77" s="364">
        <f>+B75</f>
        <v>14</v>
      </c>
      <c r="C77" s="410"/>
      <c r="D77" s="174" t="s">
        <v>112</v>
      </c>
      <c r="E77" s="175">
        <f>+E76+100</f>
        <v>114</v>
      </c>
      <c r="F77" s="175"/>
      <c r="G77" s="542" t="str">
        <f t="shared" si="67"/>
        <v>NEGRONI-202942</v>
      </c>
      <c r="H77" s="117"/>
      <c r="I77" s="442"/>
      <c r="J77" s="165">
        <f>+IF(K77="","",IF(K75=0,"",(K75*J75)/(K77*60)))</f>
        <v>0.80100000000000016</v>
      </c>
      <c r="K77" s="471">
        <v>44</v>
      </c>
      <c r="L77" s="104" t="s">
        <v>19</v>
      </c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173"/>
      <c r="Y77" s="467">
        <v>43.52</v>
      </c>
      <c r="Z77" s="365">
        <v>43.52</v>
      </c>
      <c r="AA77" s="465">
        <f t="shared" si="69"/>
        <v>0</v>
      </c>
      <c r="AB77" s="367"/>
      <c r="AC77" s="367"/>
      <c r="AD77" s="368">
        <f>+IFERROR(AD75/(K75*$AQ$3),"")</f>
        <v>0.26493506493506491</v>
      </c>
      <c r="AE77" s="369"/>
      <c r="AF77" s="347"/>
      <c r="AG77" s="347">
        <f t="shared" si="1"/>
        <v>0</v>
      </c>
      <c r="AH77" s="341">
        <f t="shared" si="2"/>
        <v>0</v>
      </c>
      <c r="AI77" s="341"/>
      <c r="AJ77" s="356"/>
      <c r="AK77" s="370">
        <f>+$AJ$4</f>
        <v>7.25</v>
      </c>
      <c r="AL77" s="349">
        <f>+IF(AK77=7.75,SUM(M77:S77)+T77*0.75,IF(AK77=8,SUM(M77:T77),IF(AK77=7.25,SUM(M77:S77)+T77*0.25,IF(AK77=8.25,SUM(M77:T77)+U77*0.25,IF(AK77=8.75,SUM(M77:T77)+U77*0.75,0)))))</f>
        <v>0</v>
      </c>
      <c r="AM77" s="341">
        <f>+AL77-AA77</f>
        <v>0</v>
      </c>
      <c r="AN77" s="341"/>
      <c r="AO77" s="341"/>
      <c r="AP77" s="341"/>
      <c r="AQ77" s="369"/>
      <c r="AR77" s="434"/>
      <c r="AT77" s="390">
        <v>0.26493506493506491</v>
      </c>
      <c r="AV77" s="390"/>
    </row>
    <row r="78" spans="2:48" s="98" customFormat="1" ht="58.5" customHeight="1" thickTop="1" x14ac:dyDescent="0.9">
      <c r="B78" s="373">
        <f>+B79</f>
        <v>14</v>
      </c>
      <c r="C78" s="405"/>
      <c r="D78" s="106"/>
      <c r="E78" s="106"/>
      <c r="F78" s="106"/>
      <c r="G78" s="540" t="s">
        <v>481</v>
      </c>
      <c r="H78" s="106"/>
      <c r="I78" s="106"/>
      <c r="J78" s="107" t="s">
        <v>20</v>
      </c>
      <c r="K78" s="108" t="s">
        <v>23</v>
      </c>
      <c r="L78" s="100" t="s">
        <v>21</v>
      </c>
      <c r="M78" s="448">
        <v>60</v>
      </c>
      <c r="N78" s="448">
        <v>120</v>
      </c>
      <c r="O78" s="448"/>
      <c r="P78" s="448"/>
      <c r="Q78" s="448">
        <v>60</v>
      </c>
      <c r="R78" s="448"/>
      <c r="S78" s="448"/>
      <c r="T78" s="448"/>
      <c r="U78" s="448"/>
      <c r="V78" s="448"/>
      <c r="W78" s="448"/>
      <c r="X78" s="447">
        <f t="shared" ref="X78" si="70">IF(AQ79="","",SUM(M78:W78)-(-(AQ79-SUM(M78:W78))/$AQ$3)*SUM($M$2:$W$2))</f>
        <v>240</v>
      </c>
      <c r="Y78" s="466">
        <v>-503.25</v>
      </c>
      <c r="Z78" s="533">
        <f>+X80</f>
        <v>-275</v>
      </c>
      <c r="AA78" s="447">
        <f t="shared" si="62"/>
        <v>240</v>
      </c>
      <c r="AB78" s="343">
        <f>+AC78+AA78</f>
        <v>1320</v>
      </c>
      <c r="AC78" s="343">
        <v>1080</v>
      </c>
      <c r="AD78" s="344"/>
      <c r="AE78" s="345"/>
      <c r="AF78" s="346"/>
      <c r="AG78" s="347">
        <f t="shared" si="1"/>
        <v>0</v>
      </c>
      <c r="AH78" s="341">
        <f t="shared" si="2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48" s="98" customFormat="1" ht="58.5" customHeight="1" x14ac:dyDescent="0.9">
      <c r="B79" s="374">
        <v>14</v>
      </c>
      <c r="C79" s="406">
        <f>+B79</f>
        <v>14</v>
      </c>
      <c r="D79" s="407" t="s">
        <v>480</v>
      </c>
      <c r="E79" s="111"/>
      <c r="F79" s="111" t="s">
        <v>35</v>
      </c>
      <c r="G79" s="541" t="str">
        <f t="shared" ref="G79:G81" si="71">+G78</f>
        <v>2396-593-600</v>
      </c>
      <c r="H79" s="111"/>
      <c r="I79" s="111" t="s">
        <v>33</v>
      </c>
      <c r="J79" s="113">
        <v>38.82</v>
      </c>
      <c r="K79" s="130">
        <v>60</v>
      </c>
      <c r="L79" s="101" t="s">
        <v>17</v>
      </c>
      <c r="M79" s="214">
        <v>0</v>
      </c>
      <c r="N79" s="214">
        <v>15</v>
      </c>
      <c r="O79" s="214">
        <v>20</v>
      </c>
      <c r="P79" s="214">
        <v>25</v>
      </c>
      <c r="Q79" s="214">
        <v>30</v>
      </c>
      <c r="R79" s="214">
        <v>30</v>
      </c>
      <c r="S79" s="214">
        <v>30</v>
      </c>
      <c r="T79" s="214">
        <v>10</v>
      </c>
      <c r="U79" s="214"/>
      <c r="V79" s="214"/>
      <c r="W79" s="214"/>
      <c r="X79" s="123">
        <f>+IF(H80="s",0,IF(AA79=0,0,IF(COUNTA(M79:W79)=AK81+0.75,SUMIF($C:$C,B79,$AA:$AA)/AK81,SUMIF($C:$C,B79,$AA:$AA)/(COUNTA(M79:W79)))))</f>
        <v>22.068965517241381</v>
      </c>
      <c r="Y79" s="466"/>
      <c r="Z79" s="534"/>
      <c r="AA79" s="134">
        <f t="shared" si="62"/>
        <v>160</v>
      </c>
      <c r="AB79" s="354">
        <f>+AA79+AC79</f>
        <v>160</v>
      </c>
      <c r="AC79" s="354">
        <v>0</v>
      </c>
      <c r="AD79" s="355">
        <f>+AB78-AB79</f>
        <v>1160</v>
      </c>
      <c r="AE79" s="131">
        <f>+IF(((AA80+(AA81/2))*60)=0,"",(J79*AA79)/((AA80+(AA81/2))*60))</f>
        <v>0.3212412723041117</v>
      </c>
      <c r="AF79" s="347">
        <f>+AA80+AA81/2</f>
        <v>322.25</v>
      </c>
      <c r="AG79" s="347">
        <f t="shared" si="1"/>
        <v>322.14999999999998</v>
      </c>
      <c r="AH79" s="341">
        <f t="shared" si="2"/>
        <v>19335</v>
      </c>
      <c r="AI79" s="341">
        <f>+AA79*J79</f>
        <v>6211.2</v>
      </c>
      <c r="AJ79" s="356">
        <f>+AA79-(AF79*K79/K81)</f>
        <v>-289.6511627906977</v>
      </c>
      <c r="AK79" s="348"/>
      <c r="AL79" s="349"/>
      <c r="AM79" s="341"/>
      <c r="AN79" s="341"/>
      <c r="AO79" s="341"/>
      <c r="AP79" s="341"/>
      <c r="AQ79" s="339">
        <f>-200+AA78</f>
        <v>40</v>
      </c>
      <c r="AR79" s="434"/>
      <c r="AT79" s="390">
        <v>1080</v>
      </c>
      <c r="AV79" s="390">
        <f t="shared" ref="AV79" si="72">+AT79-AD79</f>
        <v>-80</v>
      </c>
    </row>
    <row r="80" spans="2:48" s="98" customFormat="1" ht="58.5" customHeight="1" x14ac:dyDescent="0.9">
      <c r="B80" s="357">
        <f>+B79</f>
        <v>14</v>
      </c>
      <c r="C80" s="408"/>
      <c r="D80" s="184"/>
      <c r="E80" s="111">
        <f>+B79</f>
        <v>14</v>
      </c>
      <c r="F80" s="409"/>
      <c r="G80" s="541" t="str">
        <f t="shared" si="71"/>
        <v>2396-593-600</v>
      </c>
      <c r="H80" s="411" t="s">
        <v>413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48">
        <v>43</v>
      </c>
      <c r="N80" s="448">
        <v>43</v>
      </c>
      <c r="O80" s="448">
        <v>43</v>
      </c>
      <c r="P80" s="448">
        <v>43</v>
      </c>
      <c r="Q80" s="448">
        <v>43</v>
      </c>
      <c r="R80" s="448">
        <v>43</v>
      </c>
      <c r="S80" s="448">
        <v>43</v>
      </c>
      <c r="T80" s="448">
        <v>43</v>
      </c>
      <c r="U80" s="448"/>
      <c r="V80" s="448"/>
      <c r="W80" s="448"/>
      <c r="X80" s="160">
        <f>+IF(H80="l",IF(COUNTA(M79:W79)=AK81+0.75,AA79-K79*AK81,AA79-(K79*COUNTA(M79:W79))),IF(H80="s",0,IF(COUNTA(M79:W79)=AK81+0.75,SUMIF($C:$C,B79,$AA:$AA)-K79*AK81,SUMIF($C:$C,B79,$AA:$AA)-K79*COUNTA(M79:W79))))</f>
        <v>-275</v>
      </c>
      <c r="Y80" s="466"/>
      <c r="Z80" s="534"/>
      <c r="AA80" s="462">
        <f t="shared" ref="AA80:AA81" si="73">+SUM(M80:W80)-T80*0.75</f>
        <v>311.75</v>
      </c>
      <c r="AB80" s="360"/>
      <c r="AC80" s="360"/>
      <c r="AD80" s="362"/>
      <c r="AE80" s="363"/>
      <c r="AF80" s="346"/>
      <c r="AG80" s="347">
        <f t="shared" si="1"/>
        <v>0</v>
      </c>
      <c r="AH80" s="341">
        <f t="shared" si="2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311.75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59" s="98" customFormat="1" ht="58.5" customHeight="1" thickBot="1" x14ac:dyDescent="0.95">
      <c r="B81" s="364">
        <f>+B79</f>
        <v>14</v>
      </c>
      <c r="C81" s="410"/>
      <c r="D81" s="174" t="s">
        <v>112</v>
      </c>
      <c r="E81" s="175">
        <f>+E80+100</f>
        <v>114</v>
      </c>
      <c r="F81" s="175"/>
      <c r="G81" s="542" t="str">
        <f t="shared" si="71"/>
        <v>2396-593-600</v>
      </c>
      <c r="H81" s="117"/>
      <c r="I81" s="442"/>
      <c r="J81" s="165">
        <f>+IF(K81="","",IF(K79=0,"",(K79*J79)/(K81*60)))</f>
        <v>0.90279069767441855</v>
      </c>
      <c r="K81" s="118">
        <v>43</v>
      </c>
      <c r="L81" s="104" t="s">
        <v>19</v>
      </c>
      <c r="M81" s="216">
        <v>3</v>
      </c>
      <c r="N81" s="216">
        <v>3</v>
      </c>
      <c r="O81" s="216">
        <v>3</v>
      </c>
      <c r="P81" s="216">
        <v>3</v>
      </c>
      <c r="Q81" s="216">
        <v>3</v>
      </c>
      <c r="R81" s="216">
        <v>3</v>
      </c>
      <c r="S81" s="216">
        <v>3</v>
      </c>
      <c r="T81" s="216"/>
      <c r="U81" s="216"/>
      <c r="V81" s="216"/>
      <c r="W81" s="216"/>
      <c r="X81" s="173"/>
      <c r="Y81" s="467">
        <v>2.25</v>
      </c>
      <c r="Z81" s="371">
        <f>+IF(COUNTA(M79:W79)=$AJ$4+0.25,$AJ$4-(AA79/K79),COUNTA(M79:W79)-(AA79/K79))+Y81</f>
        <v>7.5833333333333339</v>
      </c>
      <c r="AA81" s="465">
        <f t="shared" si="73"/>
        <v>21</v>
      </c>
      <c r="AB81" s="367"/>
      <c r="AC81" s="367"/>
      <c r="AD81" s="368">
        <f>+IFERROR(AD79/(K79*$AQ$3),"")</f>
        <v>2.2095238095238097</v>
      </c>
      <c r="AE81" s="369"/>
      <c r="AF81" s="347"/>
      <c r="AG81" s="347">
        <f t="shared" si="1"/>
        <v>0</v>
      </c>
      <c r="AH81" s="341">
        <f t="shared" si="2"/>
        <v>0</v>
      </c>
      <c r="AI81" s="341"/>
      <c r="AJ81" s="356"/>
      <c r="AK81" s="370">
        <f>+$AJ$4</f>
        <v>7.25</v>
      </c>
      <c r="AL81" s="349">
        <f>+IF(AK81=7.75,SUM(M81:S81)+T81*0.75,IF(AK81=8,SUM(M81:T81),IF(AK81=7.25,SUM(M81:S81)+T81*0.25,IF(AK81=8.25,SUM(M81:T81)+U81*0.25,IF(AK81=8.75,SUM(M81:T81)+U81*0.75,0)))))</f>
        <v>21</v>
      </c>
      <c r="AM81" s="341">
        <f>+AL81-AA81</f>
        <v>0</v>
      </c>
      <c r="AN81" s="341"/>
      <c r="AO81" s="341"/>
      <c r="AP81" s="341"/>
      <c r="AQ81" s="369"/>
      <c r="AR81" s="434"/>
      <c r="AT81" s="390">
        <v>2.0234192037470726</v>
      </c>
      <c r="AV81" s="390"/>
    </row>
    <row r="82" spans="2:59" s="98" customFormat="1" ht="62.25" customHeight="1" thickTop="1" x14ac:dyDescent="0.9">
      <c r="B82" s="342">
        <f>+B83</f>
        <v>15</v>
      </c>
      <c r="C82" s="405"/>
      <c r="D82" s="106"/>
      <c r="E82" s="106"/>
      <c r="F82" s="106"/>
      <c r="G82" s="540" t="s">
        <v>435</v>
      </c>
      <c r="H82" s="106"/>
      <c r="I82" s="106"/>
      <c r="J82" s="107" t="s">
        <v>20</v>
      </c>
      <c r="K82" s="108" t="s">
        <v>23</v>
      </c>
      <c r="L82" s="100" t="s">
        <v>21</v>
      </c>
      <c r="M82" s="448"/>
      <c r="N82" s="448"/>
      <c r="O82" s="448"/>
      <c r="P82" s="448"/>
      <c r="Q82" s="448"/>
      <c r="R82" s="448"/>
      <c r="S82" s="448"/>
      <c r="T82" s="448"/>
      <c r="U82" s="448"/>
      <c r="V82" s="448"/>
      <c r="W82" s="448"/>
      <c r="X82" s="447" t="str">
        <f t="shared" ref="X82" si="74">IF(AQ83="","",SUM(M82:W82)-(-(AQ83-SUM(M82:W82))/$AQ$3)*SUM($M$2:$W$2))</f>
        <v/>
      </c>
      <c r="Y82" s="466">
        <v>0</v>
      </c>
      <c r="Z82" s="533">
        <f>+X84</f>
        <v>-182.5</v>
      </c>
      <c r="AA82" s="447">
        <f t="shared" si="62"/>
        <v>0</v>
      </c>
      <c r="AB82" s="343">
        <f>+AC82+AA82</f>
        <v>4409</v>
      </c>
      <c r="AC82" s="343">
        <v>4409</v>
      </c>
      <c r="AD82" s="344"/>
      <c r="AE82" s="345"/>
      <c r="AF82" s="346"/>
      <c r="AG82" s="347">
        <f t="shared" si="1"/>
        <v>0</v>
      </c>
      <c r="AH82" s="341">
        <f t="shared" si="2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59" s="98" customFormat="1" ht="62.25" customHeight="1" x14ac:dyDescent="1.35">
      <c r="B83" s="351">
        <v>15</v>
      </c>
      <c r="C83" s="406">
        <f>+B83</f>
        <v>15</v>
      </c>
      <c r="D83" s="407" t="s">
        <v>436</v>
      </c>
      <c r="E83" s="111"/>
      <c r="F83" s="111" t="s">
        <v>35</v>
      </c>
      <c r="G83" s="541" t="str">
        <f t="shared" ref="G83:G85" si="75">+G82</f>
        <v>2076-780-803</v>
      </c>
      <c r="H83" s="111"/>
      <c r="I83" s="111" t="s">
        <v>38</v>
      </c>
      <c r="J83" s="113">
        <v>38.729999999999997</v>
      </c>
      <c r="K83" s="130">
        <v>58</v>
      </c>
      <c r="L83" s="101" t="s">
        <v>17</v>
      </c>
      <c r="M83" s="214">
        <v>33</v>
      </c>
      <c r="N83" s="214">
        <v>40</v>
      </c>
      <c r="O83" s="214">
        <v>40</v>
      </c>
      <c r="P83" s="214">
        <v>35</v>
      </c>
      <c r="Q83" s="214">
        <v>30</v>
      </c>
      <c r="R83" s="214">
        <v>30</v>
      </c>
      <c r="S83" s="214">
        <v>20</v>
      </c>
      <c r="T83" s="214">
        <v>10</v>
      </c>
      <c r="U83" s="214"/>
      <c r="V83" s="214"/>
      <c r="W83" s="214"/>
      <c r="X83" s="123">
        <f>+IF(H84="s",0,IF(AA83=0,0,IF(COUNTA(M83:W83)=AK85+0.75,SUMIF($C:$C,B83,$AA:$AA)/AK85,SUMIF($C:$C,B83,$AA:$AA)/(COUNTA(M83:W83)))))</f>
        <v>32.827586206896555</v>
      </c>
      <c r="Y83" s="466"/>
      <c r="Z83" s="534"/>
      <c r="AA83" s="134">
        <f t="shared" si="62"/>
        <v>238</v>
      </c>
      <c r="AB83" s="354">
        <f>+AA83+AC83</f>
        <v>4118</v>
      </c>
      <c r="AC83" s="354">
        <v>3880</v>
      </c>
      <c r="AD83" s="355">
        <f>+AB82-AB83</f>
        <v>291</v>
      </c>
      <c r="AE83" s="131">
        <f>+IF(((AA84+(AA85/2))*60)=0,"",(J83*AA83)/((AA84+(AA85/2))*60))</f>
        <v>0.6257800407331976</v>
      </c>
      <c r="AF83" s="347">
        <f>+AA84+AA85/2</f>
        <v>245.5</v>
      </c>
      <c r="AG83" s="347">
        <f t="shared" si="1"/>
        <v>245.3</v>
      </c>
      <c r="AH83" s="341">
        <f t="shared" si="2"/>
        <v>14730</v>
      </c>
      <c r="AI83" s="341">
        <f>+AA83*J83</f>
        <v>9217.74</v>
      </c>
      <c r="AJ83" s="356">
        <f>+AA83-(AF83*K83/K85)</f>
        <v>-101.02380952380952</v>
      </c>
      <c r="AK83" s="348"/>
      <c r="AL83" s="349"/>
      <c r="AM83" s="341"/>
      <c r="AN83" s="341"/>
      <c r="AO83" s="341"/>
      <c r="AP83" s="341"/>
      <c r="AQ83" s="339"/>
      <c r="AR83" s="434"/>
      <c r="AT83" s="390">
        <v>529</v>
      </c>
      <c r="AV83" s="390">
        <f t="shared" ref="AV83" si="76">+AT83-AD83</f>
        <v>238</v>
      </c>
      <c r="AW83" s="535"/>
      <c r="AX83" s="535"/>
      <c r="AY83" s="535"/>
      <c r="AZ83" s="535"/>
      <c r="BA83" s="535"/>
      <c r="BB83" s="535"/>
      <c r="BC83" s="535"/>
      <c r="BD83" s="535"/>
      <c r="BE83" s="535"/>
      <c r="BF83" s="535"/>
    </row>
    <row r="84" spans="2:59" s="98" customFormat="1" ht="62.25" customHeight="1" x14ac:dyDescent="0.9">
      <c r="B84" s="357">
        <f>+B83</f>
        <v>15</v>
      </c>
      <c r="C84" s="408"/>
      <c r="D84" s="184"/>
      <c r="E84" s="111">
        <f>+B83</f>
        <v>15</v>
      </c>
      <c r="F84" s="412"/>
      <c r="G84" s="541" t="str">
        <f t="shared" si="75"/>
        <v>2076-780-803</v>
      </c>
      <c r="H84" s="411" t="s">
        <v>412</v>
      </c>
      <c r="I84" s="113">
        <f>+IFERROR(IF(K85=0,0,IF((LOOKUP(2,1/(M84:W84&lt;&gt;""),M84:W84)-K85)&lt;0,0,IF(K85=0,"",LOOKUP(2,1/(M84:W84&lt;&gt;""),M84:W84)-K85))),0)</f>
        <v>0</v>
      </c>
      <c r="J84" s="113">
        <v>1</v>
      </c>
      <c r="K84" s="114" t="s">
        <v>22</v>
      </c>
      <c r="L84" s="102" t="s">
        <v>18</v>
      </c>
      <c r="M84" s="448">
        <v>40</v>
      </c>
      <c r="N84" s="448">
        <v>38</v>
      </c>
      <c r="O84" s="448">
        <v>35</v>
      </c>
      <c r="P84" s="448">
        <v>35</v>
      </c>
      <c r="Q84" s="448">
        <v>30</v>
      </c>
      <c r="R84" s="448">
        <v>30</v>
      </c>
      <c r="S84" s="448">
        <v>30</v>
      </c>
      <c r="T84" s="448">
        <v>30</v>
      </c>
      <c r="U84" s="448"/>
      <c r="V84" s="448"/>
      <c r="W84" s="448"/>
      <c r="X84" s="160">
        <f>+IF(H84="l",IF(COUNTA(M83:W83)=AK85+0.75,AA83-K83*AK85,AA83-(K83*COUNTA(M83:W83))),IF(H84="s",0,IF(COUNTA(M83:W83)=AK85+0.75,SUMIF($C:$C,B83,$AA:$AA)-K83*AK85,SUMIF($C:$C,B83,$AA:$AA)-K83*COUNTA(M83:W83))))</f>
        <v>-182.5</v>
      </c>
      <c r="Y84" s="466"/>
      <c r="Z84" s="534"/>
      <c r="AA84" s="462">
        <f t="shared" ref="AA84:AA85" si="77">+SUM(M84:W84)-T84*0.75</f>
        <v>245.5</v>
      </c>
      <c r="AB84" s="360"/>
      <c r="AC84" s="360"/>
      <c r="AD84" s="362"/>
      <c r="AE84" s="363"/>
      <c r="AF84" s="346"/>
      <c r="AG84" s="347">
        <f t="shared" si="1"/>
        <v>0</v>
      </c>
      <c r="AH84" s="341">
        <f t="shared" si="2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245.5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59" s="98" customFormat="1" ht="62.25" customHeight="1" thickBot="1" x14ac:dyDescent="0.95">
      <c r="B85" s="364">
        <f>+B83</f>
        <v>15</v>
      </c>
      <c r="C85" s="410"/>
      <c r="D85" s="174" t="s">
        <v>93</v>
      </c>
      <c r="E85" s="175">
        <f>+E84+100</f>
        <v>115</v>
      </c>
      <c r="F85" s="175"/>
      <c r="G85" s="542" t="str">
        <f t="shared" si="75"/>
        <v>2076-780-803</v>
      </c>
      <c r="H85" s="117"/>
      <c r="I85" s="442"/>
      <c r="J85" s="165">
        <f>+IF(K85="","",IF(K83=0,"",(K83*J83)/(K85*60)))</f>
        <v>0.89140476190476181</v>
      </c>
      <c r="K85" s="118">
        <v>42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>
        <v>15.46</v>
      </c>
      <c r="Z85" s="365">
        <v>15.46</v>
      </c>
      <c r="AA85" s="465">
        <f t="shared" si="77"/>
        <v>0</v>
      </c>
      <c r="AB85" s="367"/>
      <c r="AC85" s="367"/>
      <c r="AD85" s="368">
        <f>+IFERROR(AD83/(K83*$AQ$3),"")</f>
        <v>0.57339901477832511</v>
      </c>
      <c r="AE85" s="369"/>
      <c r="AF85" s="347"/>
      <c r="AG85" s="347">
        <f t="shared" si="1"/>
        <v>0</v>
      </c>
      <c r="AH85" s="341">
        <f t="shared" si="2"/>
        <v>0</v>
      </c>
      <c r="AI85" s="341"/>
      <c r="AJ85" s="356"/>
      <c r="AK85" s="370">
        <f>+$AJ$4</f>
        <v>7.25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1.0423645320197044</v>
      </c>
      <c r="AV85" s="390"/>
    </row>
    <row r="86" spans="2:59" s="98" customFormat="1" ht="62.25" customHeight="1" thickTop="1" x14ac:dyDescent="0.9">
      <c r="B86" s="342">
        <f>+B87</f>
        <v>15</v>
      </c>
      <c r="C86" s="405"/>
      <c r="D86" s="106"/>
      <c r="E86" s="106"/>
      <c r="F86" s="106"/>
      <c r="G86" s="539" t="s">
        <v>486</v>
      </c>
      <c r="H86" s="106"/>
      <c r="I86" s="106"/>
      <c r="J86" s="107" t="s">
        <v>20</v>
      </c>
      <c r="K86" s="108" t="s">
        <v>23</v>
      </c>
      <c r="L86" s="100" t="s">
        <v>21</v>
      </c>
      <c r="M86" s="448">
        <v>68</v>
      </c>
      <c r="N86" s="448">
        <v>67</v>
      </c>
      <c r="O86" s="448">
        <v>138</v>
      </c>
      <c r="P86" s="448"/>
      <c r="Q86" s="448"/>
      <c r="R86" s="448"/>
      <c r="S86" s="448"/>
      <c r="T86" s="448"/>
      <c r="U86" s="448"/>
      <c r="V86" s="448"/>
      <c r="W86" s="448"/>
      <c r="X86" s="447" t="str">
        <f t="shared" ref="X86" si="78">IF(AQ87="","",SUM(M86:W86)-(-(AQ87-SUM(M86:W86))/$AQ$3)*SUM($M$2:$W$2))</f>
        <v/>
      </c>
      <c r="Y86" s="466">
        <v>0</v>
      </c>
      <c r="Z86" s="533">
        <f>+X88</f>
        <v>0</v>
      </c>
      <c r="AA86" s="447">
        <f t="shared" ref="AA86:AA87" si="79">+SUM(L86:W86)</f>
        <v>273</v>
      </c>
      <c r="AB86" s="343">
        <f>+AC86+AA86</f>
        <v>273</v>
      </c>
      <c r="AC86" s="343"/>
      <c r="AD86" s="344"/>
      <c r="AE86" s="345"/>
      <c r="AF86" s="346"/>
      <c r="AG86" s="347">
        <f t="shared" ref="AG86:AG89" si="80">TRUNC(AF86)+(AF86-TRUNC(AF86))*60/100</f>
        <v>0</v>
      </c>
      <c r="AH86" s="341">
        <f t="shared" ref="AH86:AH89" si="81">+AF86*60</f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59" s="98" customFormat="1" ht="62.25" customHeight="1" x14ac:dyDescent="1.35">
      <c r="B87" s="351">
        <v>15</v>
      </c>
      <c r="C87" s="406">
        <f>+B87</f>
        <v>15</v>
      </c>
      <c r="D87" s="407" t="s">
        <v>485</v>
      </c>
      <c r="E87" s="111"/>
      <c r="F87" s="111" t="s">
        <v>475</v>
      </c>
      <c r="G87" s="539"/>
      <c r="H87" s="111"/>
      <c r="I87" s="111" t="s">
        <v>487</v>
      </c>
      <c r="J87" s="113">
        <v>27.55</v>
      </c>
      <c r="K87" s="130">
        <v>100</v>
      </c>
      <c r="L87" s="101" t="s">
        <v>17</v>
      </c>
      <c r="M87" s="214"/>
      <c r="N87" s="214"/>
      <c r="O87" s="214"/>
      <c r="P87" s="214"/>
      <c r="Q87" s="214"/>
      <c r="R87" s="214"/>
      <c r="S87" s="214"/>
      <c r="T87" s="214"/>
      <c r="U87" s="214"/>
      <c r="V87" s="214"/>
      <c r="W87" s="214"/>
      <c r="X87" s="123">
        <f>+IF(H88="s",0,IF(AA87=0,0,IF(COUNTA(M87:W87)=AK89+0.75,SUMIF($C:$C,B87,$AA:$AA)/AK89,SUMIF($C:$C,B87,$AA:$AA)/(COUNTA(M87:W87)))))</f>
        <v>0</v>
      </c>
      <c r="Y87" s="466"/>
      <c r="Z87" s="534"/>
      <c r="AA87" s="134">
        <f t="shared" si="79"/>
        <v>0</v>
      </c>
      <c r="AB87" s="354">
        <f>+AA87+AC87</f>
        <v>0</v>
      </c>
      <c r="AC87" s="354"/>
      <c r="AD87" s="355">
        <f>+AB86-AB87</f>
        <v>273</v>
      </c>
      <c r="AE87" s="131">
        <f>+IF(((AA88+(AA89/2))*60)=0,"",(J87*AA87)/((AA88+(AA89/2))*60))</f>
        <v>0</v>
      </c>
      <c r="AF87" s="347">
        <f>+AA88+AA89/2</f>
        <v>44.5</v>
      </c>
      <c r="AG87" s="347">
        <f t="shared" si="80"/>
        <v>44.3</v>
      </c>
      <c r="AH87" s="341">
        <f t="shared" si="81"/>
        <v>2670</v>
      </c>
      <c r="AI87" s="341">
        <f>+AA87*J87</f>
        <v>0</v>
      </c>
      <c r="AJ87" s="356">
        <f>+AA87-(AF87*K87/K89)</f>
        <v>-89</v>
      </c>
      <c r="AK87" s="348"/>
      <c r="AL87" s="349"/>
      <c r="AM87" s="341"/>
      <c r="AN87" s="341"/>
      <c r="AO87" s="341"/>
      <c r="AP87" s="341"/>
      <c r="AQ87" s="339"/>
      <c r="AR87" s="434"/>
      <c r="AT87" s="390">
        <v>529</v>
      </c>
      <c r="AV87" s="390">
        <f t="shared" ref="AV87" si="82">+AT87-AD87</f>
        <v>256</v>
      </c>
      <c r="AW87" s="535"/>
      <c r="AX87" s="535"/>
      <c r="AY87" s="535"/>
      <c r="AZ87" s="535"/>
      <c r="BA87" s="535"/>
      <c r="BB87" s="535"/>
      <c r="BC87" s="535"/>
      <c r="BD87" s="535"/>
      <c r="BE87" s="535"/>
      <c r="BF87" s="535"/>
    </row>
    <row r="88" spans="2:59" s="98" customFormat="1" ht="62.25" customHeight="1" x14ac:dyDescent="0.9">
      <c r="B88" s="357">
        <f>+B87</f>
        <v>15</v>
      </c>
      <c r="C88" s="408"/>
      <c r="D88" s="184"/>
      <c r="E88" s="111">
        <f>+B87</f>
        <v>15</v>
      </c>
      <c r="F88" s="412"/>
      <c r="G88" s="539"/>
      <c r="H88" s="411" t="s">
        <v>412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48"/>
      <c r="N88" s="448">
        <v>2</v>
      </c>
      <c r="O88" s="448">
        <v>5</v>
      </c>
      <c r="P88" s="448">
        <v>5</v>
      </c>
      <c r="Q88" s="448">
        <v>10</v>
      </c>
      <c r="R88" s="448">
        <v>10</v>
      </c>
      <c r="S88" s="448">
        <v>10</v>
      </c>
      <c r="T88" s="448">
        <v>10</v>
      </c>
      <c r="U88" s="448"/>
      <c r="V88" s="448"/>
      <c r="W88" s="448"/>
      <c r="X88" s="160">
        <f>+IF(H88="l",IF(COUNTA(M87:W87)=AK89+0.75,AA87-K87*AK89,AA87-(K87*COUNTA(M87:W87))),IF(H88="s",0,IF(COUNTA(M87:W87)=AK89+0.75,SUMIF($C:$C,B87,$AA:$AA)-K87*AK89,SUMIF($C:$C,B87,$AA:$AA)-K87*COUNTA(M87:W87))))</f>
        <v>0</v>
      </c>
      <c r="Y88" s="466"/>
      <c r="Z88" s="534"/>
      <c r="AA88" s="462">
        <f t="shared" ref="AA88:AA89" si="83">+SUM(M88:W88)-T88*0.75</f>
        <v>44.5</v>
      </c>
      <c r="AB88" s="360"/>
      <c r="AC88" s="360"/>
      <c r="AD88" s="362"/>
      <c r="AE88" s="363"/>
      <c r="AF88" s="346"/>
      <c r="AG88" s="347">
        <f t="shared" si="80"/>
        <v>0</v>
      </c>
      <c r="AH88" s="341">
        <f t="shared" si="81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44.5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59" s="98" customFormat="1" ht="62.25" customHeight="1" thickBot="1" x14ac:dyDescent="0.95">
      <c r="B89" s="364">
        <f>+B87</f>
        <v>15</v>
      </c>
      <c r="C89" s="410"/>
      <c r="D89" s="174" t="s">
        <v>93</v>
      </c>
      <c r="E89" s="175">
        <f>+E88+100</f>
        <v>115</v>
      </c>
      <c r="F89" s="175"/>
      <c r="G89" s="539"/>
      <c r="H89" s="117"/>
      <c r="I89" s="442"/>
      <c r="J89" s="165">
        <f>+IF(K89="","",IF(K87=0,"",(K87*J87)/(K89*60)))</f>
        <v>0.91833333333333333</v>
      </c>
      <c r="K89" s="118">
        <v>50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0</v>
      </c>
      <c r="Z89" s="371">
        <f>+IF(COUNTA(M87:W87)=$AJ$4+0.25,$AJ$4-(AA87/K87),COUNTA(M87:W87)-(AA87/K87))+Y89</f>
        <v>0</v>
      </c>
      <c r="AA89" s="465">
        <f t="shared" si="83"/>
        <v>0</v>
      </c>
      <c r="AB89" s="367"/>
      <c r="AC89" s="367"/>
      <c r="AD89" s="368">
        <f>+IFERROR(AD87/(K87*$AQ$3),"")</f>
        <v>0.312</v>
      </c>
      <c r="AE89" s="369"/>
      <c r="AF89" s="347"/>
      <c r="AG89" s="347">
        <f t="shared" si="80"/>
        <v>0</v>
      </c>
      <c r="AH89" s="341">
        <f t="shared" si="81"/>
        <v>0</v>
      </c>
      <c r="AI89" s="341"/>
      <c r="AJ89" s="356"/>
      <c r="AK89" s="370">
        <f>+$AJ$4</f>
        <v>7.25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1.0423645320197044</v>
      </c>
      <c r="AV89" s="390"/>
    </row>
    <row r="90" spans="2:59" s="98" customFormat="1" ht="62.25" customHeight="1" thickTop="1" x14ac:dyDescent="0.9">
      <c r="B90" s="373">
        <f>+B91</f>
        <v>16</v>
      </c>
      <c r="C90" s="405"/>
      <c r="D90" s="106"/>
      <c r="E90" s="106"/>
      <c r="F90" s="106"/>
      <c r="G90" s="540" t="s">
        <v>476</v>
      </c>
      <c r="H90" s="106"/>
      <c r="I90" s="106"/>
      <c r="J90" s="107" t="s">
        <v>20</v>
      </c>
      <c r="K90" s="108" t="s">
        <v>23</v>
      </c>
      <c r="L90" s="100" t="s">
        <v>21</v>
      </c>
      <c r="M90" s="448">
        <v>240</v>
      </c>
      <c r="N90" s="448">
        <v>240</v>
      </c>
      <c r="O90" s="448"/>
      <c r="P90" s="448"/>
      <c r="Q90" s="448">
        <v>60</v>
      </c>
      <c r="R90" s="448"/>
      <c r="S90" s="448"/>
      <c r="T90" s="448"/>
      <c r="U90" s="448"/>
      <c r="V90" s="448"/>
      <c r="W90" s="448"/>
      <c r="X90" s="447">
        <f t="shared" ref="X90" si="84">IF(AQ91="","",SUM(M90:W90)-(-(AQ91-SUM(M90:W90))/$AQ$3)*SUM($M$2:$W$2))</f>
        <v>540</v>
      </c>
      <c r="Y90" s="466">
        <v>-757</v>
      </c>
      <c r="Z90" s="533">
        <f>+X92</f>
        <v>-432</v>
      </c>
      <c r="AA90" s="447">
        <f t="shared" si="62"/>
        <v>540</v>
      </c>
      <c r="AB90" s="343">
        <f>+AC90+AA90</f>
        <v>2820</v>
      </c>
      <c r="AC90" s="343">
        <v>2280</v>
      </c>
      <c r="AD90" s="344"/>
      <c r="AE90" s="345"/>
      <c r="AF90" s="346"/>
      <c r="AG90" s="347">
        <f t="shared" si="1"/>
        <v>0</v>
      </c>
      <c r="AH90" s="341">
        <f t="shared" si="2"/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59" s="98" customFormat="1" ht="62.25" customHeight="1" x14ac:dyDescent="0.9">
      <c r="B91" s="374">
        <v>16</v>
      </c>
      <c r="C91" s="406">
        <f>+B91</f>
        <v>16</v>
      </c>
      <c r="D91" s="407" t="s">
        <v>474</v>
      </c>
      <c r="E91" s="111"/>
      <c r="F91" s="111" t="s">
        <v>475</v>
      </c>
      <c r="G91" s="541" t="str">
        <f t="shared" ref="G91:G93" si="85">+G90</f>
        <v>Cheristina-blanc</v>
      </c>
      <c r="H91" s="111"/>
      <c r="I91" s="111" t="s">
        <v>477</v>
      </c>
      <c r="J91" s="113">
        <v>21.04</v>
      </c>
      <c r="K91" s="130">
        <v>140</v>
      </c>
      <c r="L91" s="101" t="s">
        <v>17</v>
      </c>
      <c r="M91" s="214">
        <v>73</v>
      </c>
      <c r="N91" s="214">
        <v>80</v>
      </c>
      <c r="O91" s="214">
        <v>75</v>
      </c>
      <c r="P91" s="214">
        <v>85</v>
      </c>
      <c r="Q91" s="214">
        <v>90</v>
      </c>
      <c r="R91" s="214">
        <v>80</v>
      </c>
      <c r="S91" s="214">
        <v>80</v>
      </c>
      <c r="T91" s="214">
        <v>20</v>
      </c>
      <c r="U91" s="214"/>
      <c r="V91" s="214"/>
      <c r="W91" s="214"/>
      <c r="X91" s="123">
        <f>+IF(H92="s",0,IF(AA91=0,0,IF(COUNTA(M91:W91)=AK93+0.75,SUMIF($C:$C,B91,$AA:$AA)/AK93,SUMIF($C:$C,B91,$AA:$AA)/(COUNTA(M91:W91)))))</f>
        <v>80.41379310344827</v>
      </c>
      <c r="Y91" s="466"/>
      <c r="Z91" s="534"/>
      <c r="AA91" s="134">
        <f t="shared" si="62"/>
        <v>583</v>
      </c>
      <c r="AB91" s="354">
        <f>+AA91+AC91</f>
        <v>1365</v>
      </c>
      <c r="AC91" s="354">
        <v>782</v>
      </c>
      <c r="AD91" s="355">
        <f>+AB90-AB91</f>
        <v>1455</v>
      </c>
      <c r="AE91" s="131">
        <f>+IF(((AA92+(AA93/2))*60)=0,"",(J91*AA91)/((AA92+(AA93/2))*60))</f>
        <v>0.50729197684036398</v>
      </c>
      <c r="AF91" s="347">
        <f>+AA92+AA93/2</f>
        <v>403</v>
      </c>
      <c r="AG91" s="347">
        <f t="shared" si="1"/>
        <v>403</v>
      </c>
      <c r="AH91" s="341">
        <f t="shared" si="2"/>
        <v>24180</v>
      </c>
      <c r="AI91" s="341">
        <f>+AA91*J91</f>
        <v>12266.32</v>
      </c>
      <c r="AJ91" s="356">
        <f>+AA91-(AF91*K91/K93)</f>
        <v>-406.82456140350882</v>
      </c>
      <c r="AK91" s="348"/>
      <c r="AL91" s="349"/>
      <c r="AM91" s="341"/>
      <c r="AN91" s="341"/>
      <c r="AO91" s="341"/>
      <c r="AP91" s="341"/>
      <c r="AQ91" s="339">
        <f>-500+AA90</f>
        <v>40</v>
      </c>
      <c r="AR91" s="434">
        <v>1.5</v>
      </c>
      <c r="AT91" s="390">
        <v>1498</v>
      </c>
      <c r="AV91" s="390">
        <f t="shared" ref="AV91" si="86">+AT91-AD91</f>
        <v>43</v>
      </c>
      <c r="AW91" s="536"/>
      <c r="AX91" s="536"/>
      <c r="AY91" s="536"/>
      <c r="AZ91" s="536"/>
      <c r="BA91" s="536"/>
      <c r="BB91" s="536"/>
      <c r="BC91" s="536"/>
      <c r="BD91" s="536"/>
      <c r="BE91" s="536"/>
      <c r="BF91" s="536"/>
      <c r="BG91" s="536"/>
    </row>
    <row r="92" spans="2:59" s="98" customFormat="1" ht="62.25" customHeight="1" x14ac:dyDescent="0.9">
      <c r="B92" s="357">
        <f>+B91</f>
        <v>16</v>
      </c>
      <c r="C92" s="408"/>
      <c r="D92" s="184"/>
      <c r="E92" s="111">
        <f>+B91</f>
        <v>16</v>
      </c>
      <c r="F92" s="409"/>
      <c r="G92" s="541" t="str">
        <f t="shared" si="85"/>
        <v>Cheristina-blanc</v>
      </c>
      <c r="H92" s="411" t="s">
        <v>413</v>
      </c>
      <c r="I92" s="113">
        <f>+IFERROR(IF(K93=0,0,IF((LOOKUP(2,1/(M92:W92&lt;&gt;""),M92:W92)-K93)&lt;0,0,IF(K93=0,"",LOOKUP(2,1/(M92:W92&lt;&gt;""),M92:W92)-K93))),0)</f>
        <v>0</v>
      </c>
      <c r="J92" s="113"/>
      <c r="K92" s="114" t="s">
        <v>22</v>
      </c>
      <c r="L92" s="102" t="s">
        <v>18</v>
      </c>
      <c r="M92" s="448">
        <v>53</v>
      </c>
      <c r="N92" s="448">
        <v>56</v>
      </c>
      <c r="O92" s="448">
        <v>56</v>
      </c>
      <c r="P92" s="448">
        <v>56</v>
      </c>
      <c r="Q92" s="448">
        <v>56</v>
      </c>
      <c r="R92" s="448">
        <v>56</v>
      </c>
      <c r="S92" s="448">
        <v>56</v>
      </c>
      <c r="T92" s="448">
        <v>56</v>
      </c>
      <c r="U92" s="448"/>
      <c r="V92" s="448"/>
      <c r="W92" s="448"/>
      <c r="X92" s="160">
        <f>+IF(H92="l",IF(COUNTA(M91:W91)=AK93+0.75,AA91-K91*AK93,AA91-(K91*COUNTA(M91:W91))),IF(H92="s",0,IF(COUNTA(M91:W91)=AK93+0.75,SUMIF($C:$C,B91,$AA:$AA)-K91*AK93,SUMIF($C:$C,B91,$AA:$AA)-K91*COUNTA(M91:W91))))</f>
        <v>-432</v>
      </c>
      <c r="Y92" s="466"/>
      <c r="Z92" s="534"/>
      <c r="AA92" s="462">
        <f t="shared" ref="AA92:AA93" si="87">+SUM(M92:W92)-T92*0.75</f>
        <v>403</v>
      </c>
      <c r="AB92" s="360"/>
      <c r="AC92" s="360"/>
      <c r="AD92" s="362"/>
      <c r="AE92" s="363"/>
      <c r="AF92" s="346"/>
      <c r="AG92" s="347">
        <f t="shared" si="1"/>
        <v>0</v>
      </c>
      <c r="AH92" s="341">
        <f t="shared" si="2"/>
        <v>0</v>
      </c>
      <c r="AI92" s="341"/>
      <c r="AJ92" s="341"/>
      <c r="AK92" s="348"/>
      <c r="AL92" s="349">
        <f>+IF(AK93=7.75,SUM(M92:S92)+T92*0.75,IF(AK93=8,SUM(M92:T92),IF(AK93=7.25,SUM(M92:S92)+T92*0.25,IF(AK93=8.25,SUM(M92:T92)+U92*0.25,IF(AK93=8.75,SUM(M92:T92)+U92*0.75,0)))))</f>
        <v>403</v>
      </c>
      <c r="AM92" s="341">
        <f>+AL92-AA92</f>
        <v>0</v>
      </c>
      <c r="AN92" s="341"/>
      <c r="AO92" s="341"/>
      <c r="AP92" s="341"/>
      <c r="AQ92" s="438"/>
      <c r="AR92" s="434"/>
      <c r="AT92" s="390"/>
      <c r="AV92" s="390"/>
    </row>
    <row r="93" spans="2:59" s="98" customFormat="1" ht="62.25" customHeight="1" thickBot="1" x14ac:dyDescent="0.95">
      <c r="B93" s="375">
        <f>+B91</f>
        <v>16</v>
      </c>
      <c r="C93" s="410"/>
      <c r="D93" s="413" t="s">
        <v>152</v>
      </c>
      <c r="E93" s="175">
        <f>+E92+100</f>
        <v>116</v>
      </c>
      <c r="F93" s="175"/>
      <c r="G93" s="542" t="str">
        <f t="shared" si="85"/>
        <v>Cheristina-blanc</v>
      </c>
      <c r="H93" s="117"/>
      <c r="I93" s="442"/>
      <c r="J93" s="165">
        <f>+IF(K93="","",IF(K91=0,"",(K91*J91)/(K93*60)))</f>
        <v>0.86128654970760232</v>
      </c>
      <c r="K93" s="118">
        <v>57</v>
      </c>
      <c r="L93" s="104" t="s">
        <v>19</v>
      </c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173"/>
      <c r="Y93" s="467">
        <v>28.667142857142856</v>
      </c>
      <c r="Z93" s="371">
        <f>+IF(COUNTA(M91:W91)=$AJ$4+0.25,$AJ$4-(AA91/K91),COUNTA(M91:W91)-(AA91/K91))+Y93</f>
        <v>32.502857142857138</v>
      </c>
      <c r="AA93" s="465">
        <f t="shared" si="87"/>
        <v>0</v>
      </c>
      <c r="AB93" s="367"/>
      <c r="AC93" s="367"/>
      <c r="AD93" s="368">
        <f>+IFERROR(AD91/(K91*$AQ$3),"")</f>
        <v>1.1877551020408164</v>
      </c>
      <c r="AE93" s="369"/>
      <c r="AF93" s="347"/>
      <c r="AG93" s="347">
        <f t="shared" si="1"/>
        <v>0</v>
      </c>
      <c r="AH93" s="341">
        <f t="shared" si="2"/>
        <v>0</v>
      </c>
      <c r="AI93" s="341"/>
      <c r="AJ93" s="356"/>
      <c r="AK93" s="370">
        <f>+$AJ$4</f>
        <v>7.25</v>
      </c>
      <c r="AL93" s="349">
        <f>+IF(AK93=7.75,SUM(M93:S93)+T93*0.75,IF(AK93=8,SUM(M93:T93),IF(AK93=7.25,SUM(M93:S93)+T93*0.25,IF(AK93=8.25,SUM(M93:T93)+U93*0.25,IF(AK93=8.75,SUM(M93:T93)+U93*0.75,0)))))</f>
        <v>0</v>
      </c>
      <c r="AM93" s="341">
        <f>+AL93-AA93</f>
        <v>0</v>
      </c>
      <c r="AN93" s="341"/>
      <c r="AO93" s="341"/>
      <c r="AP93" s="341"/>
      <c r="AQ93" s="369"/>
      <c r="AR93" s="434"/>
      <c r="AT93" s="390">
        <v>1.2228571428571429</v>
      </c>
      <c r="AV93" s="390"/>
    </row>
    <row r="94" spans="2:59" s="98" customFormat="1" ht="62.25" customHeight="1" thickTop="1" x14ac:dyDescent="0.9">
      <c r="B94" s="342">
        <f>+B95</f>
        <v>17</v>
      </c>
      <c r="C94" s="405"/>
      <c r="D94" s="106"/>
      <c r="E94" s="106"/>
      <c r="F94" s="106"/>
      <c r="G94" s="539" t="s">
        <v>442</v>
      </c>
      <c r="H94" s="106"/>
      <c r="I94" s="111"/>
      <c r="J94" s="107" t="s">
        <v>20</v>
      </c>
      <c r="K94" s="108" t="s">
        <v>23</v>
      </c>
      <c r="L94" s="100" t="s">
        <v>21</v>
      </c>
      <c r="M94" s="448">
        <v>60</v>
      </c>
      <c r="N94" s="448">
        <v>60</v>
      </c>
      <c r="O94" s="448"/>
      <c r="P94" s="448">
        <v>60</v>
      </c>
      <c r="Q94" s="448">
        <v>60</v>
      </c>
      <c r="R94" s="448"/>
      <c r="S94" s="448">
        <v>120</v>
      </c>
      <c r="T94" s="448"/>
      <c r="U94" s="448"/>
      <c r="V94" s="448"/>
      <c r="W94" s="448"/>
      <c r="X94" s="447">
        <f t="shared" ref="X94" si="88">IF(AQ95="","",SUM(M94:W94)-(-(AQ95-SUM(M94:W94))/$AQ$3)*SUM($M$2:$W$2))</f>
        <v>360</v>
      </c>
      <c r="Y94" s="466">
        <v>0.75</v>
      </c>
      <c r="Z94" s="533">
        <f>+X96</f>
        <v>-16.25</v>
      </c>
      <c r="AA94" s="447">
        <f t="shared" si="62"/>
        <v>360</v>
      </c>
      <c r="AB94" s="343">
        <f>+AC94+AA94</f>
        <v>2160</v>
      </c>
      <c r="AC94" s="343">
        <v>1800</v>
      </c>
      <c r="AD94" s="344"/>
      <c r="AE94" s="345"/>
      <c r="AF94" s="346"/>
      <c r="AG94" s="347">
        <f t="shared" ref="AG94:AG101" si="89">TRUNC(AF94)+(AF94-TRUNC(AF94))*60/100</f>
        <v>0</v>
      </c>
      <c r="AH94" s="341">
        <f t="shared" ref="AH94:AH101" si="90">+AF94*60</f>
        <v>0</v>
      </c>
      <c r="AI94" s="341"/>
      <c r="AJ94" s="341"/>
      <c r="AK94" s="348"/>
      <c r="AL94" s="349"/>
      <c r="AM94" s="341"/>
      <c r="AN94" s="341"/>
      <c r="AO94" s="341"/>
      <c r="AP94" s="341"/>
      <c r="AQ94" s="350"/>
      <c r="AR94" s="434"/>
      <c r="AT94" s="390"/>
      <c r="AV94" s="390"/>
    </row>
    <row r="95" spans="2:59" s="98" customFormat="1" ht="62.25" customHeight="1" x14ac:dyDescent="0.9">
      <c r="B95" s="351">
        <v>17</v>
      </c>
      <c r="C95" s="406">
        <f>+B95</f>
        <v>17</v>
      </c>
      <c r="D95" s="407" t="s">
        <v>441</v>
      </c>
      <c r="E95" s="111"/>
      <c r="F95" s="111" t="s">
        <v>35</v>
      </c>
      <c r="G95" s="539" t="str">
        <f t="shared" ref="G95:G97" si="91">+G94</f>
        <v>2259-600-730</v>
      </c>
      <c r="H95" s="111"/>
      <c r="I95" s="111" t="s">
        <v>33</v>
      </c>
      <c r="J95" s="113">
        <v>34.450000000000003</v>
      </c>
      <c r="K95" s="130">
        <v>61</v>
      </c>
      <c r="L95" s="101" t="s">
        <v>17</v>
      </c>
      <c r="M95" s="214">
        <v>61</v>
      </c>
      <c r="N95" s="214">
        <v>61</v>
      </c>
      <c r="O95" s="214">
        <v>61</v>
      </c>
      <c r="P95" s="214">
        <v>41</v>
      </c>
      <c r="Q95" s="214">
        <v>66</v>
      </c>
      <c r="R95" s="214">
        <v>66</v>
      </c>
      <c r="S95" s="214">
        <v>60</v>
      </c>
      <c r="T95" s="214">
        <v>10</v>
      </c>
      <c r="U95" s="214"/>
      <c r="V95" s="214"/>
      <c r="W95" s="214"/>
      <c r="X95" s="123">
        <f>+IF(H96="s",0,IF(AA95=0,0,IF(COUNTA(M95:W95)=AK97+0.75,SUMIF($C:$C,B95,$AA:$AA)/AK97,SUMIF($C:$C,B95,$AA:$AA)/(COUNTA(M95:W95)))))</f>
        <v>58.758620689655174</v>
      </c>
      <c r="Y95" s="466"/>
      <c r="Z95" s="534"/>
      <c r="AA95" s="134">
        <f t="shared" si="62"/>
        <v>426</v>
      </c>
      <c r="AB95" s="354">
        <f>+AA95+AC95</f>
        <v>1220</v>
      </c>
      <c r="AC95" s="354">
        <v>794</v>
      </c>
      <c r="AD95" s="355">
        <f>+AB94-AB95</f>
        <v>940</v>
      </c>
      <c r="AE95" s="131">
        <f>+IF(((AA96+(AA97/2))*60)=0,"",(J95*AA95)/((AA96+(AA97/2))*60))</f>
        <v>0.86505747126436783</v>
      </c>
      <c r="AF95" s="347">
        <f>+AA96+AA97/2</f>
        <v>282.75</v>
      </c>
      <c r="AG95" s="347">
        <f t="shared" si="89"/>
        <v>282.45</v>
      </c>
      <c r="AH95" s="341">
        <f t="shared" si="90"/>
        <v>16965</v>
      </c>
      <c r="AI95" s="341">
        <f>+AA95*J95</f>
        <v>14675.7</v>
      </c>
      <c r="AJ95" s="356">
        <f>+AA95-(AF95*K95/K97)</f>
        <v>-27.888157894736821</v>
      </c>
      <c r="AK95" s="348"/>
      <c r="AL95" s="349"/>
      <c r="AM95" s="341"/>
      <c r="AN95" s="341"/>
      <c r="AO95" s="341"/>
      <c r="AP95" s="341"/>
      <c r="AQ95" s="339">
        <f t="shared" ref="AQ95" si="92">IF(AR95=0,"",AT95-(($AQ$3*K95)+($AQ$3*K95)*AR95)+AA94)</f>
        <v>31.625</v>
      </c>
      <c r="AR95" s="434">
        <v>1.5</v>
      </c>
      <c r="AT95" s="390">
        <v>1006</v>
      </c>
      <c r="AV95" s="390">
        <f t="shared" ref="AV95" si="93">+AT95-AD95</f>
        <v>66</v>
      </c>
    </row>
    <row r="96" spans="2:59" s="98" customFormat="1" ht="62.25" customHeight="1" x14ac:dyDescent="0.9">
      <c r="B96" s="357">
        <f>+B95</f>
        <v>17</v>
      </c>
      <c r="C96" s="408"/>
      <c r="D96" s="184"/>
      <c r="E96" s="111">
        <f>+B95</f>
        <v>17</v>
      </c>
      <c r="F96" s="409"/>
      <c r="G96" s="539" t="str">
        <f t="shared" si="91"/>
        <v>2259-600-730</v>
      </c>
      <c r="H96" s="411" t="s">
        <v>413</v>
      </c>
      <c r="I96" s="113">
        <f>+IFERROR(IF(K97=0,0,IF((LOOKUP(2,1/(M96:W96&lt;&gt;""),M96:W96)-K97)&lt;0,0,IF(K97=0,"",LOOKUP(2,1/(M96:W96&lt;&gt;""),M96:W96)-K97))),0)</f>
        <v>1</v>
      </c>
      <c r="J96" s="113">
        <v>0</v>
      </c>
      <c r="K96" s="114" t="s">
        <v>22</v>
      </c>
      <c r="L96" s="102" t="s">
        <v>18</v>
      </c>
      <c r="M96" s="448">
        <v>39</v>
      </c>
      <c r="N96" s="448">
        <v>39</v>
      </c>
      <c r="O96" s="448">
        <v>39</v>
      </c>
      <c r="P96" s="448">
        <v>39</v>
      </c>
      <c r="Q96" s="448">
        <v>39</v>
      </c>
      <c r="R96" s="448">
        <v>39</v>
      </c>
      <c r="S96" s="448">
        <v>39</v>
      </c>
      <c r="T96" s="448">
        <v>39</v>
      </c>
      <c r="U96" s="448"/>
      <c r="V96" s="448"/>
      <c r="W96" s="448"/>
      <c r="X96" s="160">
        <f>+IF(H96="l",IF(COUNTA(M95:W95)=AK97+0.75,AA95-K95*AK97,AA95-(K95*COUNTA(M95:W95))),IF(H96="s",0,IF(COUNTA(M95:W95)=AK97+0.75,SUMIF($C:$C,B95,$AA:$AA)-K95*AK97,SUMIF($C:$C,B95,$AA:$AA)-K95*COUNTA(M95:W95))))</f>
        <v>-16.25</v>
      </c>
      <c r="Y96" s="466"/>
      <c r="Z96" s="534"/>
      <c r="AA96" s="462">
        <f t="shared" ref="AA96:AA97" si="94">+SUM(M96:W96)-T96*0.75</f>
        <v>282.75</v>
      </c>
      <c r="AB96" s="360"/>
      <c r="AC96" s="360"/>
      <c r="AD96" s="362"/>
      <c r="AE96" s="363"/>
      <c r="AF96" s="346"/>
      <c r="AG96" s="347">
        <f t="shared" si="89"/>
        <v>0</v>
      </c>
      <c r="AH96" s="341">
        <f t="shared" si="90"/>
        <v>0</v>
      </c>
      <c r="AI96" s="341"/>
      <c r="AJ96" s="341"/>
      <c r="AK96" s="348"/>
      <c r="AL96" s="349">
        <f>+IF(AK97=7.75,SUM(M96:S96)+T96*0.75,IF(AK97=8,SUM(M96:T96),IF(AK97=7.25,SUM(M96:S96)+T96*0.25,IF(AK97=8.25,SUM(M96:T96)+U96*0.25,IF(AK97=8.75,SUM(M96:T96)+U96*0.75,0)))))</f>
        <v>282.75</v>
      </c>
      <c r="AM96" s="341">
        <f>+AL96-AA96</f>
        <v>0</v>
      </c>
      <c r="AN96" s="341"/>
      <c r="AO96" s="341"/>
      <c r="AP96" s="341"/>
      <c r="AQ96" s="438"/>
      <c r="AR96" s="434"/>
      <c r="AT96" s="390"/>
      <c r="AV96" s="390"/>
    </row>
    <row r="97" spans="2:48" s="98" customFormat="1" ht="62.25" customHeight="1" thickBot="1" x14ac:dyDescent="0.95">
      <c r="B97" s="364">
        <f>+B95</f>
        <v>17</v>
      </c>
      <c r="C97" s="410"/>
      <c r="D97" s="174" t="s">
        <v>379</v>
      </c>
      <c r="E97" s="175">
        <f>+E96+100</f>
        <v>117</v>
      </c>
      <c r="F97" s="175"/>
      <c r="G97" s="539" t="str">
        <f t="shared" si="91"/>
        <v>2259-600-730</v>
      </c>
      <c r="H97" s="117"/>
      <c r="I97" s="442"/>
      <c r="J97" s="165">
        <f>+IF(K97="","",IF(K95=0,"",(K95*J95)/(K97*60)))</f>
        <v>0.92168859649122814</v>
      </c>
      <c r="K97" s="118">
        <v>38</v>
      </c>
      <c r="L97" s="104" t="s">
        <v>19</v>
      </c>
      <c r="M97" s="216"/>
      <c r="N97" s="216"/>
      <c r="O97" s="216"/>
      <c r="P97" s="216"/>
      <c r="Q97" s="216"/>
      <c r="R97" s="216"/>
      <c r="S97" s="216"/>
      <c r="T97" s="216"/>
      <c r="U97" s="216"/>
      <c r="V97" s="216"/>
      <c r="W97" s="216"/>
      <c r="X97" s="173"/>
      <c r="Y97" s="467">
        <v>36.874404918032788</v>
      </c>
      <c r="Z97" s="371">
        <f>6.1167+IF(COUNTA(M95:W95)=$AJ$4+0.25,$AJ$4-(AA95/K95),COUNTA(M95:W95)-(AA95/K95))+Y97</f>
        <v>44.007498360655738</v>
      </c>
      <c r="AA97" s="465">
        <f t="shared" si="94"/>
        <v>0</v>
      </c>
      <c r="AB97" s="367"/>
      <c r="AC97" s="367"/>
      <c r="AD97" s="368">
        <f>+IFERROR(AD95/(K95*$AQ$3),"")</f>
        <v>1.7611241217798594</v>
      </c>
      <c r="AE97" s="369"/>
      <c r="AF97" s="347"/>
      <c r="AG97" s="347">
        <f t="shared" si="89"/>
        <v>0</v>
      </c>
      <c r="AH97" s="341">
        <f t="shared" si="90"/>
        <v>0</v>
      </c>
      <c r="AI97" s="341"/>
      <c r="AJ97" s="356"/>
      <c r="AK97" s="370">
        <f>+$AJ$4</f>
        <v>7.25</v>
      </c>
      <c r="AL97" s="349">
        <f>+IF(AK97=7.75,SUM(M97:S97)+T97*0.75,IF(AK97=8,SUM(M97:T97),IF(AK97=7.25,SUM(M97:S97)+T97*0.25,IF(AK97=8.25,SUM(M97:T97)+U97*0.25,IF(AK97=8.75,SUM(M97:T97)+U97*0.75,0)))))</f>
        <v>0</v>
      </c>
      <c r="AM97" s="341">
        <f>+AL97-AA97</f>
        <v>0</v>
      </c>
      <c r="AN97" s="341"/>
      <c r="AO97" s="341"/>
      <c r="AP97" s="341"/>
      <c r="AQ97" s="369"/>
      <c r="AR97" s="434"/>
      <c r="AT97" s="390">
        <v>1.8847775175644028</v>
      </c>
      <c r="AV97" s="390"/>
    </row>
    <row r="98" spans="2:48" s="98" customFormat="1" ht="62.25" customHeight="1" thickTop="1" x14ac:dyDescent="0.9">
      <c r="B98" s="373">
        <f>+B99</f>
        <v>18</v>
      </c>
      <c r="C98" s="405"/>
      <c r="D98" s="106"/>
      <c r="E98" s="106"/>
      <c r="F98" s="106"/>
      <c r="G98" s="540" t="s">
        <v>481</v>
      </c>
      <c r="H98" s="106"/>
      <c r="I98" s="106"/>
      <c r="J98" s="107" t="s">
        <v>20</v>
      </c>
      <c r="K98" s="108" t="s">
        <v>23</v>
      </c>
      <c r="L98" s="100" t="s">
        <v>21</v>
      </c>
      <c r="M98" s="448">
        <v>60</v>
      </c>
      <c r="N98" s="448">
        <v>60</v>
      </c>
      <c r="O98" s="448">
        <v>60</v>
      </c>
      <c r="P98" s="448">
        <v>60</v>
      </c>
      <c r="Q98" s="448">
        <v>60</v>
      </c>
      <c r="R98" s="448"/>
      <c r="S98" s="448"/>
      <c r="T98" s="448"/>
      <c r="U98" s="448"/>
      <c r="V98" s="448"/>
      <c r="W98" s="448"/>
      <c r="X98" s="447">
        <f t="shared" ref="X98" si="95">IF(AQ99="","",SUM(M98:W98)-(-(AQ99-SUM(M98:W98))/$AQ$3)*SUM($M$2:$W$2))</f>
        <v>300</v>
      </c>
      <c r="Y98" s="466">
        <v>-156</v>
      </c>
      <c r="Z98" s="533">
        <f>+X100</f>
        <v>-315</v>
      </c>
      <c r="AA98" s="447">
        <f t="shared" si="62"/>
        <v>300</v>
      </c>
      <c r="AB98" s="343">
        <f>+AC98+AA98</f>
        <v>1170</v>
      </c>
      <c r="AC98" s="343">
        <v>870</v>
      </c>
      <c r="AD98" s="344"/>
      <c r="AE98" s="345"/>
      <c r="AF98" s="346"/>
      <c r="AG98" s="347">
        <f t="shared" si="89"/>
        <v>0</v>
      </c>
      <c r="AH98" s="341">
        <f t="shared" si="90"/>
        <v>0</v>
      </c>
      <c r="AI98" s="341"/>
      <c r="AJ98" s="341"/>
      <c r="AK98" s="348"/>
      <c r="AL98" s="349"/>
      <c r="AM98" s="341"/>
      <c r="AN98" s="341"/>
      <c r="AO98" s="341"/>
      <c r="AP98" s="341"/>
      <c r="AQ98" s="350"/>
      <c r="AR98" s="434"/>
      <c r="AT98" s="390"/>
      <c r="AV98" s="390"/>
    </row>
    <row r="99" spans="2:48" s="98" customFormat="1" ht="62.25" customHeight="1" x14ac:dyDescent="0.9">
      <c r="B99" s="374">
        <v>18</v>
      </c>
      <c r="C99" s="406">
        <f>+B99</f>
        <v>18</v>
      </c>
      <c r="D99" s="407" t="s">
        <v>480</v>
      </c>
      <c r="E99" s="111"/>
      <c r="F99" s="111" t="s">
        <v>35</v>
      </c>
      <c r="G99" s="541" t="str">
        <f t="shared" ref="G99:G101" si="96">+G98</f>
        <v>2396-593-600</v>
      </c>
      <c r="H99" s="111"/>
      <c r="I99" s="111" t="s">
        <v>33</v>
      </c>
      <c r="J99" s="113">
        <v>38.82</v>
      </c>
      <c r="K99" s="130">
        <v>60</v>
      </c>
      <c r="L99" s="101" t="s">
        <v>17</v>
      </c>
      <c r="M99" s="214">
        <v>0</v>
      </c>
      <c r="N99" s="214">
        <v>0</v>
      </c>
      <c r="O99" s="214">
        <v>0</v>
      </c>
      <c r="P99" s="214">
        <v>20</v>
      </c>
      <c r="Q99" s="214">
        <v>30</v>
      </c>
      <c r="R99" s="214">
        <v>30</v>
      </c>
      <c r="S99" s="214">
        <v>30</v>
      </c>
      <c r="T99" s="214">
        <v>10</v>
      </c>
      <c r="U99" s="214"/>
      <c r="V99" s="214"/>
      <c r="W99" s="214"/>
      <c r="X99" s="123">
        <f>+IF(H100="s",0,IF(AA99=0,0,IF(COUNTA(M99:W99)=AK101+0.75,SUMIF($C:$C,B99,$AA:$AA)/AK101,SUMIF($C:$C,B99,$AA:$AA)/(COUNTA(M99:W99)))))</f>
        <v>16.551724137931036</v>
      </c>
      <c r="Y99" s="466"/>
      <c r="Z99" s="534"/>
      <c r="AA99" s="134">
        <f t="shared" si="62"/>
        <v>120</v>
      </c>
      <c r="AB99" s="354">
        <f>+AA99+AC99</f>
        <v>120</v>
      </c>
      <c r="AC99" s="354">
        <v>0</v>
      </c>
      <c r="AD99" s="355">
        <f>+AB98-AB99</f>
        <v>1050</v>
      </c>
      <c r="AE99" s="131">
        <f>+IF(((AA100+(AA101/2))*60)=0,"",(J99*AA99)/((AA100+(AA101/2))*60))</f>
        <v>0.24745816733067727</v>
      </c>
      <c r="AF99" s="347">
        <f>+AA100+AA101/2</f>
        <v>313.75</v>
      </c>
      <c r="AG99" s="347">
        <f t="shared" si="89"/>
        <v>313.45</v>
      </c>
      <c r="AH99" s="341">
        <f t="shared" si="90"/>
        <v>18825</v>
      </c>
      <c r="AI99" s="341">
        <f>+AA99*J99</f>
        <v>4658.3999999999996</v>
      </c>
      <c r="AJ99" s="356">
        <f>+AA99-(AF99*K99/K101)</f>
        <v>-317.7906976744186</v>
      </c>
      <c r="AK99" s="348"/>
      <c r="AL99" s="349"/>
      <c r="AM99" s="341"/>
      <c r="AN99" s="341"/>
      <c r="AO99" s="341"/>
      <c r="AP99" s="341"/>
      <c r="AQ99" s="339">
        <f>-300+AA98</f>
        <v>0</v>
      </c>
      <c r="AR99" s="434"/>
      <c r="AT99" s="390">
        <v>870</v>
      </c>
      <c r="AV99" s="390">
        <f t="shared" ref="AV99" si="97">+AT99-AD99</f>
        <v>-180</v>
      </c>
    </row>
    <row r="100" spans="2:48" s="98" customFormat="1" ht="62.25" customHeight="1" x14ac:dyDescent="0.9">
      <c r="B100" s="357">
        <f>+B99</f>
        <v>18</v>
      </c>
      <c r="C100" s="408"/>
      <c r="D100" s="184"/>
      <c r="E100" s="111">
        <f>+B99</f>
        <v>18</v>
      </c>
      <c r="F100" s="409"/>
      <c r="G100" s="541" t="str">
        <f t="shared" si="96"/>
        <v>2396-593-600</v>
      </c>
      <c r="H100" s="411" t="s">
        <v>413</v>
      </c>
      <c r="I100" s="113">
        <f>+IFERROR(IF(K101=0,0,IF((LOOKUP(2,1/(M100:W100&lt;&gt;""),M100:W100)-K101)&lt;0,0,IF(K101=0,"",LOOKUP(2,1/(M100:W100&lt;&gt;""),M100:W100)-K101))),0)</f>
        <v>0</v>
      </c>
      <c r="J100" s="113">
        <v>2</v>
      </c>
      <c r="K100" s="114" t="s">
        <v>22</v>
      </c>
      <c r="L100" s="102" t="s">
        <v>18</v>
      </c>
      <c r="M100" s="448">
        <v>44</v>
      </c>
      <c r="N100" s="448">
        <v>44</v>
      </c>
      <c r="O100" s="448">
        <v>43</v>
      </c>
      <c r="P100" s="448">
        <v>43</v>
      </c>
      <c r="Q100" s="448">
        <v>43</v>
      </c>
      <c r="R100" s="448">
        <v>43</v>
      </c>
      <c r="S100" s="448">
        <v>43</v>
      </c>
      <c r="T100" s="448">
        <v>43</v>
      </c>
      <c r="U100" s="448"/>
      <c r="V100" s="448"/>
      <c r="W100" s="448"/>
      <c r="X100" s="160">
        <f>+IF(H100="l",IF(COUNTA(M99:W99)=AK101+0.75,AA99-K99*AK101,AA99-(K99*COUNTA(M99:W99))),IF(H100="s",0,IF(COUNTA(M99:W99)=AK101+0.75,SUMIF($C:$C,B99,$AA:$AA)-K99*AK101,SUMIF($C:$C,B99,$AA:$AA)-K99*COUNTA(M99:W99))))</f>
        <v>-315</v>
      </c>
      <c r="Y100" s="466"/>
      <c r="Z100" s="534"/>
      <c r="AA100" s="462">
        <f t="shared" ref="AA100:AA101" si="98">+SUM(M100:W100)-T100*0.75</f>
        <v>313.75</v>
      </c>
      <c r="AB100" s="361"/>
      <c r="AC100" s="361"/>
      <c r="AD100" s="362"/>
      <c r="AE100" s="363"/>
      <c r="AF100" s="346"/>
      <c r="AG100" s="347">
        <f t="shared" si="89"/>
        <v>0</v>
      </c>
      <c r="AH100" s="341">
        <f t="shared" si="90"/>
        <v>0</v>
      </c>
      <c r="AI100" s="341"/>
      <c r="AJ100" s="341"/>
      <c r="AK100" s="348"/>
      <c r="AL100" s="349">
        <f>+IF(AK101=7.75,SUM(M100:S100)+U100*0.75,IF(AK101=8,SUM(M100:U100),IF(AK101=7.25,SUM(M100:S100)+U100*0.25,IF(AK101=8.25,SUM(M100:U100)+#REF!*0.25,IF(AK101=8.75,SUM(M100:U100)+#REF!*0.75,0)))))</f>
        <v>303</v>
      </c>
      <c r="AM100" s="341">
        <f>+AL100-AA100</f>
        <v>-10.75</v>
      </c>
      <c r="AN100" s="341"/>
      <c r="AO100" s="341"/>
      <c r="AP100" s="341"/>
      <c r="AQ100" s="438"/>
      <c r="AR100" s="434"/>
      <c r="AT100" s="390"/>
      <c r="AV100" s="390"/>
    </row>
    <row r="101" spans="2:48" s="98" customFormat="1" ht="62.25" customHeight="1" thickBot="1" x14ac:dyDescent="0.95">
      <c r="B101" s="375">
        <f>+B99</f>
        <v>18</v>
      </c>
      <c r="C101" s="410"/>
      <c r="D101" s="413" t="s">
        <v>308</v>
      </c>
      <c r="E101" s="175">
        <f>+E100+100</f>
        <v>118</v>
      </c>
      <c r="F101" s="175"/>
      <c r="G101" s="542" t="str">
        <f t="shared" si="96"/>
        <v>2396-593-600</v>
      </c>
      <c r="H101" s="117"/>
      <c r="I101" s="442"/>
      <c r="J101" s="165">
        <f>+IF(K101="","",IF(K99=0,"",(K99*J99)/(K101*60)))</f>
        <v>0.90279069767441855</v>
      </c>
      <c r="K101" s="118">
        <v>43</v>
      </c>
      <c r="L101" s="104" t="s">
        <v>19</v>
      </c>
      <c r="M101" s="216"/>
      <c r="N101" s="216"/>
      <c r="O101" s="216"/>
      <c r="P101" s="216"/>
      <c r="Q101" s="216"/>
      <c r="R101" s="216"/>
      <c r="S101" s="216"/>
      <c r="T101" s="216"/>
      <c r="U101" s="216"/>
      <c r="V101" s="216"/>
      <c r="W101" s="216"/>
      <c r="X101" s="173"/>
      <c r="Y101" s="467">
        <v>4.827</v>
      </c>
      <c r="Z101" s="371">
        <f>+IF(COUNTA(M99:W99)=$AJ$4+0.25,$AJ$4-(AA99/K99),COUNTA(M99:W99)-(AA99/K99))+Y101</f>
        <v>10.827</v>
      </c>
      <c r="AA101" s="465">
        <f t="shared" si="98"/>
        <v>0</v>
      </c>
      <c r="AB101" s="367"/>
      <c r="AC101" s="367"/>
      <c r="AD101" s="368">
        <f>+IFERROR(AD99/(K99*$AQ$3),"")</f>
        <v>2</v>
      </c>
      <c r="AE101" s="369"/>
      <c r="AF101" s="347"/>
      <c r="AG101" s="347">
        <f t="shared" si="89"/>
        <v>0</v>
      </c>
      <c r="AH101" s="341">
        <f t="shared" si="90"/>
        <v>0</v>
      </c>
      <c r="AI101" s="341"/>
      <c r="AJ101" s="356"/>
      <c r="AK101" s="370">
        <f>+$AJ$4</f>
        <v>7.25</v>
      </c>
      <c r="AL101" s="349">
        <f>+IF(AK101=7.75,SUM(M101:S101)+T101*0.75,IF(AK101=8,SUM(M101:T101),IF(AK101=7.25,SUM(M101:S101)+T101*0.25,IF(AK101=8.25,SUM(M101:T101)+U101*0.25,IF(AK101=8.75,SUM(M101:T101)+U101*0.75,0)))))</f>
        <v>0</v>
      </c>
      <c r="AM101" s="341">
        <f>+AL101-AA101</f>
        <v>0</v>
      </c>
      <c r="AN101" s="341"/>
      <c r="AO101" s="341"/>
      <c r="AP101" s="341"/>
      <c r="AQ101" s="369"/>
      <c r="AR101" s="434"/>
      <c r="AT101" s="390">
        <v>1.9120879120879122</v>
      </c>
      <c r="AV101" s="390"/>
    </row>
    <row r="102" spans="2:48" s="419" customFormat="1" ht="91.5" customHeight="1" thickTop="1" thickBot="1" x14ac:dyDescent="0.95">
      <c r="B102" s="414"/>
      <c r="C102" s="414"/>
      <c r="D102" s="415"/>
      <c r="E102" s="415"/>
      <c r="F102" s="415"/>
      <c r="G102" s="415"/>
      <c r="H102" s="415"/>
      <c r="I102" s="415"/>
      <c r="J102" s="415"/>
      <c r="K102" s="415"/>
      <c r="L102" s="416"/>
      <c r="M102" s="416"/>
      <c r="N102" s="416"/>
      <c r="O102" s="416"/>
      <c r="P102" s="416"/>
      <c r="Q102" s="416"/>
      <c r="R102" s="416"/>
      <c r="S102" s="416"/>
      <c r="T102" s="416"/>
      <c r="U102" s="416"/>
      <c r="V102" s="416"/>
      <c r="W102" s="416"/>
      <c r="X102" s="415"/>
      <c r="Y102" s="415"/>
      <c r="Z102" s="415"/>
      <c r="AA102" s="415"/>
      <c r="AB102" s="415"/>
      <c r="AC102" s="415"/>
      <c r="AD102" s="415"/>
      <c r="AE102" s="417"/>
      <c r="AF102" s="418"/>
      <c r="AG102" s="418"/>
      <c r="AK102" s="420"/>
      <c r="AL102" s="421"/>
      <c r="AR102" s="435"/>
    </row>
    <row r="103" spans="2:48" s="419" customFormat="1" ht="91.5" customHeight="1" thickTop="1" thickBot="1" x14ac:dyDescent="0.95">
      <c r="B103" s="414"/>
      <c r="C103" s="414"/>
      <c r="D103" s="415"/>
      <c r="E103" s="415"/>
      <c r="F103" s="415"/>
      <c r="G103" s="415"/>
      <c r="H103" s="415"/>
      <c r="I103" s="415"/>
      <c r="J103" s="415"/>
      <c r="K103" s="415"/>
      <c r="L103" s="378" t="s">
        <v>21</v>
      </c>
      <c r="M103" s="379">
        <f t="shared" ref="M103:W103" si="99">+SUMIF($L$6:$L$102,$L$103,M6:M102)</f>
        <v>1208</v>
      </c>
      <c r="N103" s="379">
        <f t="shared" si="99"/>
        <v>1387</v>
      </c>
      <c r="O103" s="379">
        <f t="shared" si="99"/>
        <v>308</v>
      </c>
      <c r="P103" s="379">
        <f t="shared" si="99"/>
        <v>600</v>
      </c>
      <c r="Q103" s="379">
        <f t="shared" si="99"/>
        <v>800</v>
      </c>
      <c r="R103" s="379">
        <f t="shared" si="99"/>
        <v>120</v>
      </c>
      <c r="S103" s="379">
        <f t="shared" si="99"/>
        <v>410</v>
      </c>
      <c r="T103" s="379">
        <f t="shared" si="99"/>
        <v>110</v>
      </c>
      <c r="U103" s="379">
        <f t="shared" si="99"/>
        <v>0</v>
      </c>
      <c r="V103" s="379">
        <f t="shared" si="99"/>
        <v>0</v>
      </c>
      <c r="W103" s="379">
        <f t="shared" si="99"/>
        <v>0</v>
      </c>
      <c r="X103" s="332"/>
      <c r="Y103" s="332"/>
      <c r="Z103" s="537">
        <f>+SUM(M103:W103)</f>
        <v>4943</v>
      </c>
      <c r="AA103" s="538"/>
      <c r="AB103" s="415"/>
      <c r="AC103" s="415"/>
      <c r="AD103" s="415"/>
      <c r="AE103" s="417"/>
      <c r="AF103" s="418"/>
      <c r="AG103" s="418"/>
      <c r="AK103" s="420"/>
      <c r="AR103" s="435"/>
    </row>
    <row r="104" spans="2:48" s="419" customFormat="1" ht="91.5" customHeight="1" thickTop="1" thickBot="1" x14ac:dyDescent="0.95">
      <c r="B104" s="414"/>
      <c r="C104" s="414"/>
      <c r="D104" s="415"/>
      <c r="E104" s="415"/>
      <c r="F104" s="415"/>
      <c r="G104" s="415"/>
      <c r="H104" s="415"/>
      <c r="I104" s="415"/>
      <c r="J104" s="415"/>
      <c r="K104" s="415"/>
      <c r="L104" s="380"/>
      <c r="M104" s="376"/>
      <c r="N104" s="376"/>
      <c r="O104" s="376"/>
      <c r="P104" s="376"/>
      <c r="Q104" s="376"/>
      <c r="R104" s="376"/>
      <c r="S104" s="376"/>
      <c r="T104" s="376"/>
      <c r="U104" s="376"/>
      <c r="V104" s="376"/>
      <c r="W104" s="376"/>
      <c r="X104" s="332"/>
      <c r="Y104" s="332"/>
      <c r="Z104" s="332"/>
      <c r="AA104" s="332"/>
      <c r="AB104" s="415"/>
      <c r="AC104" s="415"/>
      <c r="AD104" s="415"/>
      <c r="AE104" s="417"/>
      <c r="AF104" s="418"/>
      <c r="AG104" s="418"/>
      <c r="AK104" s="420"/>
      <c r="AR104" s="435"/>
    </row>
    <row r="105" spans="2:48" s="419" customFormat="1" ht="91.5" customHeight="1" thickTop="1" thickBot="1" x14ac:dyDescent="0.95">
      <c r="B105" s="414"/>
      <c r="C105" s="414"/>
      <c r="D105" s="415"/>
      <c r="E105" s="415"/>
      <c r="F105" s="415"/>
      <c r="G105" s="415"/>
      <c r="H105" s="415"/>
      <c r="I105" s="415"/>
      <c r="J105" s="415"/>
      <c r="K105" s="415"/>
      <c r="L105" s="378" t="s">
        <v>17</v>
      </c>
      <c r="M105" s="379">
        <f t="shared" ref="M105:W105" si="100">+SUMIF($L$6:$L$102,$L$105,M6:M102)</f>
        <v>581</v>
      </c>
      <c r="N105" s="379">
        <f t="shared" si="100"/>
        <v>602</v>
      </c>
      <c r="O105" s="379">
        <f t="shared" si="100"/>
        <v>641</v>
      </c>
      <c r="P105" s="379">
        <f t="shared" si="100"/>
        <v>662</v>
      </c>
      <c r="Q105" s="379">
        <f t="shared" si="100"/>
        <v>721</v>
      </c>
      <c r="R105" s="379">
        <f t="shared" si="100"/>
        <v>703</v>
      </c>
      <c r="S105" s="379">
        <f t="shared" si="100"/>
        <v>642</v>
      </c>
      <c r="T105" s="379">
        <f t="shared" si="100"/>
        <v>157</v>
      </c>
      <c r="U105" s="379">
        <f t="shared" si="100"/>
        <v>0</v>
      </c>
      <c r="V105" s="379">
        <f t="shared" si="100"/>
        <v>0</v>
      </c>
      <c r="W105" s="379">
        <f t="shared" si="100"/>
        <v>0</v>
      </c>
      <c r="X105" s="332"/>
      <c r="Y105" s="332"/>
      <c r="Z105" s="537">
        <f>+SUM(M105:W105)</f>
        <v>4709</v>
      </c>
      <c r="AA105" s="538"/>
      <c r="AB105" s="415"/>
      <c r="AC105" s="415"/>
      <c r="AD105" s="415"/>
      <c r="AE105" s="417"/>
      <c r="AF105" s="418"/>
      <c r="AG105" s="418"/>
      <c r="AK105" s="420"/>
      <c r="AR105" s="435"/>
    </row>
    <row r="106" spans="2:48" s="419" customFormat="1" ht="91.5" customHeight="1" thickTop="1" thickBot="1" x14ac:dyDescent="0.95">
      <c r="B106" s="414"/>
      <c r="C106" s="414"/>
      <c r="D106" s="415"/>
      <c r="E106" s="415"/>
      <c r="F106" s="415"/>
      <c r="G106" s="415"/>
      <c r="H106" s="415"/>
      <c r="I106" s="415"/>
      <c r="J106" s="415"/>
      <c r="K106" s="415"/>
      <c r="L106" s="380"/>
      <c r="M106" s="376"/>
      <c r="N106" s="376"/>
      <c r="O106" s="376"/>
      <c r="P106" s="376"/>
      <c r="Q106" s="376"/>
      <c r="R106" s="376"/>
      <c r="S106" s="376"/>
      <c r="T106" s="376"/>
      <c r="U106" s="376"/>
      <c r="V106" s="376"/>
      <c r="W106" s="376"/>
      <c r="X106" s="332"/>
      <c r="Y106" s="332"/>
      <c r="Z106" s="332"/>
      <c r="AA106" s="332"/>
      <c r="AB106" s="415"/>
      <c r="AC106" s="415"/>
      <c r="AD106" s="415"/>
      <c r="AE106" s="417"/>
      <c r="AF106" s="418"/>
      <c r="AG106" s="418"/>
      <c r="AK106" s="420"/>
      <c r="AR106" s="435"/>
    </row>
    <row r="107" spans="2:48" s="419" customFormat="1" ht="91.5" customHeight="1" thickTop="1" thickBot="1" x14ac:dyDescent="0.95">
      <c r="B107" s="414"/>
      <c r="C107" s="414"/>
      <c r="D107" s="422"/>
      <c r="E107" s="422"/>
      <c r="F107" s="422"/>
      <c r="G107" s="422"/>
      <c r="H107" s="422"/>
      <c r="I107" s="422"/>
      <c r="J107" s="423"/>
      <c r="K107" s="422"/>
      <c r="L107" s="378" t="s">
        <v>19</v>
      </c>
      <c r="M107" s="379">
        <f t="shared" ref="M107:W107" si="101">+SUMIF($L$6:$L$102,$L$107,M6:M102)</f>
        <v>5</v>
      </c>
      <c r="N107" s="379">
        <f t="shared" si="101"/>
        <v>5</v>
      </c>
      <c r="O107" s="379">
        <f t="shared" si="101"/>
        <v>5</v>
      </c>
      <c r="P107" s="379">
        <f t="shared" si="101"/>
        <v>5</v>
      </c>
      <c r="Q107" s="379">
        <f t="shared" si="101"/>
        <v>5</v>
      </c>
      <c r="R107" s="379">
        <f t="shared" si="101"/>
        <v>5</v>
      </c>
      <c r="S107" s="379">
        <f t="shared" si="101"/>
        <v>5</v>
      </c>
      <c r="T107" s="379">
        <f t="shared" si="101"/>
        <v>2</v>
      </c>
      <c r="U107" s="379">
        <f t="shared" si="101"/>
        <v>0</v>
      </c>
      <c r="V107" s="379">
        <f t="shared" si="101"/>
        <v>0</v>
      </c>
      <c r="W107" s="379">
        <f t="shared" si="101"/>
        <v>0</v>
      </c>
      <c r="X107" s="381"/>
      <c r="Y107" s="381"/>
      <c r="Z107" s="332"/>
      <c r="AA107" s="332"/>
      <c r="AB107" s="415"/>
      <c r="AC107" s="415"/>
      <c r="AD107" s="415"/>
      <c r="AE107" s="417"/>
      <c r="AF107" s="418"/>
      <c r="AG107" s="418"/>
      <c r="AK107" s="420"/>
      <c r="AR107" s="435"/>
    </row>
    <row r="108" spans="2:48" s="419" customFormat="1" ht="62.25" customHeight="1" thickTop="1" x14ac:dyDescent="0.9">
      <c r="B108" s="414"/>
      <c r="C108" s="414"/>
      <c r="D108" s="422"/>
      <c r="E108" s="422"/>
      <c r="F108" s="422"/>
      <c r="G108" s="422"/>
      <c r="H108" s="422"/>
      <c r="I108" s="424"/>
      <c r="J108" s="423"/>
      <c r="K108" s="422"/>
      <c r="L108" s="380"/>
      <c r="M108" s="382"/>
      <c r="N108" s="377"/>
      <c r="O108" s="377"/>
      <c r="P108" s="377"/>
      <c r="Q108" s="377"/>
      <c r="R108" s="377"/>
      <c r="S108" s="377"/>
      <c r="T108" s="377"/>
      <c r="U108" s="377"/>
      <c r="V108" s="377"/>
      <c r="W108" s="377"/>
      <c r="X108" s="332"/>
      <c r="Y108" s="332"/>
      <c r="Z108" s="332"/>
      <c r="AA108" s="332"/>
      <c r="AB108" s="415"/>
      <c r="AC108" s="415"/>
      <c r="AD108" s="425"/>
      <c r="AE108" s="417"/>
      <c r="AF108" s="418"/>
      <c r="AG108" s="418"/>
      <c r="AK108" s="420"/>
      <c r="AR108" s="435"/>
    </row>
    <row r="109" spans="2:48" s="98" customFormat="1" ht="62.25" customHeight="1" thickBot="1" x14ac:dyDescent="0.95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384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91"/>
      <c r="AC109" s="91"/>
      <c r="AD109" s="91"/>
      <c r="AE109" s="95"/>
      <c r="AF109" s="158"/>
      <c r="AG109" s="158"/>
      <c r="AK109" s="183"/>
      <c r="AR109" s="434"/>
    </row>
    <row r="110" spans="2:48" s="98" customFormat="1" ht="88.5" customHeight="1" thickTop="1" thickBot="1" x14ac:dyDescent="0.95">
      <c r="B110" s="94"/>
      <c r="C110" s="94"/>
      <c r="D110" s="92"/>
      <c r="E110" s="92"/>
      <c r="F110" s="92"/>
      <c r="G110" s="92"/>
      <c r="H110" s="92"/>
      <c r="I110" s="91"/>
      <c r="J110" s="93"/>
      <c r="K110" s="212" t="s">
        <v>18</v>
      </c>
      <c r="L110" s="385" t="s">
        <v>180</v>
      </c>
      <c r="M110" s="379">
        <f t="shared" ref="M110:W110" si="102">+IF(M113=0,0,SUMIFS($J$6:$J$102,$L$6:$L$102,$K$110))</f>
        <v>11</v>
      </c>
      <c r="N110" s="379">
        <f t="shared" si="102"/>
        <v>11</v>
      </c>
      <c r="O110" s="379">
        <f t="shared" si="102"/>
        <v>11</v>
      </c>
      <c r="P110" s="379">
        <f t="shared" si="102"/>
        <v>11</v>
      </c>
      <c r="Q110" s="379">
        <f t="shared" si="102"/>
        <v>11</v>
      </c>
      <c r="R110" s="379">
        <f t="shared" si="102"/>
        <v>11</v>
      </c>
      <c r="S110" s="379">
        <f t="shared" si="102"/>
        <v>11</v>
      </c>
      <c r="T110" s="379">
        <f t="shared" si="102"/>
        <v>11</v>
      </c>
      <c r="U110" s="379">
        <f t="shared" si="102"/>
        <v>0</v>
      </c>
      <c r="V110" s="379">
        <f t="shared" si="102"/>
        <v>0</v>
      </c>
      <c r="W110" s="379">
        <f t="shared" si="102"/>
        <v>0</v>
      </c>
      <c r="X110" s="383"/>
      <c r="Y110" s="383"/>
      <c r="Z110" s="340"/>
      <c r="AA110" s="340"/>
      <c r="AB110" s="91"/>
      <c r="AC110" s="91"/>
      <c r="AD110" s="91"/>
      <c r="AE110" s="95"/>
      <c r="AF110" s="158"/>
      <c r="AG110" s="158"/>
      <c r="AK110" s="183"/>
      <c r="AR110" s="434"/>
    </row>
    <row r="111" spans="2:48" s="98" customFormat="1" ht="62.25" customHeight="1" thickTop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84"/>
      <c r="M111" s="386"/>
      <c r="N111" s="386"/>
      <c r="O111" s="386"/>
      <c r="P111" s="386"/>
      <c r="Q111" s="386"/>
      <c r="R111" s="386"/>
      <c r="S111" s="386"/>
      <c r="T111" s="386"/>
      <c r="U111" s="386"/>
      <c r="V111" s="386"/>
      <c r="W111" s="386"/>
      <c r="X111" s="340"/>
      <c r="Y111" s="340"/>
      <c r="Z111" s="340"/>
      <c r="AA111" s="340"/>
      <c r="AB111" s="91"/>
      <c r="AC111" s="91"/>
      <c r="AD111" s="91"/>
      <c r="AE111" s="95"/>
      <c r="AF111" s="158"/>
      <c r="AG111" s="158"/>
      <c r="AK111" s="183"/>
      <c r="AR111" s="434"/>
    </row>
    <row r="112" spans="2:48" s="98" customFormat="1" ht="62.25" customHeight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212"/>
      <c r="L112" s="384"/>
      <c r="M112" s="340"/>
      <c r="N112" s="340"/>
      <c r="O112" s="340"/>
      <c r="P112" s="340"/>
      <c r="Q112" s="387"/>
      <c r="R112" s="387"/>
      <c r="S112" s="387"/>
      <c r="T112" s="387"/>
      <c r="U112" s="387"/>
      <c r="V112" s="387"/>
      <c r="W112" s="387"/>
      <c r="X112" s="340"/>
      <c r="Y112" s="340"/>
      <c r="Z112" s="340"/>
      <c r="AA112" s="340"/>
      <c r="AB112" s="91"/>
      <c r="AC112" s="91"/>
      <c r="AD112" s="91"/>
      <c r="AE112" s="95"/>
      <c r="AF112" s="158"/>
      <c r="AG112" s="158"/>
      <c r="AK112" s="183"/>
      <c r="AR112" s="434"/>
    </row>
    <row r="113" spans="2:44" s="98" customFormat="1" ht="98.25" customHeight="1" thickTop="1" thickBot="1" x14ac:dyDescent="0.95">
      <c r="B113" s="94"/>
      <c r="C113" s="94"/>
      <c r="D113" s="92"/>
      <c r="E113" s="92"/>
      <c r="F113" s="92"/>
      <c r="G113" s="92"/>
      <c r="H113" s="92"/>
      <c r="I113" s="92"/>
      <c r="J113" s="93"/>
      <c r="K113" s="212"/>
      <c r="L113" s="385" t="s">
        <v>18</v>
      </c>
      <c r="M113" s="379">
        <f t="shared" ref="M113:W113" si="103">+SUMIF($L$6:$L$102,$L$113,M6:M102)</f>
        <v>629</v>
      </c>
      <c r="N113" s="379">
        <f t="shared" si="103"/>
        <v>632</v>
      </c>
      <c r="O113" s="379">
        <f t="shared" si="103"/>
        <v>631</v>
      </c>
      <c r="P113" s="379">
        <f t="shared" si="103"/>
        <v>631</v>
      </c>
      <c r="Q113" s="379">
        <f t="shared" si="103"/>
        <v>631</v>
      </c>
      <c r="R113" s="379">
        <f t="shared" si="103"/>
        <v>631</v>
      </c>
      <c r="S113" s="379">
        <f t="shared" si="103"/>
        <v>631</v>
      </c>
      <c r="T113" s="379">
        <f t="shared" si="103"/>
        <v>631</v>
      </c>
      <c r="U113" s="379">
        <f t="shared" si="103"/>
        <v>0</v>
      </c>
      <c r="V113" s="379">
        <f t="shared" si="103"/>
        <v>0</v>
      </c>
      <c r="W113" s="379">
        <f t="shared" si="103"/>
        <v>0</v>
      </c>
      <c r="X113" s="340"/>
      <c r="Y113" s="340"/>
      <c r="Z113" s="340"/>
      <c r="AA113" s="340"/>
      <c r="AB113" s="91"/>
      <c r="AC113" s="91"/>
      <c r="AD113" s="91"/>
      <c r="AE113" s="95"/>
      <c r="AF113" s="158"/>
      <c r="AG113" s="158"/>
      <c r="AK113" s="183"/>
      <c r="AR113" s="434"/>
    </row>
    <row r="114" spans="2:44" s="98" customFormat="1" ht="62.25" customHeight="1" thickTop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212"/>
      <c r="L114" s="384"/>
      <c r="M114" s="388"/>
      <c r="N114" s="388"/>
      <c r="O114" s="388"/>
      <c r="P114" s="388"/>
      <c r="Q114" s="388"/>
      <c r="R114" s="388"/>
      <c r="S114" s="388"/>
      <c r="T114" s="388"/>
      <c r="U114" s="388"/>
      <c r="V114" s="388"/>
      <c r="W114" s="388"/>
      <c r="X114" s="340"/>
      <c r="Y114" s="340"/>
      <c r="Z114" s="340"/>
      <c r="AA114" s="340"/>
      <c r="AB114" s="91"/>
      <c r="AC114" s="91"/>
      <c r="AD114" s="91"/>
      <c r="AE114" s="95"/>
      <c r="AF114" s="158"/>
      <c r="AG114" s="158"/>
      <c r="AK114" s="183"/>
      <c r="AR114" s="434"/>
    </row>
    <row r="115" spans="2:44" s="98" customFormat="1" ht="62.25" customHeight="1" thickBot="1" x14ac:dyDescent="0.95">
      <c r="B115" s="94"/>
      <c r="C115" s="94"/>
      <c r="D115" s="92"/>
      <c r="E115" s="92"/>
      <c r="F115" s="92"/>
      <c r="G115" s="92"/>
      <c r="H115" s="92"/>
      <c r="I115" s="92"/>
      <c r="J115" s="93"/>
      <c r="K115" s="212"/>
      <c r="L115" s="384"/>
      <c r="M115" s="340"/>
      <c r="N115" s="340"/>
      <c r="O115" s="340"/>
      <c r="P115" s="340"/>
      <c r="Q115" s="387"/>
      <c r="R115" s="387"/>
      <c r="S115" s="387"/>
      <c r="T115" s="387"/>
      <c r="U115" s="387"/>
      <c r="V115" s="387"/>
      <c r="W115" s="387"/>
      <c r="X115" s="340"/>
      <c r="Y115" s="340"/>
      <c r="Z115" s="340"/>
      <c r="AA115" s="340"/>
      <c r="AB115" s="91"/>
      <c r="AC115" s="91"/>
      <c r="AD115" s="91"/>
      <c r="AE115" s="95"/>
      <c r="AF115" s="158"/>
      <c r="AG115" s="158"/>
      <c r="AK115" s="183"/>
      <c r="AR115" s="434"/>
    </row>
    <row r="116" spans="2:44" s="98" customFormat="1" ht="94.5" customHeight="1" thickTop="1" thickBot="1" x14ac:dyDescent="0.95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385" t="s">
        <v>13</v>
      </c>
      <c r="M116" s="379">
        <f>+M113+M110+M107</f>
        <v>645</v>
      </c>
      <c r="N116" s="379">
        <f t="shared" ref="N116:W116" si="104">+N113+N110+N107</f>
        <v>648</v>
      </c>
      <c r="O116" s="379">
        <f t="shared" si="104"/>
        <v>647</v>
      </c>
      <c r="P116" s="379">
        <f t="shared" si="104"/>
        <v>647</v>
      </c>
      <c r="Q116" s="379">
        <f t="shared" si="104"/>
        <v>647</v>
      </c>
      <c r="R116" s="379">
        <f t="shared" si="104"/>
        <v>647</v>
      </c>
      <c r="S116" s="379">
        <f t="shared" si="104"/>
        <v>647</v>
      </c>
      <c r="T116" s="379">
        <f t="shared" si="104"/>
        <v>644</v>
      </c>
      <c r="U116" s="379">
        <f t="shared" si="104"/>
        <v>0</v>
      </c>
      <c r="V116" s="379">
        <f t="shared" si="104"/>
        <v>0</v>
      </c>
      <c r="W116" s="379">
        <f t="shared" si="104"/>
        <v>0</v>
      </c>
      <c r="X116" s="340"/>
      <c r="Y116" s="340"/>
      <c r="Z116" s="340"/>
      <c r="AA116" s="340"/>
      <c r="AB116" s="91"/>
      <c r="AC116" s="91"/>
      <c r="AD116" s="91"/>
      <c r="AE116" s="95"/>
      <c r="AF116" s="155"/>
      <c r="AG116" s="155"/>
      <c r="AK116" s="183"/>
      <c r="AR116" s="434"/>
    </row>
    <row r="117" spans="2:44" s="98" customFormat="1" ht="62.25" thickTop="1" x14ac:dyDescent="0.9">
      <c r="B117" s="94"/>
      <c r="C117" s="94"/>
      <c r="D117" s="92"/>
      <c r="E117" s="92"/>
      <c r="F117" s="92"/>
      <c r="G117" s="92"/>
      <c r="H117" s="92"/>
      <c r="I117" s="92"/>
      <c r="J117" s="93"/>
      <c r="K117" s="92"/>
      <c r="L117" s="389"/>
      <c r="M117" s="340"/>
      <c r="N117" s="340"/>
      <c r="O117" s="340"/>
      <c r="P117" s="340"/>
      <c r="Q117" s="340"/>
      <c r="R117" s="340"/>
      <c r="S117" s="340"/>
      <c r="T117" s="340"/>
      <c r="U117" s="340"/>
      <c r="V117" s="340"/>
      <c r="W117" s="340"/>
      <c r="X117" s="340"/>
      <c r="Y117" s="340"/>
      <c r="Z117" s="340"/>
      <c r="AA117" s="340"/>
      <c r="AB117" s="91"/>
      <c r="AC117" s="91"/>
      <c r="AD117" s="91"/>
      <c r="AE117" s="95"/>
      <c r="AF117" s="158"/>
      <c r="AG117" s="158"/>
      <c r="AK117" s="183"/>
      <c r="AR117" s="434"/>
    </row>
    <row r="118" spans="2:44" x14ac:dyDescent="0.9">
      <c r="J118" s="91"/>
      <c r="K118" s="91"/>
      <c r="T118" s="515"/>
      <c r="U118" s="515"/>
      <c r="V118" s="515"/>
      <c r="AF118" s="158"/>
      <c r="AG118" s="158"/>
    </row>
    <row r="119" spans="2:44" ht="105" customHeight="1" x14ac:dyDescent="0.9">
      <c r="B119" s="426"/>
      <c r="AF119" s="158"/>
      <c r="AG119" s="158"/>
    </row>
    <row r="120" spans="2:44" s="98" customFormat="1" x14ac:dyDescent="0.9">
      <c r="B120" s="94"/>
      <c r="C120" s="94"/>
      <c r="D120" s="92"/>
      <c r="E120" s="92"/>
      <c r="F120" s="92"/>
      <c r="G120" s="92"/>
      <c r="H120" s="92"/>
      <c r="I120" s="92"/>
      <c r="J120" s="93"/>
      <c r="K120" s="92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8"/>
      <c r="AG120" s="158"/>
      <c r="AK120" s="183"/>
      <c r="AR120" s="434"/>
    </row>
    <row r="121" spans="2:44" s="98" customFormat="1" x14ac:dyDescent="0.9">
      <c r="B121" s="94"/>
      <c r="C121" s="94"/>
      <c r="D121" s="92"/>
      <c r="E121" s="92"/>
      <c r="F121" s="92"/>
      <c r="G121" s="92"/>
      <c r="H121" s="92"/>
      <c r="I121" s="91"/>
      <c r="J121" s="93"/>
      <c r="K121" s="92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8"/>
      <c r="AG121" s="158"/>
      <c r="AK121" s="183"/>
      <c r="AR121" s="434"/>
    </row>
    <row r="122" spans="2:44" s="98" customFormat="1" x14ac:dyDescent="0.9">
      <c r="B122" s="94"/>
      <c r="C122" s="94"/>
      <c r="D122" s="92"/>
      <c r="E122" s="92"/>
      <c r="F122" s="92"/>
      <c r="G122" s="92"/>
      <c r="H122" s="92"/>
      <c r="I122" s="92"/>
      <c r="J122" s="93"/>
      <c r="K122" s="92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8"/>
      <c r="AG122" s="158"/>
      <c r="AK122" s="183"/>
      <c r="AR122" s="434"/>
    </row>
    <row r="123" spans="2:44" s="98" customFormat="1" ht="66" customHeight="1" x14ac:dyDescent="0.9">
      <c r="B123" s="94"/>
      <c r="C123" s="94"/>
      <c r="D123" s="92"/>
      <c r="E123" s="92"/>
      <c r="F123" s="92"/>
      <c r="G123" s="92"/>
      <c r="H123" s="92"/>
      <c r="I123" s="92"/>
      <c r="J123" s="93"/>
      <c r="K123" s="92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8"/>
      <c r="AG123" s="158"/>
      <c r="AK123" s="183"/>
      <c r="AR123" s="434"/>
    </row>
    <row r="125" spans="2:44" s="92" customFormat="1" x14ac:dyDescent="0.7">
      <c r="B125" s="94"/>
      <c r="C125" s="94"/>
      <c r="D125" s="92">
        <v>2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30" spans="2:44" s="92" customFormat="1" x14ac:dyDescent="0.7">
      <c r="B130" s="94"/>
      <c r="C130" s="94"/>
      <c r="H130" s="92">
        <v>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/>
      <c r="AF130" s="155"/>
      <c r="AG130" s="155"/>
      <c r="AH130" s="98"/>
      <c r="AI130" s="98"/>
      <c r="AJ130" s="98"/>
      <c r="AK130" s="183"/>
      <c r="AL130" s="91"/>
      <c r="AM130" s="91"/>
      <c r="AR130" s="243"/>
    </row>
    <row r="131" spans="2:44" s="92" customFormat="1" x14ac:dyDescent="0.7">
      <c r="B131" s="94"/>
      <c r="C131" s="94"/>
      <c r="H131" s="92">
        <v>6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/>
      <c r="AF131" s="155"/>
      <c r="AG131" s="155"/>
      <c r="AH131" s="98"/>
      <c r="AI131" s="98"/>
      <c r="AJ131" s="98"/>
      <c r="AK131" s="183"/>
      <c r="AL131" s="91"/>
      <c r="AM131" s="91"/>
      <c r="AR131" s="243"/>
    </row>
    <row r="132" spans="2:44" s="92" customFormat="1" x14ac:dyDescent="0.7">
      <c r="B132" s="94"/>
      <c r="C132" s="94"/>
      <c r="H132" s="92">
        <v>7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5"/>
      <c r="AF132" s="155"/>
      <c r="AG132" s="155"/>
      <c r="AH132" s="98"/>
      <c r="AI132" s="98"/>
      <c r="AJ132" s="98"/>
      <c r="AK132" s="183"/>
      <c r="AL132" s="91"/>
      <c r="AM132" s="91"/>
      <c r="AR132" s="243"/>
    </row>
    <row r="133" spans="2:44" s="92" customFormat="1" x14ac:dyDescent="0.7">
      <c r="B133" s="94"/>
      <c r="C133" s="94"/>
      <c r="H133" s="92">
        <v>8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5"/>
      <c r="AG133" s="155"/>
      <c r="AH133" s="98"/>
      <c r="AI133" s="98"/>
      <c r="AJ133" s="98"/>
      <c r="AK133" s="183"/>
      <c r="AL133" s="91"/>
      <c r="AM133" s="91"/>
      <c r="AR133" s="243"/>
    </row>
    <row r="134" spans="2:44" s="92" customFormat="1" x14ac:dyDescent="0.7">
      <c r="B134" s="94"/>
      <c r="C134" s="94"/>
      <c r="H134" s="92">
        <v>11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5"/>
      <c r="AF134" s="155"/>
      <c r="AG134" s="155"/>
      <c r="AH134" s="98"/>
      <c r="AI134" s="98"/>
      <c r="AJ134" s="98"/>
      <c r="AK134" s="183"/>
      <c r="AL134" s="91"/>
      <c r="AM134" s="91"/>
      <c r="AR134" s="243"/>
    </row>
    <row r="135" spans="2:44" s="92" customFormat="1" x14ac:dyDescent="0.7">
      <c r="B135" s="94"/>
      <c r="C135" s="94"/>
      <c r="H135" s="92">
        <v>12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5"/>
      <c r="AF135" s="155"/>
      <c r="AG135" s="155"/>
      <c r="AH135" s="98"/>
      <c r="AI135" s="98"/>
      <c r="AJ135" s="98"/>
      <c r="AK135" s="183"/>
      <c r="AL135" s="91"/>
      <c r="AM135" s="91"/>
      <c r="AR135" s="243"/>
    </row>
    <row r="136" spans="2:44" s="92" customFormat="1" x14ac:dyDescent="0.7">
      <c r="B136" s="94"/>
      <c r="C136" s="94"/>
      <c r="H136" s="92">
        <v>13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5"/>
      <c r="AF136" s="155"/>
      <c r="AG136" s="155"/>
      <c r="AH136" s="98"/>
      <c r="AI136" s="98"/>
      <c r="AJ136" s="98"/>
      <c r="AK136" s="183"/>
      <c r="AL136" s="91"/>
      <c r="AM136" s="91"/>
      <c r="AR136" s="243"/>
    </row>
    <row r="137" spans="2:44" s="92" customFormat="1" x14ac:dyDescent="0.7">
      <c r="B137" s="94"/>
      <c r="C137" s="94"/>
      <c r="H137" s="92">
        <v>14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5"/>
      <c r="AF137" s="155"/>
      <c r="AG137" s="155"/>
      <c r="AH137" s="98"/>
      <c r="AI137" s="98"/>
      <c r="AJ137" s="98"/>
      <c r="AK137" s="183"/>
      <c r="AL137" s="91"/>
      <c r="AM137" s="91"/>
      <c r="AR137" s="243"/>
    </row>
    <row r="138" spans="2:44" s="92" customFormat="1" x14ac:dyDescent="0.7">
      <c r="B138" s="94"/>
      <c r="C138" s="94"/>
      <c r="H138" s="92">
        <v>15</v>
      </c>
      <c r="J138" s="93"/>
      <c r="L138" s="99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  <c r="AC138" s="91"/>
      <c r="AD138" s="91"/>
      <c r="AE138" s="95"/>
      <c r="AF138" s="155"/>
      <c r="AG138" s="155"/>
      <c r="AH138" s="98"/>
      <c r="AI138" s="98"/>
      <c r="AJ138" s="98"/>
      <c r="AK138" s="183"/>
      <c r="AL138" s="91"/>
      <c r="AM138" s="91"/>
      <c r="AR138" s="243"/>
    </row>
    <row r="139" spans="2:44" s="92" customFormat="1" x14ac:dyDescent="0.7">
      <c r="B139" s="94"/>
      <c r="C139" s="94"/>
      <c r="H139" s="92">
        <v>17</v>
      </c>
      <c r="J139" s="93"/>
      <c r="L139" s="99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  <c r="AC139" s="91"/>
      <c r="AD139" s="91"/>
      <c r="AE139" s="95"/>
      <c r="AF139" s="155"/>
      <c r="AG139" s="155"/>
      <c r="AH139" s="98"/>
      <c r="AI139" s="98"/>
      <c r="AJ139" s="98"/>
      <c r="AK139" s="183"/>
      <c r="AL139" s="91"/>
      <c r="AM139" s="91"/>
      <c r="AR139" s="243"/>
    </row>
    <row r="140" spans="2:44" s="92" customFormat="1" x14ac:dyDescent="0.7">
      <c r="B140" s="94"/>
      <c r="C140" s="94"/>
      <c r="H140" s="92">
        <v>18</v>
      </c>
      <c r="J140" s="93"/>
      <c r="L140" s="99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  <c r="AC140" s="91"/>
      <c r="AD140" s="91"/>
      <c r="AE140" s="95"/>
      <c r="AF140" s="155"/>
      <c r="AG140" s="155"/>
      <c r="AH140" s="98"/>
      <c r="AI140" s="98"/>
      <c r="AJ140" s="98"/>
      <c r="AK140" s="183"/>
      <c r="AL140" s="91"/>
      <c r="AM140" s="91"/>
      <c r="AR140" s="243"/>
    </row>
    <row r="141" spans="2:44" s="92" customFormat="1" x14ac:dyDescent="0.7">
      <c r="B141" s="94"/>
      <c r="C141" s="94"/>
      <c r="H141" s="92">
        <v>19</v>
      </c>
      <c r="J141" s="93"/>
      <c r="L141" s="99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  <c r="AC141" s="91"/>
      <c r="AD141" s="91"/>
      <c r="AE141" s="95"/>
      <c r="AF141" s="155"/>
      <c r="AG141" s="155"/>
      <c r="AH141" s="98"/>
      <c r="AI141" s="98"/>
      <c r="AJ141" s="98"/>
      <c r="AK141" s="183"/>
      <c r="AL141" s="91"/>
      <c r="AM141" s="91"/>
      <c r="AR141" s="243"/>
    </row>
    <row r="197" spans="2:44" s="92" customFormat="1" x14ac:dyDescent="0.7">
      <c r="B197" s="94"/>
      <c r="C197" s="94"/>
      <c r="G197" s="92">
        <v>1</v>
      </c>
      <c r="J197" s="93"/>
      <c r="L197" s="99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  <c r="AC197" s="91"/>
      <c r="AD197" s="91"/>
      <c r="AE197" s="95"/>
      <c r="AF197" s="155"/>
      <c r="AG197" s="155"/>
      <c r="AH197" s="98"/>
      <c r="AI197" s="98"/>
      <c r="AJ197" s="98"/>
      <c r="AK197" s="183"/>
      <c r="AL197" s="91"/>
      <c r="AM197" s="91"/>
      <c r="AR197" s="243"/>
    </row>
  </sheetData>
  <sheetProtection algorithmName="SHA-512" hashValue="0VTQZml0AURTreRiEKtvZW+nQCjdeN/ErNisGhiONum1gym0d3RWKf3DDmS/c0a3hs2Qmtk/CFZ7ezHoivoQ7g==" saltValue="mDTiTlCIkDT6L7rBfzxysA==" spinCount="100000" sheet="1" autoFilter="0"/>
  <autoFilter ref="A5:CR101">
    <filterColumn colId="9" showButton="0"/>
  </autoFilter>
  <mergeCells count="71">
    <mergeCell ref="Z103:AA103"/>
    <mergeCell ref="Z105:AA105"/>
    <mergeCell ref="T118:V118"/>
    <mergeCell ref="G94:G97"/>
    <mergeCell ref="Z94:Z96"/>
    <mergeCell ref="G98:G101"/>
    <mergeCell ref="Z98:Z100"/>
    <mergeCell ref="AW83:BF83"/>
    <mergeCell ref="G90:G93"/>
    <mergeCell ref="Z90:Z92"/>
    <mergeCell ref="AW91:BG91"/>
    <mergeCell ref="G74:G77"/>
    <mergeCell ref="Z74:Z76"/>
    <mergeCell ref="G78:G81"/>
    <mergeCell ref="Z78:Z80"/>
    <mergeCell ref="G82:G85"/>
    <mergeCell ref="Z82:Z84"/>
    <mergeCell ref="G86:G89"/>
    <mergeCell ref="Z86:Z88"/>
    <mergeCell ref="AW87:BF87"/>
    <mergeCell ref="G62:G65"/>
    <mergeCell ref="Z62:Z64"/>
    <mergeCell ref="G66:G69"/>
    <mergeCell ref="Z66:Z68"/>
    <mergeCell ref="G70:G73"/>
    <mergeCell ref="Z70:Z72"/>
    <mergeCell ref="G58:G61"/>
    <mergeCell ref="Z58:Z60"/>
    <mergeCell ref="AW59:BF59"/>
    <mergeCell ref="G42:G45"/>
    <mergeCell ref="Z42:Z44"/>
    <mergeCell ref="AW43:BF43"/>
    <mergeCell ref="G46:G49"/>
    <mergeCell ref="Z46:Z48"/>
    <mergeCell ref="AW47:BF47"/>
    <mergeCell ref="G50:G53"/>
    <mergeCell ref="Z50:Z52"/>
    <mergeCell ref="G54:G57"/>
    <mergeCell ref="Z54:Z56"/>
    <mergeCell ref="AW55:BF55"/>
    <mergeCell ref="G30:G33"/>
    <mergeCell ref="Z30:Z32"/>
    <mergeCell ref="G34:G37"/>
    <mergeCell ref="Z34:Z36"/>
    <mergeCell ref="G38:G41"/>
    <mergeCell ref="Z38:Z40"/>
    <mergeCell ref="G26:G29"/>
    <mergeCell ref="Z26:Z28"/>
    <mergeCell ref="G10:G13"/>
    <mergeCell ref="Z10:Z12"/>
    <mergeCell ref="AW11:BF11"/>
    <mergeCell ref="G14:G17"/>
    <mergeCell ref="Z14:Z16"/>
    <mergeCell ref="AW15:BF15"/>
    <mergeCell ref="G18:G21"/>
    <mergeCell ref="Z18:Z20"/>
    <mergeCell ref="AW19:BF19"/>
    <mergeCell ref="G22:G25"/>
    <mergeCell ref="Z22:Z24"/>
    <mergeCell ref="AW27:BF27"/>
    <mergeCell ref="J5:K5"/>
    <mergeCell ref="G6:G9"/>
    <mergeCell ref="Z6:Z8"/>
    <mergeCell ref="AW7:BF7"/>
    <mergeCell ref="AD1:AE1"/>
    <mergeCell ref="AD2:AE3"/>
    <mergeCell ref="H3:I3"/>
    <mergeCell ref="K3:L3"/>
    <mergeCell ref="B4:G4"/>
    <mergeCell ref="K4:L4"/>
    <mergeCell ref="AD4:AE4"/>
  </mergeCells>
  <conditionalFormatting sqref="AD2:AE3">
    <cfRule type="cellIs" dxfId="9912" priority="1027" operator="lessThan">
      <formula>0.85</formula>
    </cfRule>
  </conditionalFormatting>
  <conditionalFormatting sqref="AM1:AM5 AM102:AM1048576">
    <cfRule type="cellIs" dxfId="9911" priority="1026" operator="notEqual">
      <formula>0</formula>
    </cfRule>
  </conditionalFormatting>
  <conditionalFormatting sqref="AQ102:AQ104 AQ54 AQ42 AQ38 AQ94 AQ90">
    <cfRule type="cellIs" dxfId="9910" priority="1025" operator="lessThan">
      <formula>0</formula>
    </cfRule>
  </conditionalFormatting>
  <conditionalFormatting sqref="X102:Y102 X10:X85 X90:X101">
    <cfRule type="cellIs" dxfId="9909" priority="1024" operator="lessThan">
      <formula>0</formula>
    </cfRule>
  </conditionalFormatting>
  <conditionalFormatting sqref="AM22:AM25">
    <cfRule type="cellIs" dxfId="9908" priority="1022" operator="notEqual">
      <formula>0</formula>
    </cfRule>
  </conditionalFormatting>
  <conditionalFormatting sqref="I24">
    <cfRule type="cellIs" dxfId="9907" priority="1021" operator="greaterThan">
      <formula>0</formula>
    </cfRule>
  </conditionalFormatting>
  <conditionalFormatting sqref="J24">
    <cfRule type="cellIs" dxfId="9906" priority="1020" operator="greaterThan">
      <formula>0</formula>
    </cfRule>
  </conditionalFormatting>
  <conditionalFormatting sqref="AM74:AM77">
    <cfRule type="cellIs" dxfId="9905" priority="1018" operator="notEqual">
      <formula>0</formula>
    </cfRule>
  </conditionalFormatting>
  <conditionalFormatting sqref="I76">
    <cfRule type="cellIs" dxfId="9904" priority="1017" operator="greaterThan">
      <formula>0</formula>
    </cfRule>
  </conditionalFormatting>
  <conditionalFormatting sqref="AM18:AM21">
    <cfRule type="cellIs" dxfId="9903" priority="1015" operator="notEqual">
      <formula>0</formula>
    </cfRule>
  </conditionalFormatting>
  <conditionalFormatting sqref="I20">
    <cfRule type="cellIs" dxfId="9902" priority="1014" operator="greaterThan">
      <formula>0</formula>
    </cfRule>
  </conditionalFormatting>
  <conditionalFormatting sqref="J20">
    <cfRule type="cellIs" dxfId="9901" priority="1013" operator="greaterThan">
      <formula>0</formula>
    </cfRule>
  </conditionalFormatting>
  <conditionalFormatting sqref="AM10:AM13">
    <cfRule type="cellIs" dxfId="9900" priority="1011" operator="notEqual">
      <formula>0</formula>
    </cfRule>
  </conditionalFormatting>
  <conditionalFormatting sqref="I12">
    <cfRule type="cellIs" dxfId="9899" priority="1010" operator="greaterThan">
      <formula>0</formula>
    </cfRule>
  </conditionalFormatting>
  <conditionalFormatting sqref="AM62:AM65">
    <cfRule type="cellIs" dxfId="9898" priority="1008" operator="notEqual">
      <formula>0</formula>
    </cfRule>
  </conditionalFormatting>
  <conditionalFormatting sqref="I64">
    <cfRule type="cellIs" dxfId="9897" priority="1007" operator="greaterThan">
      <formula>0</formula>
    </cfRule>
  </conditionalFormatting>
  <conditionalFormatting sqref="J64">
    <cfRule type="cellIs" dxfId="9896" priority="1006" operator="greaterThan">
      <formula>0</formula>
    </cfRule>
  </conditionalFormatting>
  <conditionalFormatting sqref="AM66:AM69">
    <cfRule type="cellIs" dxfId="9895" priority="1004" operator="notEqual">
      <formula>0</formula>
    </cfRule>
  </conditionalFormatting>
  <conditionalFormatting sqref="I68">
    <cfRule type="cellIs" dxfId="9894" priority="1003" operator="greaterThan">
      <formula>0</formula>
    </cfRule>
  </conditionalFormatting>
  <conditionalFormatting sqref="J68">
    <cfRule type="cellIs" dxfId="9893" priority="1002" operator="greaterThan">
      <formula>0</formula>
    </cfRule>
  </conditionalFormatting>
  <conditionalFormatting sqref="AM82:AM85">
    <cfRule type="cellIs" dxfId="9892" priority="1000" operator="notEqual">
      <formula>0</formula>
    </cfRule>
  </conditionalFormatting>
  <conditionalFormatting sqref="I84">
    <cfRule type="cellIs" dxfId="9891" priority="999" operator="greaterThan">
      <formula>0</formula>
    </cfRule>
  </conditionalFormatting>
  <conditionalFormatting sqref="J84">
    <cfRule type="cellIs" dxfId="9890" priority="992" operator="greaterThan">
      <formula>0</formula>
    </cfRule>
  </conditionalFormatting>
  <conditionalFormatting sqref="AM30:AM33">
    <cfRule type="cellIs" dxfId="9889" priority="988" operator="notEqual">
      <formula>0</formula>
    </cfRule>
  </conditionalFormatting>
  <conditionalFormatting sqref="I32">
    <cfRule type="cellIs" dxfId="9888" priority="987" operator="greaterThan">
      <formula>0</formula>
    </cfRule>
  </conditionalFormatting>
  <conditionalFormatting sqref="J32">
    <cfRule type="cellIs" dxfId="9887" priority="986" operator="greaterThan">
      <formula>0</formula>
    </cfRule>
  </conditionalFormatting>
  <conditionalFormatting sqref="J12">
    <cfRule type="cellIs" dxfId="9886" priority="985" operator="greaterThan">
      <formula>0</formula>
    </cfRule>
  </conditionalFormatting>
  <conditionalFormatting sqref="AM54:AM57">
    <cfRule type="cellIs" dxfId="9885" priority="983" operator="notEqual">
      <formula>0</formula>
    </cfRule>
  </conditionalFormatting>
  <conditionalFormatting sqref="I56">
    <cfRule type="cellIs" dxfId="9884" priority="982" operator="greaterThan">
      <formula>0</formula>
    </cfRule>
  </conditionalFormatting>
  <conditionalFormatting sqref="J56">
    <cfRule type="cellIs" dxfId="9883" priority="981" operator="greaterThan">
      <formula>0</formula>
    </cfRule>
  </conditionalFormatting>
  <conditionalFormatting sqref="AM42:AM45">
    <cfRule type="cellIs" dxfId="9882" priority="979" operator="notEqual">
      <formula>0</formula>
    </cfRule>
  </conditionalFormatting>
  <conditionalFormatting sqref="I44">
    <cfRule type="cellIs" dxfId="9881" priority="978" operator="greaterThan">
      <formula>0</formula>
    </cfRule>
  </conditionalFormatting>
  <conditionalFormatting sqref="J76">
    <cfRule type="cellIs" dxfId="9880" priority="977" operator="greaterThan">
      <formula>0</formula>
    </cfRule>
  </conditionalFormatting>
  <conditionalFormatting sqref="AM50:AM53">
    <cfRule type="cellIs" dxfId="9879" priority="975" operator="notEqual">
      <formula>0</formula>
    </cfRule>
  </conditionalFormatting>
  <conditionalFormatting sqref="I52">
    <cfRule type="cellIs" dxfId="9878" priority="974" operator="greaterThan">
      <formula>0</formula>
    </cfRule>
  </conditionalFormatting>
  <conditionalFormatting sqref="J52">
    <cfRule type="cellIs" dxfId="9877" priority="973" operator="greaterThan">
      <formula>0</formula>
    </cfRule>
  </conditionalFormatting>
  <conditionalFormatting sqref="AQ10 AQ18 AQ22 AQ26 AQ30 AQ38 AQ42 AQ46 AQ50 AQ54 AQ62 AQ66 AQ74 AQ78 AQ82 AQ90 AQ94">
    <cfRule type="cellIs" dxfId="9876" priority="972" operator="lessThan">
      <formula>0</formula>
    </cfRule>
  </conditionalFormatting>
  <conditionalFormatting sqref="AQ12:AQ13 AQ20:AQ22 AQ24:AQ26 AQ28:AQ30 AQ32:AQ33 AQ40:AQ41 AQ44:AQ46 AQ48:AQ50 AQ52:AQ54 AQ56:AQ57 AQ64:AQ66 AQ68:AQ69 AQ76:AQ78 AQ80:AQ82 AQ84:AQ85 AQ92:AQ93 AQ96:AQ97 AQ18 AQ62 AQ10 AQ74">
    <cfRule type="cellIs" dxfId="9875" priority="971" operator="lessThan">
      <formula>0</formula>
    </cfRule>
  </conditionalFormatting>
  <conditionalFormatting sqref="AQ12:AQ13 AQ20:AQ22 AQ24:AQ26 AQ28:AQ30 AQ32:AQ33 AQ40:AQ41 AQ44:AQ46 AQ48:AQ50 AQ52:AQ54 AQ56:AQ57 AQ64:AQ66 AQ68:AQ69 AQ76:AQ78 AQ80:AQ82 AQ84:AQ85 AQ92:AQ93 AQ96:AQ97 AQ18 AQ62 AQ10 AQ74">
    <cfRule type="cellIs" dxfId="9874" priority="970" operator="lessThan">
      <formula>0</formula>
    </cfRule>
  </conditionalFormatting>
  <conditionalFormatting sqref="AQ12:AQ13 AQ20:AQ22 AQ24:AQ26 AQ28:AQ30 AQ32:AQ33 AQ40:AQ41 AQ44:AQ46 AQ48:AQ50 AQ52:AQ54 AQ56:AQ57 AQ64:AQ66 AQ68:AQ69 AQ76:AQ78 AQ80:AQ82 AQ84:AQ85 AQ92:AQ93 AQ96:AQ97 AQ18 AQ62 AQ10 AQ74">
    <cfRule type="cellIs" dxfId="9873" priority="969" operator="lessThan">
      <formula>0</formula>
    </cfRule>
  </conditionalFormatting>
  <conditionalFormatting sqref="AQ12:AQ13 AQ20:AQ22 AQ24:AQ26 AQ28:AQ30 AQ32:AQ33 AQ40:AQ41 AQ44:AQ46 AQ48:AQ50 AQ52:AQ54 AQ56:AQ57 AQ64:AQ66 AQ68:AQ69 AQ76:AQ78 AQ80:AQ82 AQ84:AQ85 AQ92:AQ93 AQ96:AQ97 AQ18 AQ62 AQ10 AQ74">
    <cfRule type="cellIs" dxfId="9872" priority="968" operator="lessThan">
      <formula>0</formula>
    </cfRule>
  </conditionalFormatting>
  <conditionalFormatting sqref="AQ12:AQ13 AQ20:AQ21 AQ24:AQ25 AQ28:AQ29 AQ32:AQ33 AQ40:AQ41 AQ44:AQ45 AQ48:AQ49 AQ52:AQ53 AQ56:AQ57 AQ64:AQ65 AQ68:AQ69 AQ76:AQ77 AQ80:AQ81 AQ84:AQ85 AQ92:AQ93 AQ96:AQ97">
    <cfRule type="cellIs" dxfId="9871" priority="967" operator="lessThan">
      <formula>0</formula>
    </cfRule>
  </conditionalFormatting>
  <conditionalFormatting sqref="AQ12:AQ13 AQ20:AQ21 AQ24:AQ25 AQ28:AQ29 AQ32:AQ33 AQ40:AQ41 AQ44:AQ45 AQ48:AQ49 AQ52:AQ53 AQ56:AQ57 AQ64:AQ65 AQ68:AQ69 AQ76:AQ77 AQ80:AQ81 AQ84:AQ85 AQ92:AQ93 AQ96:AQ97">
    <cfRule type="cellIs" dxfId="9870" priority="966" operator="lessThan">
      <formula>0</formula>
    </cfRule>
  </conditionalFormatting>
  <conditionalFormatting sqref="AQ12:AQ13 AQ20:AQ21 AQ24:AQ25 AQ28:AQ29 AQ32:AQ33 AQ40:AQ41 AQ44:AQ45 AQ48:AQ49 AQ52:AQ53 AQ56:AQ57 AQ64:AQ65 AQ68:AQ69 AQ76:AQ77 AQ80:AQ81 AQ84:AQ85 AQ92:AQ93 AQ96:AQ97">
    <cfRule type="cellIs" dxfId="9869" priority="965" operator="lessThan">
      <formula>0</formula>
    </cfRule>
  </conditionalFormatting>
  <conditionalFormatting sqref="AQ12:AQ13 AQ20:AQ21 AQ24:AQ25 AQ28:AQ29 AQ32:AQ33 AQ40:AQ41 AQ44:AQ45 AQ48:AQ49 AQ52:AQ53 AQ56:AQ57 AQ64:AQ65 AQ68:AQ69 AQ76:AQ77 AQ80:AQ81 AQ84:AQ85 AQ92:AQ93 AQ96:AQ97">
    <cfRule type="cellIs" dxfId="9868" priority="964" operator="lessThan">
      <formula>0</formula>
    </cfRule>
  </conditionalFormatting>
  <conditionalFormatting sqref="AQ11 AQ19 AQ23 AQ31 AQ43 AQ47 AQ51 AQ55 AQ63 AQ67 AQ75 AQ79 AQ83 AQ91 AQ27 AQ39 AQ95">
    <cfRule type="cellIs" dxfId="9867" priority="963" operator="lessThan">
      <formula>0</formula>
    </cfRule>
  </conditionalFormatting>
  <conditionalFormatting sqref="AQ11 AQ19 AQ23 AQ31 AQ43 AQ47 AQ51 AQ55 AQ63 AQ67 AQ75 AQ79 AQ83 AQ91 AQ27 AQ39 AQ95">
    <cfRule type="cellIs" dxfId="9866" priority="962" operator="lessThan">
      <formula>0</formula>
    </cfRule>
  </conditionalFormatting>
  <conditionalFormatting sqref="AQ11 AQ19 AQ23 AQ31 AQ43 AQ47 AQ51 AQ55 AQ63 AQ67 AQ75 AQ79 AQ83 AQ91 AQ27 AQ39 AQ95">
    <cfRule type="cellIs" dxfId="9865" priority="961" operator="lessThan">
      <formula>0</formula>
    </cfRule>
  </conditionalFormatting>
  <conditionalFormatting sqref="AQ11 AQ19 AQ23 AQ31 AQ43 AQ47 AQ51 AQ55 AQ63 AQ67 AQ75 AQ79 AQ83 AQ91 AQ27 AQ39 AQ95">
    <cfRule type="cellIs" dxfId="9864" priority="960" operator="lessThan">
      <formula>0</formula>
    </cfRule>
  </conditionalFormatting>
  <conditionalFormatting sqref="AQ11 AQ19 AQ23 AQ31 AQ43 AQ47 AQ51 AQ55 AQ63 AQ67 AQ75 AQ79 AQ83 AQ91 AQ27 AQ39 AQ95">
    <cfRule type="cellIs" dxfId="9863" priority="959" operator="lessThan">
      <formula>0</formula>
    </cfRule>
  </conditionalFormatting>
  <conditionalFormatting sqref="AQ11 AQ19 AQ23 AQ31 AQ43 AQ47 AQ51 AQ55 AQ63 AQ67 AQ75 AQ79 AQ83 AQ91 AQ27 AQ39 AQ95">
    <cfRule type="cellIs" dxfId="9862" priority="958" operator="lessThan">
      <formula>0</formula>
    </cfRule>
  </conditionalFormatting>
  <conditionalFormatting sqref="AQ11 AQ19 AQ23 AQ31 AQ43 AQ47 AQ51 AQ55 AQ63 AQ67 AQ75 AQ79 AQ83 AQ91 AQ27 AQ39 AQ95">
    <cfRule type="cellIs" dxfId="9861" priority="957" operator="lessThan">
      <formula>0</formula>
    </cfRule>
  </conditionalFormatting>
  <conditionalFormatting sqref="AQ11 AQ19 AQ23 AQ31 AQ43 AQ47 AQ51 AQ55 AQ63 AQ67 AQ75 AQ79 AQ83 AQ91 AQ27 AQ39 AQ95">
    <cfRule type="cellIs" dxfId="9860" priority="956" operator="lessThan">
      <formula>0</formula>
    </cfRule>
  </conditionalFormatting>
  <conditionalFormatting sqref="AQ11 AQ19 AQ23 AQ31 AQ43 AQ47 AQ51 AQ55 AQ63 AQ67 AQ75 AQ79 AQ83 AQ91 AQ27 AQ39 AQ95">
    <cfRule type="cellIs" dxfId="9859" priority="955" operator="lessThan">
      <formula>0</formula>
    </cfRule>
  </conditionalFormatting>
  <conditionalFormatting sqref="AQ11 AQ19 AQ23 AQ31 AQ43 AQ47 AQ51 AQ55 AQ63 AQ67 AQ75 AQ79 AQ83 AQ91 AQ27 AQ39 AQ95">
    <cfRule type="cellIs" dxfId="9858" priority="954" operator="lessThan">
      <formula>0</formula>
    </cfRule>
  </conditionalFormatting>
  <conditionalFormatting sqref="AQ11 AQ19 AQ23 AQ31 AQ43 AQ47 AQ51 AQ55 AQ63 AQ67 AQ75 AQ79 AQ83 AQ91 AQ27 AQ39 AQ95">
    <cfRule type="cellIs" dxfId="9857" priority="953" operator="lessThan">
      <formula>0</formula>
    </cfRule>
  </conditionalFormatting>
  <conditionalFormatting sqref="AQ11 AQ19 AQ23 AQ31 AQ43 AQ47 AQ51 AQ55 AQ63 AQ67 AQ75 AQ79 AQ83 AQ91 AQ27 AQ39 AQ95">
    <cfRule type="cellIs" dxfId="9856" priority="952" operator="lessThan">
      <formula>0</formula>
    </cfRule>
  </conditionalFormatting>
  <conditionalFormatting sqref="AQ11 AQ19 AQ23 AQ31 AQ43 AQ47 AQ51 AQ55 AQ63 AQ67 AQ75 AQ79 AQ83 AQ91 AQ27 AQ39 AQ95">
    <cfRule type="cellIs" dxfId="9855" priority="951" operator="lessThan">
      <formula>0</formula>
    </cfRule>
  </conditionalFormatting>
  <conditionalFormatting sqref="AQ11 AQ19 AQ23 AQ31 AQ43 AQ47 AQ51 AQ55 AQ63 AQ67 AQ75 AQ79 AQ83 AQ91 AQ27 AQ39 AQ95">
    <cfRule type="cellIs" dxfId="9854" priority="950" operator="lessThan">
      <formula>0</formula>
    </cfRule>
  </conditionalFormatting>
  <conditionalFormatting sqref="AQ11 AQ19 AQ23 AQ31 AQ43 AQ47 AQ51 AQ55 AQ63 AQ67 AQ75 AQ79 AQ83 AQ91 AQ27 AQ39 AQ95">
    <cfRule type="cellIs" dxfId="9853" priority="949" operator="lessThan">
      <formula>0</formula>
    </cfRule>
  </conditionalFormatting>
  <conditionalFormatting sqref="AQ11 AQ19 AQ23 AQ31 AQ43 AQ47 AQ51 AQ55 AQ63 AQ67 AQ75 AQ79 AQ83 AQ91 AQ27 AQ39 AQ95">
    <cfRule type="cellIs" dxfId="9852" priority="948" operator="lessThan">
      <formula>0</formula>
    </cfRule>
  </conditionalFormatting>
  <conditionalFormatting sqref="AQ11 AQ19 AQ23 AQ31 AQ43 AQ47 AQ51 AQ55 AQ63 AQ67 AQ75 AQ79 AQ83 AQ91 AQ27 AQ39 AQ95">
    <cfRule type="cellIs" dxfId="9851" priority="947" operator="lessThan">
      <formula>0</formula>
    </cfRule>
  </conditionalFormatting>
  <conditionalFormatting sqref="AQ11 AQ19 AQ23 AQ31 AQ43 AQ47 AQ51 AQ55 AQ63 AQ67 AQ75 AQ79 AQ83 AQ91 AQ27 AQ39 AQ95">
    <cfRule type="cellIs" dxfId="9850" priority="946" operator="lessThan">
      <formula>0</formula>
    </cfRule>
  </conditionalFormatting>
  <conditionalFormatting sqref="AQ11 AQ19 AQ23 AQ31 AQ43 AQ47 AQ51 AQ55 AQ63 AQ67 AQ75 AQ79 AQ83 AQ91 AQ27 AQ39 AQ95">
    <cfRule type="cellIs" dxfId="9849" priority="945" operator="lessThan">
      <formula>0</formula>
    </cfRule>
  </conditionalFormatting>
  <conditionalFormatting sqref="AQ11 AQ19 AQ23 AQ31 AQ43 AQ47 AQ51 AQ55 AQ63 AQ67 AQ75 AQ79 AQ83 AQ91 AQ27 AQ39 AQ95">
    <cfRule type="cellIs" dxfId="9848" priority="944" operator="lessThan">
      <formula>0</formula>
    </cfRule>
  </conditionalFormatting>
  <conditionalFormatting sqref="AQ11 AQ19 AQ23 AQ31 AQ43 AQ47 AQ51 AQ55 AQ63 AQ67 AQ75 AQ79 AQ83 AQ91 AQ27 AQ39 AQ95">
    <cfRule type="cellIs" dxfId="9847" priority="943" operator="lessThan">
      <formula>0</formula>
    </cfRule>
  </conditionalFormatting>
  <conditionalFormatting sqref="AQ11 AQ19 AQ23 AQ31 AQ43 AQ47 AQ51 AQ55 AQ63 AQ67 AQ75 AQ79 AQ83 AQ91 AQ27 AQ39 AQ95">
    <cfRule type="cellIs" dxfId="9846" priority="942" operator="lessThan">
      <formula>0</formula>
    </cfRule>
  </conditionalFormatting>
  <conditionalFormatting sqref="AQ11 AQ19 AQ23 AQ31 AQ43 AQ47 AQ51 AQ55 AQ63 AQ67 AQ75 AQ79 AQ83 AQ91 AQ27 AQ39 AQ95">
    <cfRule type="cellIs" dxfId="9845" priority="941" operator="lessThan">
      <formula>0</formula>
    </cfRule>
  </conditionalFormatting>
  <conditionalFormatting sqref="AQ11 AQ19 AQ23 AQ31 AQ43 AQ47 AQ51 AQ55 AQ63 AQ67 AQ75 AQ79 AQ83 AQ91 AQ27 AQ39 AQ95">
    <cfRule type="cellIs" dxfId="9844" priority="940" operator="lessThan">
      <formula>0</formula>
    </cfRule>
  </conditionalFormatting>
  <conditionalFormatting sqref="AQ11 AQ19 AQ23 AQ31 AQ43 AQ47 AQ51 AQ55 AQ63 AQ67 AQ75 AQ79 AQ83 AQ91 AQ27 AQ39 AQ95">
    <cfRule type="cellIs" dxfId="9843" priority="939" operator="lessThan">
      <formula>0</formula>
    </cfRule>
  </conditionalFormatting>
  <conditionalFormatting sqref="AQ11 AQ19 AQ23 AQ31 AQ43 AQ47 AQ51 AQ55 AQ63 AQ67 AQ75 AQ79 AQ83 AQ91 AQ27 AQ39 AQ95">
    <cfRule type="cellIs" dxfId="9842" priority="938" operator="lessThan">
      <formula>0</formula>
    </cfRule>
  </conditionalFormatting>
  <conditionalFormatting sqref="AQ11 AQ19 AQ23 AQ31 AQ43 AQ47 AQ51 AQ55 AQ63 AQ67 AQ75 AQ79 AQ83 AQ91 AQ27 AQ39 AQ95">
    <cfRule type="cellIs" dxfId="9841" priority="937" operator="lessThan">
      <formula>0</formula>
    </cfRule>
  </conditionalFormatting>
  <conditionalFormatting sqref="AQ11 AQ19 AQ23 AQ31 AQ43 AQ47 AQ51 AQ55 AQ63 AQ67 AQ75 AQ79 AQ83 AQ91 AQ27 AQ39 AQ95">
    <cfRule type="cellIs" dxfId="9840" priority="936" operator="lessThan">
      <formula>0</formula>
    </cfRule>
  </conditionalFormatting>
  <conditionalFormatting sqref="AQ11 AQ19 AQ23 AQ31 AQ43 AQ47 AQ51 AQ55 AQ63 AQ67 AQ75 AQ79 AQ83 AQ91 AQ27 AQ39 AQ95">
    <cfRule type="cellIs" dxfId="9839" priority="935" operator="lessThan">
      <formula>0</formula>
    </cfRule>
  </conditionalFormatting>
  <conditionalFormatting sqref="AQ11 AQ19 AQ23 AQ31 AQ43 AQ47 AQ51 AQ55 AQ63 AQ67 AQ75 AQ79 AQ83 AQ91 AQ27 AQ39 AQ95">
    <cfRule type="cellIs" dxfId="9838" priority="934" operator="lessThan">
      <formula>0</formula>
    </cfRule>
  </conditionalFormatting>
  <conditionalFormatting sqref="AQ11 AQ19 AQ23 AQ31 AQ43 AQ47 AQ51 AQ55 AQ63 AQ67 AQ75 AQ79 AQ83 AQ91 AQ27 AQ39 AQ95">
    <cfRule type="cellIs" dxfId="9837" priority="933" operator="lessThan">
      <formula>0</formula>
    </cfRule>
  </conditionalFormatting>
  <conditionalFormatting sqref="AQ11 AQ19 AQ23 AQ31 AQ43 AQ47 AQ51 AQ55 AQ63 AQ67 AQ75 AQ79 AQ83 AQ91 AQ27 AQ39 AQ95">
    <cfRule type="cellIs" dxfId="9836" priority="932" operator="lessThan">
      <formula>0</formula>
    </cfRule>
  </conditionalFormatting>
  <conditionalFormatting sqref="AM26:AM29">
    <cfRule type="cellIs" dxfId="9835" priority="885" operator="notEqual">
      <formula>0</formula>
    </cfRule>
  </conditionalFormatting>
  <conditionalFormatting sqref="I28">
    <cfRule type="cellIs" dxfId="9834" priority="884" operator="greaterThan">
      <formula>0</formula>
    </cfRule>
  </conditionalFormatting>
  <conditionalFormatting sqref="J28">
    <cfRule type="cellIs" dxfId="9833" priority="883" operator="greaterThan">
      <formula>0</formula>
    </cfRule>
  </conditionalFormatting>
  <conditionalFormatting sqref="AQ26">
    <cfRule type="cellIs" dxfId="9832" priority="882" operator="lessThan">
      <formula>0</formula>
    </cfRule>
  </conditionalFormatting>
  <conditionalFormatting sqref="AQ26 AQ28:AQ29">
    <cfRule type="cellIs" dxfId="9831" priority="881" operator="lessThan">
      <formula>0</formula>
    </cfRule>
  </conditionalFormatting>
  <conditionalFormatting sqref="AQ26 AQ28:AQ29">
    <cfRule type="cellIs" dxfId="9830" priority="880" operator="lessThan">
      <formula>0</formula>
    </cfRule>
  </conditionalFormatting>
  <conditionalFormatting sqref="AQ26 AQ28:AQ29">
    <cfRule type="cellIs" dxfId="9829" priority="879" operator="lessThan">
      <formula>0</formula>
    </cfRule>
  </conditionalFormatting>
  <conditionalFormatting sqref="AQ26 AQ28:AQ29">
    <cfRule type="cellIs" dxfId="9828" priority="878" operator="lessThan">
      <formula>0</formula>
    </cfRule>
  </conditionalFormatting>
  <conditionalFormatting sqref="AQ28:AQ29">
    <cfRule type="cellIs" dxfId="9827" priority="877" operator="lessThan">
      <formula>0</formula>
    </cfRule>
  </conditionalFormatting>
  <conditionalFormatting sqref="AQ28:AQ29">
    <cfRule type="cellIs" dxfId="9826" priority="876" operator="lessThan">
      <formula>0</formula>
    </cfRule>
  </conditionalFormatting>
  <conditionalFormatting sqref="AQ28:AQ29">
    <cfRule type="cellIs" dxfId="9825" priority="875" operator="lessThan">
      <formula>0</formula>
    </cfRule>
  </conditionalFormatting>
  <conditionalFormatting sqref="AQ28:AQ29">
    <cfRule type="cellIs" dxfId="9824" priority="874" operator="lessThan">
      <formula>0</formula>
    </cfRule>
  </conditionalFormatting>
  <conditionalFormatting sqref="AQ27">
    <cfRule type="cellIs" dxfId="9823" priority="873" operator="lessThan">
      <formula>0</formula>
    </cfRule>
  </conditionalFormatting>
  <conditionalFormatting sqref="AQ27">
    <cfRule type="cellIs" dxfId="9822" priority="872" operator="lessThan">
      <formula>0</formula>
    </cfRule>
  </conditionalFormatting>
  <conditionalFormatting sqref="AQ27">
    <cfRule type="cellIs" dxfId="9821" priority="871" operator="lessThan">
      <formula>0</formula>
    </cfRule>
  </conditionalFormatting>
  <conditionalFormatting sqref="AQ27">
    <cfRule type="cellIs" dxfId="9820" priority="870" operator="lessThan">
      <formula>0</formula>
    </cfRule>
  </conditionalFormatting>
  <conditionalFormatting sqref="AQ27">
    <cfRule type="cellIs" dxfId="9819" priority="869" operator="lessThan">
      <formula>0</formula>
    </cfRule>
  </conditionalFormatting>
  <conditionalFormatting sqref="AQ27">
    <cfRule type="cellIs" dxfId="9818" priority="868" operator="lessThan">
      <formula>0</formula>
    </cfRule>
  </conditionalFormatting>
  <conditionalFormatting sqref="AQ27">
    <cfRule type="cellIs" dxfId="9817" priority="867" operator="lessThan">
      <formula>0</formula>
    </cfRule>
  </conditionalFormatting>
  <conditionalFormatting sqref="AQ27">
    <cfRule type="cellIs" dxfId="9816" priority="866" operator="lessThan">
      <formula>0</formula>
    </cfRule>
  </conditionalFormatting>
  <conditionalFormatting sqref="AQ27">
    <cfRule type="cellIs" dxfId="9815" priority="865" operator="lessThan">
      <formula>0</formula>
    </cfRule>
  </conditionalFormatting>
  <conditionalFormatting sqref="AQ27">
    <cfRule type="cellIs" dxfId="9814" priority="864" operator="lessThan">
      <formula>0</formula>
    </cfRule>
  </conditionalFormatting>
  <conditionalFormatting sqref="AQ27">
    <cfRule type="cellIs" dxfId="9813" priority="863" operator="lessThan">
      <formula>0</formula>
    </cfRule>
  </conditionalFormatting>
  <conditionalFormatting sqref="AQ27">
    <cfRule type="cellIs" dxfId="9812" priority="862" operator="lessThan">
      <formula>0</formula>
    </cfRule>
  </conditionalFormatting>
  <conditionalFormatting sqref="AQ27">
    <cfRule type="cellIs" dxfId="9811" priority="861" operator="lessThan">
      <formula>0</formula>
    </cfRule>
  </conditionalFormatting>
  <conditionalFormatting sqref="AQ27">
    <cfRule type="cellIs" dxfId="9810" priority="860" operator="lessThan">
      <formula>0</formula>
    </cfRule>
  </conditionalFormatting>
  <conditionalFormatting sqref="AQ27">
    <cfRule type="cellIs" dxfId="9809" priority="859" operator="lessThan">
      <formula>0</formula>
    </cfRule>
  </conditionalFormatting>
  <conditionalFormatting sqref="AQ27">
    <cfRule type="cellIs" dxfId="9808" priority="858" operator="lessThan">
      <formula>0</formula>
    </cfRule>
  </conditionalFormatting>
  <conditionalFormatting sqref="AQ27">
    <cfRule type="cellIs" dxfId="9807" priority="857" operator="lessThan">
      <formula>0</formula>
    </cfRule>
  </conditionalFormatting>
  <conditionalFormatting sqref="AQ27">
    <cfRule type="cellIs" dxfId="9806" priority="856" operator="lessThan">
      <formula>0</formula>
    </cfRule>
  </conditionalFormatting>
  <conditionalFormatting sqref="AQ27">
    <cfRule type="cellIs" dxfId="9805" priority="855" operator="lessThan">
      <formula>0</formula>
    </cfRule>
  </conditionalFormatting>
  <conditionalFormatting sqref="AQ27">
    <cfRule type="cellIs" dxfId="9804" priority="854" operator="lessThan">
      <formula>0</formula>
    </cfRule>
  </conditionalFormatting>
  <conditionalFormatting sqref="AQ27">
    <cfRule type="cellIs" dxfId="9803" priority="853" operator="lessThan">
      <formula>0</formula>
    </cfRule>
  </conditionalFormatting>
  <conditionalFormatting sqref="AQ27">
    <cfRule type="cellIs" dxfId="9802" priority="852" operator="lessThan">
      <formula>0</formula>
    </cfRule>
  </conditionalFormatting>
  <conditionalFormatting sqref="AQ27">
    <cfRule type="cellIs" dxfId="9801" priority="851" operator="lessThan">
      <formula>0</formula>
    </cfRule>
  </conditionalFormatting>
  <conditionalFormatting sqref="AQ27">
    <cfRule type="cellIs" dxfId="9800" priority="850" operator="lessThan">
      <formula>0</formula>
    </cfRule>
  </conditionalFormatting>
  <conditionalFormatting sqref="AQ27">
    <cfRule type="cellIs" dxfId="9799" priority="849" operator="lessThan">
      <formula>0</formula>
    </cfRule>
  </conditionalFormatting>
  <conditionalFormatting sqref="AQ27">
    <cfRule type="cellIs" dxfId="9798" priority="848" operator="lessThan">
      <formula>0</formula>
    </cfRule>
  </conditionalFormatting>
  <conditionalFormatting sqref="AQ27">
    <cfRule type="cellIs" dxfId="9797" priority="847" operator="lessThan">
      <formula>0</formula>
    </cfRule>
  </conditionalFormatting>
  <conditionalFormatting sqref="AQ27">
    <cfRule type="cellIs" dxfId="9796" priority="846" operator="lessThan">
      <formula>0</formula>
    </cfRule>
  </conditionalFormatting>
  <conditionalFormatting sqref="AQ27">
    <cfRule type="cellIs" dxfId="9795" priority="845" operator="lessThan">
      <formula>0</formula>
    </cfRule>
  </conditionalFormatting>
  <conditionalFormatting sqref="AQ27">
    <cfRule type="cellIs" dxfId="9794" priority="844" operator="lessThan">
      <formula>0</formula>
    </cfRule>
  </conditionalFormatting>
  <conditionalFormatting sqref="AQ27">
    <cfRule type="cellIs" dxfId="9793" priority="843" operator="lessThan">
      <formula>0</formula>
    </cfRule>
  </conditionalFormatting>
  <conditionalFormatting sqref="AQ27">
    <cfRule type="cellIs" dxfId="9792" priority="842" operator="lessThan">
      <formula>0</formula>
    </cfRule>
  </conditionalFormatting>
  <conditionalFormatting sqref="AM94:AM97">
    <cfRule type="cellIs" dxfId="9791" priority="840" operator="notEqual">
      <formula>0</formula>
    </cfRule>
  </conditionalFormatting>
  <conditionalFormatting sqref="I96">
    <cfRule type="cellIs" dxfId="9790" priority="839" operator="greaterThan">
      <formula>0</formula>
    </cfRule>
  </conditionalFormatting>
  <conditionalFormatting sqref="AQ94">
    <cfRule type="cellIs" dxfId="9789" priority="838" operator="lessThan">
      <formula>0</formula>
    </cfRule>
  </conditionalFormatting>
  <conditionalFormatting sqref="AQ94 AQ96:AQ97">
    <cfRule type="cellIs" dxfId="9788" priority="837" operator="lessThan">
      <formula>0</formula>
    </cfRule>
  </conditionalFormatting>
  <conditionalFormatting sqref="AQ94 AQ96:AQ97">
    <cfRule type="cellIs" dxfId="9787" priority="836" operator="lessThan">
      <formula>0</formula>
    </cfRule>
  </conditionalFormatting>
  <conditionalFormatting sqref="AQ94 AQ96:AQ97">
    <cfRule type="cellIs" dxfId="9786" priority="835" operator="lessThan">
      <formula>0</formula>
    </cfRule>
  </conditionalFormatting>
  <conditionalFormatting sqref="AQ94 AQ96:AQ97">
    <cfRule type="cellIs" dxfId="9785" priority="834" operator="lessThan">
      <formula>0</formula>
    </cfRule>
  </conditionalFormatting>
  <conditionalFormatting sqref="AQ96:AQ97">
    <cfRule type="cellIs" dxfId="9784" priority="833" operator="lessThan">
      <formula>0</formula>
    </cfRule>
  </conditionalFormatting>
  <conditionalFormatting sqref="AQ96:AQ97">
    <cfRule type="cellIs" dxfId="9783" priority="832" operator="lessThan">
      <formula>0</formula>
    </cfRule>
  </conditionalFormatting>
  <conditionalFormatting sqref="AQ96:AQ97">
    <cfRule type="cellIs" dxfId="9782" priority="831" operator="lessThan">
      <formula>0</formula>
    </cfRule>
  </conditionalFormatting>
  <conditionalFormatting sqref="AQ96:AQ97">
    <cfRule type="cellIs" dxfId="9781" priority="830" operator="lessThan">
      <formula>0</formula>
    </cfRule>
  </conditionalFormatting>
  <conditionalFormatting sqref="AQ95">
    <cfRule type="cellIs" dxfId="9780" priority="829" operator="lessThan">
      <formula>0</formula>
    </cfRule>
  </conditionalFormatting>
  <conditionalFormatting sqref="AQ95">
    <cfRule type="cellIs" dxfId="9779" priority="828" operator="lessThan">
      <formula>0</formula>
    </cfRule>
  </conditionalFormatting>
  <conditionalFormatting sqref="AQ95">
    <cfRule type="cellIs" dxfId="9778" priority="827" operator="lessThan">
      <formula>0</formula>
    </cfRule>
  </conditionalFormatting>
  <conditionalFormatting sqref="AQ95">
    <cfRule type="cellIs" dxfId="9777" priority="826" operator="lessThan">
      <formula>0</formula>
    </cfRule>
  </conditionalFormatting>
  <conditionalFormatting sqref="AQ95">
    <cfRule type="cellIs" dxfId="9776" priority="825" operator="lessThan">
      <formula>0</formula>
    </cfRule>
  </conditionalFormatting>
  <conditionalFormatting sqref="AQ95">
    <cfRule type="cellIs" dxfId="9775" priority="824" operator="lessThan">
      <formula>0</formula>
    </cfRule>
  </conditionalFormatting>
  <conditionalFormatting sqref="AQ95">
    <cfRule type="cellIs" dxfId="9774" priority="823" operator="lessThan">
      <formula>0</formula>
    </cfRule>
  </conditionalFormatting>
  <conditionalFormatting sqref="AQ95">
    <cfRule type="cellIs" dxfId="9773" priority="822" operator="lessThan">
      <formula>0</formula>
    </cfRule>
  </conditionalFormatting>
  <conditionalFormatting sqref="AQ95">
    <cfRule type="cellIs" dxfId="9772" priority="821" operator="lessThan">
      <formula>0</formula>
    </cfRule>
  </conditionalFormatting>
  <conditionalFormatting sqref="AQ95">
    <cfRule type="cellIs" dxfId="9771" priority="820" operator="lessThan">
      <formula>0</formula>
    </cfRule>
  </conditionalFormatting>
  <conditionalFormatting sqref="AQ95">
    <cfRule type="cellIs" dxfId="9770" priority="819" operator="lessThan">
      <formula>0</formula>
    </cfRule>
  </conditionalFormatting>
  <conditionalFormatting sqref="AQ95">
    <cfRule type="cellIs" dxfId="9769" priority="818" operator="lessThan">
      <formula>0</formula>
    </cfRule>
  </conditionalFormatting>
  <conditionalFormatting sqref="AQ95">
    <cfRule type="cellIs" dxfId="9768" priority="817" operator="lessThan">
      <formula>0</formula>
    </cfRule>
  </conditionalFormatting>
  <conditionalFormatting sqref="AQ95">
    <cfRule type="cellIs" dxfId="9767" priority="816" operator="lessThan">
      <formula>0</formula>
    </cfRule>
  </conditionalFormatting>
  <conditionalFormatting sqref="AQ95">
    <cfRule type="cellIs" dxfId="9766" priority="815" operator="lessThan">
      <formula>0</formula>
    </cfRule>
  </conditionalFormatting>
  <conditionalFormatting sqref="AQ95">
    <cfRule type="cellIs" dxfId="9765" priority="814" operator="lessThan">
      <formula>0</formula>
    </cfRule>
  </conditionalFormatting>
  <conditionalFormatting sqref="AQ95">
    <cfRule type="cellIs" dxfId="9764" priority="813" operator="lessThan">
      <formula>0</formula>
    </cfRule>
  </conditionalFormatting>
  <conditionalFormatting sqref="AQ95">
    <cfRule type="cellIs" dxfId="9763" priority="812" operator="lessThan">
      <formula>0</formula>
    </cfRule>
  </conditionalFormatting>
  <conditionalFormatting sqref="AQ95">
    <cfRule type="cellIs" dxfId="9762" priority="811" operator="lessThan">
      <formula>0</formula>
    </cfRule>
  </conditionalFormatting>
  <conditionalFormatting sqref="AQ95">
    <cfRule type="cellIs" dxfId="9761" priority="810" operator="lessThan">
      <formula>0</formula>
    </cfRule>
  </conditionalFormatting>
  <conditionalFormatting sqref="AQ95">
    <cfRule type="cellIs" dxfId="9760" priority="809" operator="lessThan">
      <formula>0</formula>
    </cfRule>
  </conditionalFormatting>
  <conditionalFormatting sqref="AQ95">
    <cfRule type="cellIs" dxfId="9759" priority="808" operator="lessThan">
      <formula>0</formula>
    </cfRule>
  </conditionalFormatting>
  <conditionalFormatting sqref="AQ95">
    <cfRule type="cellIs" dxfId="9758" priority="807" operator="lessThan">
      <formula>0</formula>
    </cfRule>
  </conditionalFormatting>
  <conditionalFormatting sqref="AQ95">
    <cfRule type="cellIs" dxfId="9757" priority="806" operator="lessThan">
      <formula>0</formula>
    </cfRule>
  </conditionalFormatting>
  <conditionalFormatting sqref="AQ95">
    <cfRule type="cellIs" dxfId="9756" priority="805" operator="lessThan">
      <formula>0</formula>
    </cfRule>
  </conditionalFormatting>
  <conditionalFormatting sqref="AQ95">
    <cfRule type="cellIs" dxfId="9755" priority="804" operator="lessThan">
      <formula>0</formula>
    </cfRule>
  </conditionalFormatting>
  <conditionalFormatting sqref="AQ95">
    <cfRule type="cellIs" dxfId="9754" priority="803" operator="lessThan">
      <formula>0</formula>
    </cfRule>
  </conditionalFormatting>
  <conditionalFormatting sqref="AQ95">
    <cfRule type="cellIs" dxfId="9753" priority="802" operator="lessThan">
      <formula>0</formula>
    </cfRule>
  </conditionalFormatting>
  <conditionalFormatting sqref="AQ95">
    <cfRule type="cellIs" dxfId="9752" priority="801" operator="lessThan">
      <formula>0</formula>
    </cfRule>
  </conditionalFormatting>
  <conditionalFormatting sqref="AQ95">
    <cfRule type="cellIs" dxfId="9751" priority="800" operator="lessThan">
      <formula>0</formula>
    </cfRule>
  </conditionalFormatting>
  <conditionalFormatting sqref="AQ95">
    <cfRule type="cellIs" dxfId="9750" priority="799" operator="lessThan">
      <formula>0</formula>
    </cfRule>
  </conditionalFormatting>
  <conditionalFormatting sqref="AQ95">
    <cfRule type="cellIs" dxfId="9749" priority="798" operator="lessThan">
      <formula>0</formula>
    </cfRule>
  </conditionalFormatting>
  <conditionalFormatting sqref="AM90:AM93">
    <cfRule type="cellIs" dxfId="9748" priority="796" operator="notEqual">
      <formula>0</formula>
    </cfRule>
  </conditionalFormatting>
  <conditionalFormatting sqref="I92">
    <cfRule type="cellIs" dxfId="9747" priority="795" operator="greaterThan">
      <formula>0</formula>
    </cfRule>
  </conditionalFormatting>
  <conditionalFormatting sqref="J92">
    <cfRule type="cellIs" dxfId="9746" priority="794" operator="greaterThan">
      <formula>0</formula>
    </cfRule>
  </conditionalFormatting>
  <conditionalFormatting sqref="AQ90">
    <cfRule type="cellIs" dxfId="9745" priority="793" operator="lessThan">
      <formula>0</formula>
    </cfRule>
  </conditionalFormatting>
  <conditionalFormatting sqref="AQ90 AQ92:AQ93">
    <cfRule type="cellIs" dxfId="9744" priority="792" operator="lessThan">
      <formula>0</formula>
    </cfRule>
  </conditionalFormatting>
  <conditionalFormatting sqref="AQ90 AQ92:AQ93">
    <cfRule type="cellIs" dxfId="9743" priority="791" operator="lessThan">
      <formula>0</formula>
    </cfRule>
  </conditionalFormatting>
  <conditionalFormatting sqref="AQ90 AQ92:AQ93">
    <cfRule type="cellIs" dxfId="9742" priority="790" operator="lessThan">
      <formula>0</formula>
    </cfRule>
  </conditionalFormatting>
  <conditionalFormatting sqref="AQ90 AQ92:AQ93">
    <cfRule type="cellIs" dxfId="9741" priority="789" operator="lessThan">
      <formula>0</formula>
    </cfRule>
  </conditionalFormatting>
  <conditionalFormatting sqref="AQ92:AQ93">
    <cfRule type="cellIs" dxfId="9740" priority="788" operator="lessThan">
      <formula>0</formula>
    </cfRule>
  </conditionalFormatting>
  <conditionalFormatting sqref="AQ92:AQ93">
    <cfRule type="cellIs" dxfId="9739" priority="787" operator="lessThan">
      <formula>0</formula>
    </cfRule>
  </conditionalFormatting>
  <conditionalFormatting sqref="AQ92:AQ93">
    <cfRule type="cellIs" dxfId="9738" priority="786" operator="lessThan">
      <formula>0</formula>
    </cfRule>
  </conditionalFormatting>
  <conditionalFormatting sqref="AQ92:AQ93">
    <cfRule type="cellIs" dxfId="9737" priority="785" operator="lessThan">
      <formula>0</formula>
    </cfRule>
  </conditionalFormatting>
  <conditionalFormatting sqref="AQ91">
    <cfRule type="cellIs" dxfId="9736" priority="784" operator="lessThan">
      <formula>0</formula>
    </cfRule>
  </conditionalFormatting>
  <conditionalFormatting sqref="AQ91">
    <cfRule type="cellIs" dxfId="9735" priority="783" operator="lessThan">
      <formula>0</formula>
    </cfRule>
  </conditionalFormatting>
  <conditionalFormatting sqref="AQ91">
    <cfRule type="cellIs" dxfId="9734" priority="782" operator="lessThan">
      <formula>0</formula>
    </cfRule>
  </conditionalFormatting>
  <conditionalFormatting sqref="AQ91">
    <cfRule type="cellIs" dxfId="9733" priority="781" operator="lessThan">
      <formula>0</formula>
    </cfRule>
  </conditionalFormatting>
  <conditionalFormatting sqref="AQ91">
    <cfRule type="cellIs" dxfId="9732" priority="780" operator="lessThan">
      <formula>0</formula>
    </cfRule>
  </conditionalFormatting>
  <conditionalFormatting sqref="AQ91">
    <cfRule type="cellIs" dxfId="9731" priority="779" operator="lessThan">
      <formula>0</formula>
    </cfRule>
  </conditionalFormatting>
  <conditionalFormatting sqref="AQ91">
    <cfRule type="cellIs" dxfId="9730" priority="778" operator="lessThan">
      <formula>0</formula>
    </cfRule>
  </conditionalFormatting>
  <conditionalFormatting sqref="AQ91">
    <cfRule type="cellIs" dxfId="9729" priority="777" operator="lessThan">
      <formula>0</formula>
    </cfRule>
  </conditionalFormatting>
  <conditionalFormatting sqref="AQ91">
    <cfRule type="cellIs" dxfId="9728" priority="776" operator="lessThan">
      <formula>0</formula>
    </cfRule>
  </conditionalFormatting>
  <conditionalFormatting sqref="AQ91">
    <cfRule type="cellIs" dxfId="9727" priority="775" operator="lessThan">
      <formula>0</formula>
    </cfRule>
  </conditionalFormatting>
  <conditionalFormatting sqref="AQ91">
    <cfRule type="cellIs" dxfId="9726" priority="774" operator="lessThan">
      <formula>0</formula>
    </cfRule>
  </conditionalFormatting>
  <conditionalFormatting sqref="AQ91">
    <cfRule type="cellIs" dxfId="9725" priority="773" operator="lessThan">
      <formula>0</formula>
    </cfRule>
  </conditionalFormatting>
  <conditionalFormatting sqref="AQ91">
    <cfRule type="cellIs" dxfId="9724" priority="772" operator="lessThan">
      <formula>0</formula>
    </cfRule>
  </conditionalFormatting>
  <conditionalFormatting sqref="AQ91">
    <cfRule type="cellIs" dxfId="9723" priority="771" operator="lessThan">
      <formula>0</formula>
    </cfRule>
  </conditionalFormatting>
  <conditionalFormatting sqref="AQ91">
    <cfRule type="cellIs" dxfId="9722" priority="770" operator="lessThan">
      <formula>0</formula>
    </cfRule>
  </conditionalFormatting>
  <conditionalFormatting sqref="AQ91">
    <cfRule type="cellIs" dxfId="9721" priority="769" operator="lessThan">
      <formula>0</formula>
    </cfRule>
  </conditionalFormatting>
  <conditionalFormatting sqref="AQ91">
    <cfRule type="cellIs" dxfId="9720" priority="768" operator="lessThan">
      <formula>0</formula>
    </cfRule>
  </conditionalFormatting>
  <conditionalFormatting sqref="AQ91">
    <cfRule type="cellIs" dxfId="9719" priority="767" operator="lessThan">
      <formula>0</formula>
    </cfRule>
  </conditionalFormatting>
  <conditionalFormatting sqref="AQ91">
    <cfRule type="cellIs" dxfId="9718" priority="766" operator="lessThan">
      <formula>0</formula>
    </cfRule>
  </conditionalFormatting>
  <conditionalFormatting sqref="AQ91">
    <cfRule type="cellIs" dxfId="9717" priority="765" operator="lessThan">
      <formula>0</formula>
    </cfRule>
  </conditionalFormatting>
  <conditionalFormatting sqref="AQ91">
    <cfRule type="cellIs" dxfId="9716" priority="764" operator="lessThan">
      <formula>0</formula>
    </cfRule>
  </conditionalFormatting>
  <conditionalFormatting sqref="AQ91">
    <cfRule type="cellIs" dxfId="9715" priority="763" operator="lessThan">
      <formula>0</formula>
    </cfRule>
  </conditionalFormatting>
  <conditionalFormatting sqref="AQ91">
    <cfRule type="cellIs" dxfId="9714" priority="762" operator="lessThan">
      <formula>0</formula>
    </cfRule>
  </conditionalFormatting>
  <conditionalFormatting sqref="AQ91">
    <cfRule type="cellIs" dxfId="9713" priority="761" operator="lessThan">
      <formula>0</formula>
    </cfRule>
  </conditionalFormatting>
  <conditionalFormatting sqref="AQ91">
    <cfRule type="cellIs" dxfId="9712" priority="760" operator="lessThan">
      <formula>0</formula>
    </cfRule>
  </conditionalFormatting>
  <conditionalFormatting sqref="AQ91">
    <cfRule type="cellIs" dxfId="9711" priority="759" operator="lessThan">
      <formula>0</formula>
    </cfRule>
  </conditionalFormatting>
  <conditionalFormatting sqref="AQ91">
    <cfRule type="cellIs" dxfId="9710" priority="758" operator="lessThan">
      <formula>0</formula>
    </cfRule>
  </conditionalFormatting>
  <conditionalFormatting sqref="AQ91">
    <cfRule type="cellIs" dxfId="9709" priority="757" operator="lessThan">
      <formula>0</formula>
    </cfRule>
  </conditionalFormatting>
  <conditionalFormatting sqref="AQ91">
    <cfRule type="cellIs" dxfId="9708" priority="756" operator="lessThan">
      <formula>0</formula>
    </cfRule>
  </conditionalFormatting>
  <conditionalFormatting sqref="AQ91">
    <cfRule type="cellIs" dxfId="9707" priority="755" operator="lessThan">
      <formula>0</formula>
    </cfRule>
  </conditionalFormatting>
  <conditionalFormatting sqref="AQ91">
    <cfRule type="cellIs" dxfId="9706" priority="754" operator="lessThan">
      <formula>0</formula>
    </cfRule>
  </conditionalFormatting>
  <conditionalFormatting sqref="AQ91">
    <cfRule type="cellIs" dxfId="9705" priority="753" operator="lessThan">
      <formula>0</formula>
    </cfRule>
  </conditionalFormatting>
  <conditionalFormatting sqref="Y12 Y20 Y24 Y28 Y32 Y44 Y52 Y56 Y64 Y68 Y76 Y84 Y92 Y96">
    <cfRule type="cellIs" dxfId="9704" priority="751" operator="lessThan">
      <formula>0</formula>
    </cfRule>
  </conditionalFormatting>
  <conditionalFormatting sqref="Y10:Y12 Y18:Y20 Y22:Y24 Y26:Y28 Y30:Y32 Y42:Y44 Y50:Y52 Y54:Y56 Y62:Y64 Y66:Y68 Y74:Y76 Y82:Y84 Y90:Y92 Y94:Y96">
    <cfRule type="cellIs" dxfId="9703" priority="750" operator="lessThan">
      <formula>0</formula>
    </cfRule>
  </conditionalFormatting>
  <conditionalFormatting sqref="Y13 Y21 Y25 Y29 Y33 Y45 Y53 Y57 Y65 Y69 Y85 Y93 Y97">
    <cfRule type="cellIs" dxfId="9702" priority="749" operator="lessThan">
      <formula>0</formula>
    </cfRule>
  </conditionalFormatting>
  <conditionalFormatting sqref="J44">
    <cfRule type="cellIs" dxfId="9701" priority="745" operator="greaterThan">
      <formula>0</formula>
    </cfRule>
  </conditionalFormatting>
  <conditionalFormatting sqref="AM38:AM41">
    <cfRule type="cellIs" dxfId="9700" priority="743" operator="notEqual">
      <formula>0</formula>
    </cfRule>
  </conditionalFormatting>
  <conditionalFormatting sqref="I40">
    <cfRule type="cellIs" dxfId="9699" priority="742" operator="greaterThan">
      <formula>0</formula>
    </cfRule>
  </conditionalFormatting>
  <conditionalFormatting sqref="AQ38">
    <cfRule type="cellIs" dxfId="9698" priority="741" operator="lessThan">
      <formula>0</formula>
    </cfRule>
  </conditionalFormatting>
  <conditionalFormatting sqref="AQ38 AQ40:AQ41">
    <cfRule type="cellIs" dxfId="9697" priority="740" operator="lessThan">
      <formula>0</formula>
    </cfRule>
  </conditionalFormatting>
  <conditionalFormatting sqref="AQ38 AQ40:AQ41">
    <cfRule type="cellIs" dxfId="9696" priority="739" operator="lessThan">
      <formula>0</formula>
    </cfRule>
  </conditionalFormatting>
  <conditionalFormatting sqref="AQ38 AQ40:AQ41">
    <cfRule type="cellIs" dxfId="9695" priority="738" operator="lessThan">
      <formula>0</formula>
    </cfRule>
  </conditionalFormatting>
  <conditionalFormatting sqref="AQ38 AQ40:AQ41">
    <cfRule type="cellIs" dxfId="9694" priority="737" operator="lessThan">
      <formula>0</formula>
    </cfRule>
  </conditionalFormatting>
  <conditionalFormatting sqref="AQ40:AQ41">
    <cfRule type="cellIs" dxfId="9693" priority="736" operator="lessThan">
      <formula>0</formula>
    </cfRule>
  </conditionalFormatting>
  <conditionalFormatting sqref="AQ40:AQ41">
    <cfRule type="cellIs" dxfId="9692" priority="735" operator="lessThan">
      <formula>0</formula>
    </cfRule>
  </conditionalFormatting>
  <conditionalFormatting sqref="AQ40:AQ41">
    <cfRule type="cellIs" dxfId="9691" priority="734" operator="lessThan">
      <formula>0</formula>
    </cfRule>
  </conditionalFormatting>
  <conditionalFormatting sqref="AQ40:AQ41">
    <cfRule type="cellIs" dxfId="9690" priority="733" operator="lessThan">
      <formula>0</formula>
    </cfRule>
  </conditionalFormatting>
  <conditionalFormatting sqref="AQ39">
    <cfRule type="cellIs" dxfId="9689" priority="732" operator="lessThan">
      <formula>0</formula>
    </cfRule>
  </conditionalFormatting>
  <conditionalFormatting sqref="AQ39">
    <cfRule type="cellIs" dxfId="9688" priority="731" operator="lessThan">
      <formula>0</formula>
    </cfRule>
  </conditionalFormatting>
  <conditionalFormatting sqref="AQ39">
    <cfRule type="cellIs" dxfId="9687" priority="730" operator="lessThan">
      <formula>0</formula>
    </cfRule>
  </conditionalFormatting>
  <conditionalFormatting sqref="AQ39">
    <cfRule type="cellIs" dxfId="9686" priority="729" operator="lessThan">
      <formula>0</formula>
    </cfRule>
  </conditionalFormatting>
  <conditionalFormatting sqref="AQ39">
    <cfRule type="cellIs" dxfId="9685" priority="728" operator="lessThan">
      <formula>0</formula>
    </cfRule>
  </conditionalFormatting>
  <conditionalFormatting sqref="AQ39">
    <cfRule type="cellIs" dxfId="9684" priority="727" operator="lessThan">
      <formula>0</formula>
    </cfRule>
  </conditionalFormatting>
  <conditionalFormatting sqref="AQ39">
    <cfRule type="cellIs" dxfId="9683" priority="726" operator="lessThan">
      <formula>0</formula>
    </cfRule>
  </conditionalFormatting>
  <conditionalFormatting sqref="AQ39">
    <cfRule type="cellIs" dxfId="9682" priority="725" operator="lessThan">
      <formula>0</formula>
    </cfRule>
  </conditionalFormatting>
  <conditionalFormatting sqref="AQ39">
    <cfRule type="cellIs" dxfId="9681" priority="724" operator="lessThan">
      <formula>0</formula>
    </cfRule>
  </conditionalFormatting>
  <conditionalFormatting sqref="AQ39">
    <cfRule type="cellIs" dxfId="9680" priority="723" operator="lessThan">
      <formula>0</formula>
    </cfRule>
  </conditionalFormatting>
  <conditionalFormatting sqref="AQ39">
    <cfRule type="cellIs" dxfId="9679" priority="722" operator="lessThan">
      <formula>0</formula>
    </cfRule>
  </conditionalFormatting>
  <conditionalFormatting sqref="AQ39">
    <cfRule type="cellIs" dxfId="9678" priority="721" operator="lessThan">
      <formula>0</formula>
    </cfRule>
  </conditionalFormatting>
  <conditionalFormatting sqref="AQ39">
    <cfRule type="cellIs" dxfId="9677" priority="720" operator="lessThan">
      <formula>0</formula>
    </cfRule>
  </conditionalFormatting>
  <conditionalFormatting sqref="AQ39">
    <cfRule type="cellIs" dxfId="9676" priority="719" operator="lessThan">
      <formula>0</formula>
    </cfRule>
  </conditionalFormatting>
  <conditionalFormatting sqref="AQ39">
    <cfRule type="cellIs" dxfId="9675" priority="718" operator="lessThan">
      <formula>0</formula>
    </cfRule>
  </conditionalFormatting>
  <conditionalFormatting sqref="AQ39">
    <cfRule type="cellIs" dxfId="9674" priority="717" operator="lessThan">
      <formula>0</formula>
    </cfRule>
  </conditionalFormatting>
  <conditionalFormatting sqref="AQ39">
    <cfRule type="cellIs" dxfId="9673" priority="716" operator="lessThan">
      <formula>0</formula>
    </cfRule>
  </conditionalFormatting>
  <conditionalFormatting sqref="AQ39">
    <cfRule type="cellIs" dxfId="9672" priority="715" operator="lessThan">
      <formula>0</formula>
    </cfRule>
  </conditionalFormatting>
  <conditionalFormatting sqref="AQ39">
    <cfRule type="cellIs" dxfId="9671" priority="714" operator="lessThan">
      <formula>0</formula>
    </cfRule>
  </conditionalFormatting>
  <conditionalFormatting sqref="AQ39">
    <cfRule type="cellIs" dxfId="9670" priority="713" operator="lessThan">
      <formula>0</formula>
    </cfRule>
  </conditionalFormatting>
  <conditionalFormatting sqref="AQ39">
    <cfRule type="cellIs" dxfId="9669" priority="712" operator="lessThan">
      <formula>0</formula>
    </cfRule>
  </conditionalFormatting>
  <conditionalFormatting sqref="AQ39">
    <cfRule type="cellIs" dxfId="9668" priority="711" operator="lessThan">
      <formula>0</formula>
    </cfRule>
  </conditionalFormatting>
  <conditionalFormatting sqref="AQ39">
    <cfRule type="cellIs" dxfId="9667" priority="710" operator="lessThan">
      <formula>0</formula>
    </cfRule>
  </conditionalFormatting>
  <conditionalFormatting sqref="AQ39">
    <cfRule type="cellIs" dxfId="9666" priority="709" operator="lessThan">
      <formula>0</formula>
    </cfRule>
  </conditionalFormatting>
  <conditionalFormatting sqref="AQ39">
    <cfRule type="cellIs" dxfId="9665" priority="708" operator="lessThan">
      <formula>0</formula>
    </cfRule>
  </conditionalFormatting>
  <conditionalFormatting sqref="AQ39">
    <cfRule type="cellIs" dxfId="9664" priority="707" operator="lessThan">
      <formula>0</formula>
    </cfRule>
  </conditionalFormatting>
  <conditionalFormatting sqref="AQ39">
    <cfRule type="cellIs" dxfId="9663" priority="706" operator="lessThan">
      <formula>0</formula>
    </cfRule>
  </conditionalFormatting>
  <conditionalFormatting sqref="AQ39">
    <cfRule type="cellIs" dxfId="9662" priority="705" operator="lessThan">
      <formula>0</formula>
    </cfRule>
  </conditionalFormatting>
  <conditionalFormatting sqref="AQ39">
    <cfRule type="cellIs" dxfId="9661" priority="704" operator="lessThan">
      <formula>0</formula>
    </cfRule>
  </conditionalFormatting>
  <conditionalFormatting sqref="AQ39">
    <cfRule type="cellIs" dxfId="9660" priority="703" operator="lessThan">
      <formula>0</formula>
    </cfRule>
  </conditionalFormatting>
  <conditionalFormatting sqref="AQ39">
    <cfRule type="cellIs" dxfId="9659" priority="702" operator="lessThan">
      <formula>0</formula>
    </cfRule>
  </conditionalFormatting>
  <conditionalFormatting sqref="AQ39">
    <cfRule type="cellIs" dxfId="9658" priority="701" operator="lessThan">
      <formula>0</formula>
    </cfRule>
  </conditionalFormatting>
  <conditionalFormatting sqref="Y39">
    <cfRule type="iconSet" priority="700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9657" priority="699" operator="lessThan">
      <formula>0</formula>
    </cfRule>
  </conditionalFormatting>
  <conditionalFormatting sqref="Y38:Y40">
    <cfRule type="cellIs" dxfId="9656" priority="698" operator="lessThan">
      <formula>0</formula>
    </cfRule>
  </conditionalFormatting>
  <conditionalFormatting sqref="Y41">
    <cfRule type="cellIs" dxfId="9655" priority="697" operator="lessThan">
      <formula>0</formula>
    </cfRule>
  </conditionalFormatting>
  <conditionalFormatting sqref="AM46:AM49">
    <cfRule type="cellIs" dxfId="9654" priority="695" operator="notEqual">
      <formula>0</formula>
    </cfRule>
  </conditionalFormatting>
  <conditionalFormatting sqref="I48">
    <cfRule type="cellIs" dxfId="9653" priority="694" operator="greaterThan">
      <formula>0</formula>
    </cfRule>
  </conditionalFormatting>
  <conditionalFormatting sqref="AQ46">
    <cfRule type="cellIs" dxfId="9652" priority="693" operator="lessThan">
      <formula>0</formula>
    </cfRule>
  </conditionalFormatting>
  <conditionalFormatting sqref="AQ46 AQ48:AQ49">
    <cfRule type="cellIs" dxfId="9651" priority="692" operator="lessThan">
      <formula>0</formula>
    </cfRule>
  </conditionalFormatting>
  <conditionalFormatting sqref="AQ46 AQ48:AQ49">
    <cfRule type="cellIs" dxfId="9650" priority="691" operator="lessThan">
      <formula>0</formula>
    </cfRule>
  </conditionalFormatting>
  <conditionalFormatting sqref="AQ46 AQ48:AQ49">
    <cfRule type="cellIs" dxfId="9649" priority="690" operator="lessThan">
      <formula>0</formula>
    </cfRule>
  </conditionalFormatting>
  <conditionalFormatting sqref="AQ46 AQ48:AQ49">
    <cfRule type="cellIs" dxfId="9648" priority="689" operator="lessThan">
      <formula>0</formula>
    </cfRule>
  </conditionalFormatting>
  <conditionalFormatting sqref="AQ48:AQ49">
    <cfRule type="cellIs" dxfId="9647" priority="688" operator="lessThan">
      <formula>0</formula>
    </cfRule>
  </conditionalFormatting>
  <conditionalFormatting sqref="AQ48:AQ49">
    <cfRule type="cellIs" dxfId="9646" priority="687" operator="lessThan">
      <formula>0</formula>
    </cfRule>
  </conditionalFormatting>
  <conditionalFormatting sqref="AQ48:AQ49">
    <cfRule type="cellIs" dxfId="9645" priority="686" operator="lessThan">
      <formula>0</formula>
    </cfRule>
  </conditionalFormatting>
  <conditionalFormatting sqref="AQ48:AQ49">
    <cfRule type="cellIs" dxfId="9644" priority="685" operator="lessThan">
      <formula>0</formula>
    </cfRule>
  </conditionalFormatting>
  <conditionalFormatting sqref="AQ47">
    <cfRule type="cellIs" dxfId="9643" priority="684" operator="lessThan">
      <formula>0</formula>
    </cfRule>
  </conditionalFormatting>
  <conditionalFormatting sqref="AQ47">
    <cfRule type="cellIs" dxfId="9642" priority="683" operator="lessThan">
      <formula>0</formula>
    </cfRule>
  </conditionalFormatting>
  <conditionalFormatting sqref="AQ47">
    <cfRule type="cellIs" dxfId="9641" priority="682" operator="lessThan">
      <formula>0</formula>
    </cfRule>
  </conditionalFormatting>
  <conditionalFormatting sqref="AQ47">
    <cfRule type="cellIs" dxfId="9640" priority="681" operator="lessThan">
      <formula>0</formula>
    </cfRule>
  </conditionalFormatting>
  <conditionalFormatting sqref="AQ47">
    <cfRule type="cellIs" dxfId="9639" priority="680" operator="lessThan">
      <formula>0</formula>
    </cfRule>
  </conditionalFormatting>
  <conditionalFormatting sqref="AQ47">
    <cfRule type="cellIs" dxfId="9638" priority="679" operator="lessThan">
      <formula>0</formula>
    </cfRule>
  </conditionalFormatting>
  <conditionalFormatting sqref="AQ47">
    <cfRule type="cellIs" dxfId="9637" priority="678" operator="lessThan">
      <formula>0</formula>
    </cfRule>
  </conditionalFormatting>
  <conditionalFormatting sqref="AQ47">
    <cfRule type="cellIs" dxfId="9636" priority="677" operator="lessThan">
      <formula>0</formula>
    </cfRule>
  </conditionalFormatting>
  <conditionalFormatting sqref="AQ47">
    <cfRule type="cellIs" dxfId="9635" priority="676" operator="lessThan">
      <formula>0</formula>
    </cfRule>
  </conditionalFormatting>
  <conditionalFormatting sqref="AQ47">
    <cfRule type="cellIs" dxfId="9634" priority="675" operator="lessThan">
      <formula>0</formula>
    </cfRule>
  </conditionalFormatting>
  <conditionalFormatting sqref="AQ47">
    <cfRule type="cellIs" dxfId="9633" priority="674" operator="lessThan">
      <formula>0</formula>
    </cfRule>
  </conditionalFormatting>
  <conditionalFormatting sqref="AQ47">
    <cfRule type="cellIs" dxfId="9632" priority="673" operator="lessThan">
      <formula>0</formula>
    </cfRule>
  </conditionalFormatting>
  <conditionalFormatting sqref="AQ47">
    <cfRule type="cellIs" dxfId="9631" priority="672" operator="lessThan">
      <formula>0</formula>
    </cfRule>
  </conditionalFormatting>
  <conditionalFormatting sqref="AQ47">
    <cfRule type="cellIs" dxfId="9630" priority="671" operator="lessThan">
      <formula>0</formula>
    </cfRule>
  </conditionalFormatting>
  <conditionalFormatting sqref="AQ47">
    <cfRule type="cellIs" dxfId="9629" priority="670" operator="lessThan">
      <formula>0</formula>
    </cfRule>
  </conditionalFormatting>
  <conditionalFormatting sqref="AQ47">
    <cfRule type="cellIs" dxfId="9628" priority="669" operator="lessThan">
      <formula>0</formula>
    </cfRule>
  </conditionalFormatting>
  <conditionalFormatting sqref="AQ47">
    <cfRule type="cellIs" dxfId="9627" priority="668" operator="lessThan">
      <formula>0</formula>
    </cfRule>
  </conditionalFormatting>
  <conditionalFormatting sqref="AQ47">
    <cfRule type="cellIs" dxfId="9626" priority="667" operator="lessThan">
      <formula>0</formula>
    </cfRule>
  </conditionalFormatting>
  <conditionalFormatting sqref="AQ47">
    <cfRule type="cellIs" dxfId="9625" priority="666" operator="lessThan">
      <formula>0</formula>
    </cfRule>
  </conditionalFormatting>
  <conditionalFormatting sqref="AQ47">
    <cfRule type="cellIs" dxfId="9624" priority="665" operator="lessThan">
      <formula>0</formula>
    </cfRule>
  </conditionalFormatting>
  <conditionalFormatting sqref="AQ47">
    <cfRule type="cellIs" dxfId="9623" priority="664" operator="lessThan">
      <formula>0</formula>
    </cfRule>
  </conditionalFormatting>
  <conditionalFormatting sqref="AQ47">
    <cfRule type="cellIs" dxfId="9622" priority="663" operator="lessThan">
      <formula>0</formula>
    </cfRule>
  </conditionalFormatting>
  <conditionalFormatting sqref="AQ47">
    <cfRule type="cellIs" dxfId="9621" priority="662" operator="lessThan">
      <formula>0</formula>
    </cfRule>
  </conditionalFormatting>
  <conditionalFormatting sqref="AQ47">
    <cfRule type="cellIs" dxfId="9620" priority="661" operator="lessThan">
      <formula>0</formula>
    </cfRule>
  </conditionalFormatting>
  <conditionalFormatting sqref="AQ47">
    <cfRule type="cellIs" dxfId="9619" priority="660" operator="lessThan">
      <formula>0</formula>
    </cfRule>
  </conditionalFormatting>
  <conditionalFormatting sqref="AQ47">
    <cfRule type="cellIs" dxfId="9618" priority="659" operator="lessThan">
      <formula>0</formula>
    </cfRule>
  </conditionalFormatting>
  <conditionalFormatting sqref="AQ47">
    <cfRule type="cellIs" dxfId="9617" priority="658" operator="lessThan">
      <formula>0</formula>
    </cfRule>
  </conditionalFormatting>
  <conditionalFormatting sqref="AQ47">
    <cfRule type="cellIs" dxfId="9616" priority="657" operator="lessThan">
      <formula>0</formula>
    </cfRule>
  </conditionalFormatting>
  <conditionalFormatting sqref="AQ47">
    <cfRule type="cellIs" dxfId="9615" priority="656" operator="lessThan">
      <formula>0</formula>
    </cfRule>
  </conditionalFormatting>
  <conditionalFormatting sqref="AQ47">
    <cfRule type="cellIs" dxfId="9614" priority="655" operator="lessThan">
      <formula>0</formula>
    </cfRule>
  </conditionalFormatting>
  <conditionalFormatting sqref="AQ47">
    <cfRule type="cellIs" dxfId="9613" priority="654" operator="lessThan">
      <formula>0</formula>
    </cfRule>
  </conditionalFormatting>
  <conditionalFormatting sqref="AQ47">
    <cfRule type="cellIs" dxfId="9612" priority="653" operator="lessThan">
      <formula>0</formula>
    </cfRule>
  </conditionalFormatting>
  <conditionalFormatting sqref="Y47">
    <cfRule type="iconSet" priority="652">
      <iconSet>
        <cfvo type="percent" val="0"/>
        <cfvo type="percent" val="&quot;$I$6&quot;"/>
        <cfvo type="percent" val="#REF!"/>
      </iconSet>
    </cfRule>
  </conditionalFormatting>
  <conditionalFormatting sqref="Y48">
    <cfRule type="cellIs" dxfId="9611" priority="651" operator="lessThan">
      <formula>0</formula>
    </cfRule>
  </conditionalFormatting>
  <conditionalFormatting sqref="Y46:Y48">
    <cfRule type="cellIs" dxfId="9610" priority="650" operator="lessThan">
      <formula>0</formula>
    </cfRule>
  </conditionalFormatting>
  <conditionalFormatting sqref="Y49">
    <cfRule type="cellIs" dxfId="9609" priority="649" operator="lessThan">
      <formula>0</formula>
    </cfRule>
  </conditionalFormatting>
  <conditionalFormatting sqref="AM78:AM81">
    <cfRule type="cellIs" dxfId="9608" priority="647" operator="notEqual">
      <formula>0</formula>
    </cfRule>
  </conditionalFormatting>
  <conditionalFormatting sqref="I80">
    <cfRule type="cellIs" dxfId="9607" priority="646" operator="greaterThan">
      <formula>0</formula>
    </cfRule>
  </conditionalFormatting>
  <conditionalFormatting sqref="AQ78">
    <cfRule type="cellIs" dxfId="9606" priority="644" operator="lessThan">
      <formula>0</formula>
    </cfRule>
  </conditionalFormatting>
  <conditionalFormatting sqref="AQ78 AQ80:AQ81">
    <cfRule type="cellIs" dxfId="9605" priority="643" operator="lessThan">
      <formula>0</formula>
    </cfRule>
  </conditionalFormatting>
  <conditionalFormatting sqref="AQ78 AQ80:AQ81">
    <cfRule type="cellIs" dxfId="9604" priority="642" operator="lessThan">
      <formula>0</formula>
    </cfRule>
  </conditionalFormatting>
  <conditionalFormatting sqref="AQ78 AQ80:AQ81">
    <cfRule type="cellIs" dxfId="9603" priority="641" operator="lessThan">
      <formula>0</formula>
    </cfRule>
  </conditionalFormatting>
  <conditionalFormatting sqref="AQ78 AQ80:AQ81">
    <cfRule type="cellIs" dxfId="9602" priority="640" operator="lessThan">
      <formula>0</formula>
    </cfRule>
  </conditionalFormatting>
  <conditionalFormatting sqref="AQ80:AQ81">
    <cfRule type="cellIs" dxfId="9601" priority="639" operator="lessThan">
      <formula>0</formula>
    </cfRule>
  </conditionalFormatting>
  <conditionalFormatting sqref="AQ80:AQ81">
    <cfRule type="cellIs" dxfId="9600" priority="638" operator="lessThan">
      <formula>0</formula>
    </cfRule>
  </conditionalFormatting>
  <conditionalFormatting sqref="AQ80:AQ81">
    <cfRule type="cellIs" dxfId="9599" priority="637" operator="lessThan">
      <formula>0</formula>
    </cfRule>
  </conditionalFormatting>
  <conditionalFormatting sqref="AQ80:AQ81">
    <cfRule type="cellIs" dxfId="9598" priority="636" operator="lessThan">
      <formula>0</formula>
    </cfRule>
  </conditionalFormatting>
  <conditionalFormatting sqref="AQ79">
    <cfRule type="cellIs" dxfId="9597" priority="635" operator="lessThan">
      <formula>0</formula>
    </cfRule>
  </conditionalFormatting>
  <conditionalFormatting sqref="AQ79">
    <cfRule type="cellIs" dxfId="9596" priority="634" operator="lessThan">
      <formula>0</formula>
    </cfRule>
  </conditionalFormatting>
  <conditionalFormatting sqref="AQ79">
    <cfRule type="cellIs" dxfId="9595" priority="633" operator="lessThan">
      <formula>0</formula>
    </cfRule>
  </conditionalFormatting>
  <conditionalFormatting sqref="AQ79">
    <cfRule type="cellIs" dxfId="9594" priority="632" operator="lessThan">
      <formula>0</formula>
    </cfRule>
  </conditionalFormatting>
  <conditionalFormatting sqref="AQ79">
    <cfRule type="cellIs" dxfId="9593" priority="631" operator="lessThan">
      <formula>0</formula>
    </cfRule>
  </conditionalFormatting>
  <conditionalFormatting sqref="AQ79">
    <cfRule type="cellIs" dxfId="9592" priority="630" operator="lessThan">
      <formula>0</formula>
    </cfRule>
  </conditionalFormatting>
  <conditionalFormatting sqref="AQ79">
    <cfRule type="cellIs" dxfId="9591" priority="629" operator="lessThan">
      <formula>0</formula>
    </cfRule>
  </conditionalFormatting>
  <conditionalFormatting sqref="AQ79">
    <cfRule type="cellIs" dxfId="9590" priority="628" operator="lessThan">
      <formula>0</formula>
    </cfRule>
  </conditionalFormatting>
  <conditionalFormatting sqref="AQ79">
    <cfRule type="cellIs" dxfId="9589" priority="627" operator="lessThan">
      <formula>0</formula>
    </cfRule>
  </conditionalFormatting>
  <conditionalFormatting sqref="AQ79">
    <cfRule type="cellIs" dxfId="9588" priority="626" operator="lessThan">
      <formula>0</formula>
    </cfRule>
  </conditionalFormatting>
  <conditionalFormatting sqref="AQ79">
    <cfRule type="cellIs" dxfId="9587" priority="625" operator="lessThan">
      <formula>0</formula>
    </cfRule>
  </conditionalFormatting>
  <conditionalFormatting sqref="AQ79">
    <cfRule type="cellIs" dxfId="9586" priority="624" operator="lessThan">
      <formula>0</formula>
    </cfRule>
  </conditionalFormatting>
  <conditionalFormatting sqref="AQ79">
    <cfRule type="cellIs" dxfId="9585" priority="623" operator="lessThan">
      <formula>0</formula>
    </cfRule>
  </conditionalFormatting>
  <conditionalFormatting sqref="AQ79">
    <cfRule type="cellIs" dxfId="9584" priority="622" operator="lessThan">
      <formula>0</formula>
    </cfRule>
  </conditionalFormatting>
  <conditionalFormatting sqref="AQ79">
    <cfRule type="cellIs" dxfId="9583" priority="621" operator="lessThan">
      <formula>0</formula>
    </cfRule>
  </conditionalFormatting>
  <conditionalFormatting sqref="AQ79">
    <cfRule type="cellIs" dxfId="9582" priority="620" operator="lessThan">
      <formula>0</formula>
    </cfRule>
  </conditionalFormatting>
  <conditionalFormatting sqref="AQ79">
    <cfRule type="cellIs" dxfId="9581" priority="619" operator="lessThan">
      <formula>0</formula>
    </cfRule>
  </conditionalFormatting>
  <conditionalFormatting sqref="AQ79">
    <cfRule type="cellIs" dxfId="9580" priority="618" operator="lessThan">
      <formula>0</formula>
    </cfRule>
  </conditionalFormatting>
  <conditionalFormatting sqref="AQ79">
    <cfRule type="cellIs" dxfId="9579" priority="617" operator="lessThan">
      <formula>0</formula>
    </cfRule>
  </conditionalFormatting>
  <conditionalFormatting sqref="AQ79">
    <cfRule type="cellIs" dxfId="9578" priority="616" operator="lessThan">
      <formula>0</formula>
    </cfRule>
  </conditionalFormatting>
  <conditionalFormatting sqref="AQ79">
    <cfRule type="cellIs" dxfId="9577" priority="615" operator="lessThan">
      <formula>0</formula>
    </cfRule>
  </conditionalFormatting>
  <conditionalFormatting sqref="AQ79">
    <cfRule type="cellIs" dxfId="9576" priority="614" operator="lessThan">
      <formula>0</formula>
    </cfRule>
  </conditionalFormatting>
  <conditionalFormatting sqref="AQ79">
    <cfRule type="cellIs" dxfId="9575" priority="613" operator="lessThan">
      <formula>0</formula>
    </cfRule>
  </conditionalFormatting>
  <conditionalFormatting sqref="AQ79">
    <cfRule type="cellIs" dxfId="9574" priority="612" operator="lessThan">
      <formula>0</formula>
    </cfRule>
  </conditionalFormatting>
  <conditionalFormatting sqref="AQ79">
    <cfRule type="cellIs" dxfId="9573" priority="611" operator="lessThan">
      <formula>0</formula>
    </cfRule>
  </conditionalFormatting>
  <conditionalFormatting sqref="AQ79">
    <cfRule type="cellIs" dxfId="9572" priority="610" operator="lessThan">
      <formula>0</formula>
    </cfRule>
  </conditionalFormatting>
  <conditionalFormatting sqref="AQ79">
    <cfRule type="cellIs" dxfId="9571" priority="609" operator="lessThan">
      <formula>0</formula>
    </cfRule>
  </conditionalFormatting>
  <conditionalFormatting sqref="AQ79">
    <cfRule type="cellIs" dxfId="9570" priority="608" operator="lessThan">
      <formula>0</formula>
    </cfRule>
  </conditionalFormatting>
  <conditionalFormatting sqref="AQ79">
    <cfRule type="cellIs" dxfId="9569" priority="607" operator="lessThan">
      <formula>0</formula>
    </cfRule>
  </conditionalFormatting>
  <conditionalFormatting sqref="AQ79">
    <cfRule type="cellIs" dxfId="9568" priority="606" operator="lessThan">
      <formula>0</formula>
    </cfRule>
  </conditionalFormatting>
  <conditionalFormatting sqref="AQ79">
    <cfRule type="cellIs" dxfId="9567" priority="605" operator="lessThan">
      <formula>0</formula>
    </cfRule>
  </conditionalFormatting>
  <conditionalFormatting sqref="AQ79">
    <cfRule type="cellIs" dxfId="9566" priority="604" operator="lessThan">
      <formula>0</formula>
    </cfRule>
  </conditionalFormatting>
  <conditionalFormatting sqref="Y79">
    <cfRule type="iconSet" priority="603">
      <iconSet>
        <cfvo type="percent" val="0"/>
        <cfvo type="percent" val="&quot;$I$6&quot;"/>
        <cfvo type="percent" val="#REF!"/>
      </iconSet>
    </cfRule>
  </conditionalFormatting>
  <conditionalFormatting sqref="Y80">
    <cfRule type="cellIs" dxfId="9565" priority="602" operator="lessThan">
      <formula>0</formula>
    </cfRule>
  </conditionalFormatting>
  <conditionalFormatting sqref="Y78:Y80">
    <cfRule type="cellIs" dxfId="9564" priority="601" operator="lessThan">
      <formula>0</formula>
    </cfRule>
  </conditionalFormatting>
  <conditionalFormatting sqref="Y81">
    <cfRule type="cellIs" dxfId="9563" priority="600" operator="lessThan">
      <formula>0</formula>
    </cfRule>
  </conditionalFormatting>
  <conditionalFormatting sqref="AM14:AM17">
    <cfRule type="cellIs" dxfId="9562" priority="598" operator="notEqual">
      <formula>0</formula>
    </cfRule>
  </conditionalFormatting>
  <conditionalFormatting sqref="I16">
    <cfRule type="cellIs" dxfId="9561" priority="597" operator="greaterThan">
      <formula>0</formula>
    </cfRule>
  </conditionalFormatting>
  <conditionalFormatting sqref="AQ14">
    <cfRule type="cellIs" dxfId="9560" priority="596" operator="lessThan">
      <formula>0</formula>
    </cfRule>
  </conditionalFormatting>
  <conditionalFormatting sqref="AQ14 AQ16:AQ17">
    <cfRule type="cellIs" dxfId="9559" priority="595" operator="lessThan">
      <formula>0</formula>
    </cfRule>
  </conditionalFormatting>
  <conditionalFormatting sqref="AQ14 AQ16:AQ17">
    <cfRule type="cellIs" dxfId="9558" priority="594" operator="lessThan">
      <formula>0</formula>
    </cfRule>
  </conditionalFormatting>
  <conditionalFormatting sqref="AQ14 AQ16:AQ17">
    <cfRule type="cellIs" dxfId="9557" priority="593" operator="lessThan">
      <formula>0</formula>
    </cfRule>
  </conditionalFormatting>
  <conditionalFormatting sqref="AQ14 AQ16:AQ17">
    <cfRule type="cellIs" dxfId="9556" priority="592" operator="lessThan">
      <formula>0</formula>
    </cfRule>
  </conditionalFormatting>
  <conditionalFormatting sqref="AQ16:AQ17">
    <cfRule type="cellIs" dxfId="9555" priority="591" operator="lessThan">
      <formula>0</formula>
    </cfRule>
  </conditionalFormatting>
  <conditionalFormatting sqref="AQ16:AQ17">
    <cfRule type="cellIs" dxfId="9554" priority="590" operator="lessThan">
      <formula>0</formula>
    </cfRule>
  </conditionalFormatting>
  <conditionalFormatting sqref="AQ16:AQ17">
    <cfRule type="cellIs" dxfId="9553" priority="589" operator="lessThan">
      <formula>0</formula>
    </cfRule>
  </conditionalFormatting>
  <conditionalFormatting sqref="AQ16:AQ17">
    <cfRule type="cellIs" dxfId="9552" priority="588" operator="lessThan">
      <formula>0</formula>
    </cfRule>
  </conditionalFormatting>
  <conditionalFormatting sqref="AQ15">
    <cfRule type="cellIs" dxfId="9551" priority="587" operator="lessThan">
      <formula>0</formula>
    </cfRule>
  </conditionalFormatting>
  <conditionalFormatting sqref="AQ15">
    <cfRule type="cellIs" dxfId="9550" priority="586" operator="lessThan">
      <formula>0</formula>
    </cfRule>
  </conditionalFormatting>
  <conditionalFormatting sqref="AQ15">
    <cfRule type="cellIs" dxfId="9549" priority="585" operator="lessThan">
      <formula>0</formula>
    </cfRule>
  </conditionalFormatting>
  <conditionalFormatting sqref="AQ15">
    <cfRule type="cellIs" dxfId="9548" priority="584" operator="lessThan">
      <formula>0</formula>
    </cfRule>
  </conditionalFormatting>
  <conditionalFormatting sqref="AQ15">
    <cfRule type="cellIs" dxfId="9547" priority="583" operator="lessThan">
      <formula>0</formula>
    </cfRule>
  </conditionalFormatting>
  <conditionalFormatting sqref="AQ15">
    <cfRule type="cellIs" dxfId="9546" priority="582" operator="lessThan">
      <formula>0</formula>
    </cfRule>
  </conditionalFormatting>
  <conditionalFormatting sqref="AQ15">
    <cfRule type="cellIs" dxfId="9545" priority="581" operator="lessThan">
      <formula>0</formula>
    </cfRule>
  </conditionalFormatting>
  <conditionalFormatting sqref="AQ15">
    <cfRule type="cellIs" dxfId="9544" priority="580" operator="lessThan">
      <formula>0</formula>
    </cfRule>
  </conditionalFormatting>
  <conditionalFormatting sqref="AQ15">
    <cfRule type="cellIs" dxfId="9543" priority="579" operator="lessThan">
      <formula>0</formula>
    </cfRule>
  </conditionalFormatting>
  <conditionalFormatting sqref="AQ15">
    <cfRule type="cellIs" dxfId="9542" priority="578" operator="lessThan">
      <formula>0</formula>
    </cfRule>
  </conditionalFormatting>
  <conditionalFormatting sqref="AQ15">
    <cfRule type="cellIs" dxfId="9541" priority="577" operator="lessThan">
      <formula>0</formula>
    </cfRule>
  </conditionalFormatting>
  <conditionalFormatting sqref="AQ15">
    <cfRule type="cellIs" dxfId="9540" priority="576" operator="lessThan">
      <formula>0</formula>
    </cfRule>
  </conditionalFormatting>
  <conditionalFormatting sqref="AQ15">
    <cfRule type="cellIs" dxfId="9539" priority="575" operator="lessThan">
      <formula>0</formula>
    </cfRule>
  </conditionalFormatting>
  <conditionalFormatting sqref="AQ15">
    <cfRule type="cellIs" dxfId="9538" priority="574" operator="lessThan">
      <formula>0</formula>
    </cfRule>
  </conditionalFormatting>
  <conditionalFormatting sqref="AQ15">
    <cfRule type="cellIs" dxfId="9537" priority="573" operator="lessThan">
      <formula>0</formula>
    </cfRule>
  </conditionalFormatting>
  <conditionalFormatting sqref="AQ15">
    <cfRule type="cellIs" dxfId="9536" priority="572" operator="lessThan">
      <formula>0</formula>
    </cfRule>
  </conditionalFormatting>
  <conditionalFormatting sqref="AQ15">
    <cfRule type="cellIs" dxfId="9535" priority="571" operator="lessThan">
      <formula>0</formula>
    </cfRule>
  </conditionalFormatting>
  <conditionalFormatting sqref="AQ15">
    <cfRule type="cellIs" dxfId="9534" priority="570" operator="lessThan">
      <formula>0</formula>
    </cfRule>
  </conditionalFormatting>
  <conditionalFormatting sqref="AQ15">
    <cfRule type="cellIs" dxfId="9533" priority="569" operator="lessThan">
      <formula>0</formula>
    </cfRule>
  </conditionalFormatting>
  <conditionalFormatting sqref="AQ15">
    <cfRule type="cellIs" dxfId="9532" priority="568" operator="lessThan">
      <formula>0</formula>
    </cfRule>
  </conditionalFormatting>
  <conditionalFormatting sqref="AQ15">
    <cfRule type="cellIs" dxfId="9531" priority="567" operator="lessThan">
      <formula>0</formula>
    </cfRule>
  </conditionalFormatting>
  <conditionalFormatting sqref="AQ15">
    <cfRule type="cellIs" dxfId="9530" priority="566" operator="lessThan">
      <formula>0</formula>
    </cfRule>
  </conditionalFormatting>
  <conditionalFormatting sqref="AQ15">
    <cfRule type="cellIs" dxfId="9529" priority="565" operator="lessThan">
      <formula>0</formula>
    </cfRule>
  </conditionalFormatting>
  <conditionalFormatting sqref="AQ15">
    <cfRule type="cellIs" dxfId="9528" priority="564" operator="lessThan">
      <formula>0</formula>
    </cfRule>
  </conditionalFormatting>
  <conditionalFormatting sqref="AQ15">
    <cfRule type="cellIs" dxfId="9527" priority="563" operator="lessThan">
      <formula>0</formula>
    </cfRule>
  </conditionalFormatting>
  <conditionalFormatting sqref="AQ15">
    <cfRule type="cellIs" dxfId="9526" priority="562" operator="lessThan">
      <formula>0</formula>
    </cfRule>
  </conditionalFormatting>
  <conditionalFormatting sqref="AQ15">
    <cfRule type="cellIs" dxfId="9525" priority="561" operator="lessThan">
      <formula>0</formula>
    </cfRule>
  </conditionalFormatting>
  <conditionalFormatting sqref="AQ15">
    <cfRule type="cellIs" dxfId="9524" priority="560" operator="lessThan">
      <formula>0</formula>
    </cfRule>
  </conditionalFormatting>
  <conditionalFormatting sqref="AQ15">
    <cfRule type="cellIs" dxfId="9523" priority="559" operator="lessThan">
      <formula>0</formula>
    </cfRule>
  </conditionalFormatting>
  <conditionalFormatting sqref="AQ15">
    <cfRule type="cellIs" dxfId="9522" priority="558" operator="lessThan">
      <formula>0</formula>
    </cfRule>
  </conditionalFormatting>
  <conditionalFormatting sqref="AQ15">
    <cfRule type="cellIs" dxfId="9521" priority="557" operator="lessThan">
      <formula>0</formula>
    </cfRule>
  </conditionalFormatting>
  <conditionalFormatting sqref="AQ15">
    <cfRule type="cellIs" dxfId="9520" priority="556" operator="lessThan">
      <formula>0</formula>
    </cfRule>
  </conditionalFormatting>
  <conditionalFormatting sqref="Y15">
    <cfRule type="iconSet" priority="555">
      <iconSet>
        <cfvo type="percent" val="0"/>
        <cfvo type="percent" val="&quot;$I$6&quot;"/>
        <cfvo type="percent" val="#REF!"/>
      </iconSet>
    </cfRule>
  </conditionalFormatting>
  <conditionalFormatting sqref="Y16">
    <cfRule type="cellIs" dxfId="9519" priority="554" operator="lessThan">
      <formula>0</formula>
    </cfRule>
  </conditionalFormatting>
  <conditionalFormatting sqref="Y14:Y16">
    <cfRule type="cellIs" dxfId="9518" priority="553" operator="lessThan">
      <formula>0</formula>
    </cfRule>
  </conditionalFormatting>
  <conditionalFormatting sqref="Y17">
    <cfRule type="cellIs" dxfId="9517" priority="552" operator="lessThan">
      <formula>0</formula>
    </cfRule>
  </conditionalFormatting>
  <conditionalFormatting sqref="AQ27">
    <cfRule type="cellIs" dxfId="9516" priority="551" operator="lessThan">
      <formula>0</formula>
    </cfRule>
  </conditionalFormatting>
  <conditionalFormatting sqref="AQ27">
    <cfRule type="cellIs" dxfId="9515" priority="550" operator="lessThan">
      <formula>0</formula>
    </cfRule>
  </conditionalFormatting>
  <conditionalFormatting sqref="AQ27">
    <cfRule type="cellIs" dxfId="9514" priority="549" operator="lessThan">
      <formula>0</formula>
    </cfRule>
  </conditionalFormatting>
  <conditionalFormatting sqref="AQ27">
    <cfRule type="cellIs" dxfId="9513" priority="548" operator="lessThan">
      <formula>0</formula>
    </cfRule>
  </conditionalFormatting>
  <conditionalFormatting sqref="AQ27">
    <cfRule type="cellIs" dxfId="9512" priority="547" operator="lessThan">
      <formula>0</formula>
    </cfRule>
  </conditionalFormatting>
  <conditionalFormatting sqref="AQ27">
    <cfRule type="cellIs" dxfId="9511" priority="546" operator="lessThan">
      <formula>0</formula>
    </cfRule>
  </conditionalFormatting>
  <conditionalFormatting sqref="AQ27">
    <cfRule type="cellIs" dxfId="9510" priority="545" operator="lessThan">
      <formula>0</formula>
    </cfRule>
  </conditionalFormatting>
  <conditionalFormatting sqref="AQ27">
    <cfRule type="cellIs" dxfId="9509" priority="544" operator="lessThan">
      <formula>0</formula>
    </cfRule>
  </conditionalFormatting>
  <conditionalFormatting sqref="AQ27">
    <cfRule type="cellIs" dxfId="9508" priority="543" operator="lessThan">
      <formula>0</formula>
    </cfRule>
  </conditionalFormatting>
  <conditionalFormatting sqref="AQ27">
    <cfRule type="cellIs" dxfId="9507" priority="542" operator="lessThan">
      <formula>0</formula>
    </cfRule>
  </conditionalFormatting>
  <conditionalFormatting sqref="AQ27">
    <cfRule type="cellIs" dxfId="9506" priority="541" operator="lessThan">
      <formula>0</formula>
    </cfRule>
  </conditionalFormatting>
  <conditionalFormatting sqref="AQ27">
    <cfRule type="cellIs" dxfId="9505" priority="540" operator="lessThan">
      <formula>0</formula>
    </cfRule>
  </conditionalFormatting>
  <conditionalFormatting sqref="AQ27">
    <cfRule type="cellIs" dxfId="9504" priority="539" operator="lessThan">
      <formula>0</formula>
    </cfRule>
  </conditionalFormatting>
  <conditionalFormatting sqref="AQ27">
    <cfRule type="cellIs" dxfId="9503" priority="538" operator="lessThan">
      <formula>0</formula>
    </cfRule>
  </conditionalFormatting>
  <conditionalFormatting sqref="AQ27">
    <cfRule type="cellIs" dxfId="9502" priority="537" operator="lessThan">
      <formula>0</formula>
    </cfRule>
  </conditionalFormatting>
  <conditionalFormatting sqref="AQ27">
    <cfRule type="cellIs" dxfId="9501" priority="536" operator="lessThan">
      <formula>0</formula>
    </cfRule>
  </conditionalFormatting>
  <conditionalFormatting sqref="AQ27">
    <cfRule type="cellIs" dxfId="9500" priority="520" operator="lessThan">
      <formula>0</formula>
    </cfRule>
  </conditionalFormatting>
  <conditionalFormatting sqref="AQ27">
    <cfRule type="cellIs" dxfId="9499" priority="535" operator="lessThan">
      <formula>0</formula>
    </cfRule>
  </conditionalFormatting>
  <conditionalFormatting sqref="AQ27">
    <cfRule type="cellIs" dxfId="9498" priority="534" operator="lessThan">
      <formula>0</formula>
    </cfRule>
  </conditionalFormatting>
  <conditionalFormatting sqref="AQ27">
    <cfRule type="cellIs" dxfId="9497" priority="533" operator="lessThan">
      <formula>0</formula>
    </cfRule>
  </conditionalFormatting>
  <conditionalFormatting sqref="AQ27">
    <cfRule type="cellIs" dxfId="9496" priority="532" operator="lessThan">
      <formula>0</formula>
    </cfRule>
  </conditionalFormatting>
  <conditionalFormatting sqref="AQ27">
    <cfRule type="cellIs" dxfId="9495" priority="531" operator="lessThan">
      <formula>0</formula>
    </cfRule>
  </conditionalFormatting>
  <conditionalFormatting sqref="AQ27">
    <cfRule type="cellIs" dxfId="9494" priority="530" operator="lessThan">
      <formula>0</formula>
    </cfRule>
  </conditionalFormatting>
  <conditionalFormatting sqref="AQ27">
    <cfRule type="cellIs" dxfId="9493" priority="529" operator="lessThan">
      <formula>0</formula>
    </cfRule>
  </conditionalFormatting>
  <conditionalFormatting sqref="AQ27">
    <cfRule type="cellIs" dxfId="9492" priority="528" operator="lessThan">
      <formula>0</formula>
    </cfRule>
  </conditionalFormatting>
  <conditionalFormatting sqref="AQ27">
    <cfRule type="cellIs" dxfId="9491" priority="527" operator="lessThan">
      <formula>0</formula>
    </cfRule>
  </conditionalFormatting>
  <conditionalFormatting sqref="AQ27">
    <cfRule type="cellIs" dxfId="9490" priority="526" operator="lessThan">
      <formula>0</formula>
    </cfRule>
  </conditionalFormatting>
  <conditionalFormatting sqref="AQ27">
    <cfRule type="cellIs" dxfId="9489" priority="525" operator="lessThan">
      <formula>0</formula>
    </cfRule>
  </conditionalFormatting>
  <conditionalFormatting sqref="AQ27">
    <cfRule type="cellIs" dxfId="9488" priority="524" operator="lessThan">
      <formula>0</formula>
    </cfRule>
  </conditionalFormatting>
  <conditionalFormatting sqref="AQ27">
    <cfRule type="cellIs" dxfId="9487" priority="523" operator="lessThan">
      <formula>0</formula>
    </cfRule>
  </conditionalFormatting>
  <conditionalFormatting sqref="AQ27">
    <cfRule type="cellIs" dxfId="9486" priority="522" operator="lessThan">
      <formula>0</formula>
    </cfRule>
  </conditionalFormatting>
  <conditionalFormatting sqref="AQ27">
    <cfRule type="cellIs" dxfId="9485" priority="521" operator="lessThan">
      <formula>0</formula>
    </cfRule>
  </conditionalFormatting>
  <conditionalFormatting sqref="AM98:AM101">
    <cfRule type="cellIs" dxfId="9484" priority="518" operator="notEqual">
      <formula>0</formula>
    </cfRule>
  </conditionalFormatting>
  <conditionalFormatting sqref="I100">
    <cfRule type="cellIs" dxfId="9483" priority="517" operator="greaterThan">
      <formula>0</formula>
    </cfRule>
  </conditionalFormatting>
  <conditionalFormatting sqref="AQ98">
    <cfRule type="cellIs" dxfId="9482" priority="515" operator="lessThan">
      <formula>0</formula>
    </cfRule>
  </conditionalFormatting>
  <conditionalFormatting sqref="AQ98 AQ100:AQ101">
    <cfRule type="cellIs" dxfId="9481" priority="514" operator="lessThan">
      <formula>0</formula>
    </cfRule>
  </conditionalFormatting>
  <conditionalFormatting sqref="AQ98 AQ100:AQ101">
    <cfRule type="cellIs" dxfId="9480" priority="513" operator="lessThan">
      <formula>0</formula>
    </cfRule>
  </conditionalFormatting>
  <conditionalFormatting sqref="AQ98 AQ100:AQ101">
    <cfRule type="cellIs" dxfId="9479" priority="512" operator="lessThan">
      <formula>0</formula>
    </cfRule>
  </conditionalFormatting>
  <conditionalFormatting sqref="AQ98 AQ100:AQ101">
    <cfRule type="cellIs" dxfId="9478" priority="511" operator="lessThan">
      <formula>0</formula>
    </cfRule>
  </conditionalFormatting>
  <conditionalFormatting sqref="AQ100:AQ101">
    <cfRule type="cellIs" dxfId="9477" priority="510" operator="lessThan">
      <formula>0</formula>
    </cfRule>
  </conditionalFormatting>
  <conditionalFormatting sqref="AQ100:AQ101">
    <cfRule type="cellIs" dxfId="9476" priority="509" operator="lessThan">
      <formula>0</formula>
    </cfRule>
  </conditionalFormatting>
  <conditionalFormatting sqref="AQ100:AQ101">
    <cfRule type="cellIs" dxfId="9475" priority="508" operator="lessThan">
      <formula>0</formula>
    </cfRule>
  </conditionalFormatting>
  <conditionalFormatting sqref="AQ100:AQ101">
    <cfRule type="cellIs" dxfId="9474" priority="507" operator="lessThan">
      <formula>0</formula>
    </cfRule>
  </conditionalFormatting>
  <conditionalFormatting sqref="AQ99">
    <cfRule type="cellIs" dxfId="9473" priority="506" operator="lessThan">
      <formula>0</formula>
    </cfRule>
  </conditionalFormatting>
  <conditionalFormatting sqref="AQ99">
    <cfRule type="cellIs" dxfId="9472" priority="505" operator="lessThan">
      <formula>0</formula>
    </cfRule>
  </conditionalFormatting>
  <conditionalFormatting sqref="AQ99">
    <cfRule type="cellIs" dxfId="9471" priority="504" operator="lessThan">
      <formula>0</formula>
    </cfRule>
  </conditionalFormatting>
  <conditionalFormatting sqref="AQ99">
    <cfRule type="cellIs" dxfId="9470" priority="503" operator="lessThan">
      <formula>0</formula>
    </cfRule>
  </conditionalFormatting>
  <conditionalFormatting sqref="AQ99">
    <cfRule type="cellIs" dxfId="9469" priority="502" operator="lessThan">
      <formula>0</formula>
    </cfRule>
  </conditionalFormatting>
  <conditionalFormatting sqref="AQ99">
    <cfRule type="cellIs" dxfId="9468" priority="501" operator="lessThan">
      <formula>0</formula>
    </cfRule>
  </conditionalFormatting>
  <conditionalFormatting sqref="AQ99">
    <cfRule type="cellIs" dxfId="9467" priority="500" operator="lessThan">
      <formula>0</formula>
    </cfRule>
  </conditionalFormatting>
  <conditionalFormatting sqref="AQ99">
    <cfRule type="cellIs" dxfId="9466" priority="499" operator="lessThan">
      <formula>0</formula>
    </cfRule>
  </conditionalFormatting>
  <conditionalFormatting sqref="AQ99">
    <cfRule type="cellIs" dxfId="9465" priority="498" operator="lessThan">
      <formula>0</formula>
    </cfRule>
  </conditionalFormatting>
  <conditionalFormatting sqref="AQ99">
    <cfRule type="cellIs" dxfId="9464" priority="497" operator="lessThan">
      <formula>0</formula>
    </cfRule>
  </conditionalFormatting>
  <conditionalFormatting sqref="AQ99">
    <cfRule type="cellIs" dxfId="9463" priority="496" operator="lessThan">
      <formula>0</formula>
    </cfRule>
  </conditionalFormatting>
  <conditionalFormatting sqref="AQ99">
    <cfRule type="cellIs" dxfId="9462" priority="495" operator="lessThan">
      <formula>0</formula>
    </cfRule>
  </conditionalFormatting>
  <conditionalFormatting sqref="AQ99">
    <cfRule type="cellIs" dxfId="9461" priority="494" operator="lessThan">
      <formula>0</formula>
    </cfRule>
  </conditionalFormatting>
  <conditionalFormatting sqref="AQ99">
    <cfRule type="cellIs" dxfId="9460" priority="493" operator="lessThan">
      <formula>0</formula>
    </cfRule>
  </conditionalFormatting>
  <conditionalFormatting sqref="AQ99">
    <cfRule type="cellIs" dxfId="9459" priority="492" operator="lessThan">
      <formula>0</formula>
    </cfRule>
  </conditionalFormatting>
  <conditionalFormatting sqref="AQ99">
    <cfRule type="cellIs" dxfId="9458" priority="491" operator="lessThan">
      <formula>0</formula>
    </cfRule>
  </conditionalFormatting>
  <conditionalFormatting sqref="AQ99">
    <cfRule type="cellIs" dxfId="9457" priority="490" operator="lessThan">
      <formula>0</formula>
    </cfRule>
  </conditionalFormatting>
  <conditionalFormatting sqref="AQ99">
    <cfRule type="cellIs" dxfId="9456" priority="489" operator="lessThan">
      <formula>0</formula>
    </cfRule>
  </conditionalFormatting>
  <conditionalFormatting sqref="AQ99">
    <cfRule type="cellIs" dxfId="9455" priority="488" operator="lessThan">
      <formula>0</formula>
    </cfRule>
  </conditionalFormatting>
  <conditionalFormatting sqref="AQ99">
    <cfRule type="cellIs" dxfId="9454" priority="487" operator="lessThan">
      <formula>0</formula>
    </cfRule>
  </conditionalFormatting>
  <conditionalFormatting sqref="AQ99">
    <cfRule type="cellIs" dxfId="9453" priority="486" operator="lessThan">
      <formula>0</formula>
    </cfRule>
  </conditionalFormatting>
  <conditionalFormatting sqref="AQ99">
    <cfRule type="cellIs" dxfId="9452" priority="485" operator="lessThan">
      <formula>0</formula>
    </cfRule>
  </conditionalFormatting>
  <conditionalFormatting sqref="AQ99">
    <cfRule type="cellIs" dxfId="9451" priority="484" operator="lessThan">
      <formula>0</formula>
    </cfRule>
  </conditionalFormatting>
  <conditionalFormatting sqref="AQ99">
    <cfRule type="cellIs" dxfId="9450" priority="483" operator="lessThan">
      <formula>0</formula>
    </cfRule>
  </conditionalFormatting>
  <conditionalFormatting sqref="AQ99">
    <cfRule type="cellIs" dxfId="9449" priority="482" operator="lessThan">
      <formula>0</formula>
    </cfRule>
  </conditionalFormatting>
  <conditionalFormatting sqref="AQ99">
    <cfRule type="cellIs" dxfId="9448" priority="481" operator="lessThan">
      <formula>0</formula>
    </cfRule>
  </conditionalFormatting>
  <conditionalFormatting sqref="AQ99">
    <cfRule type="cellIs" dxfId="9447" priority="480" operator="lessThan">
      <formula>0</formula>
    </cfRule>
  </conditionalFormatting>
  <conditionalFormatting sqref="AQ99">
    <cfRule type="cellIs" dxfId="9446" priority="479" operator="lessThan">
      <formula>0</formula>
    </cfRule>
  </conditionalFormatting>
  <conditionalFormatting sqref="AQ99">
    <cfRule type="cellIs" dxfId="9445" priority="478" operator="lessThan">
      <formula>0</formula>
    </cfRule>
  </conditionalFormatting>
  <conditionalFormatting sqref="AQ99">
    <cfRule type="cellIs" dxfId="9444" priority="477" operator="lessThan">
      <formula>0</formula>
    </cfRule>
  </conditionalFormatting>
  <conditionalFormatting sqref="AQ99">
    <cfRule type="cellIs" dxfId="9443" priority="476" operator="lessThan">
      <formula>0</formula>
    </cfRule>
  </conditionalFormatting>
  <conditionalFormatting sqref="AQ99">
    <cfRule type="cellIs" dxfId="9442" priority="475" operator="lessThan">
      <formula>0</formula>
    </cfRule>
  </conditionalFormatting>
  <conditionalFormatting sqref="Y99">
    <cfRule type="iconSet" priority="474">
      <iconSet>
        <cfvo type="percent" val="0"/>
        <cfvo type="percent" val="&quot;$I$6&quot;"/>
        <cfvo type="percent" val="#REF!"/>
      </iconSet>
    </cfRule>
  </conditionalFormatting>
  <conditionalFormatting sqref="Y100">
    <cfRule type="cellIs" dxfId="9441" priority="473" operator="lessThan">
      <formula>0</formula>
    </cfRule>
  </conditionalFormatting>
  <conditionalFormatting sqref="Y98:Y100">
    <cfRule type="cellIs" dxfId="9440" priority="472" operator="lessThan">
      <formula>0</formula>
    </cfRule>
  </conditionalFormatting>
  <conditionalFormatting sqref="Y101">
    <cfRule type="cellIs" dxfId="9439" priority="471" operator="lessThan">
      <formula>0</formula>
    </cfRule>
  </conditionalFormatting>
  <conditionalFormatting sqref="AQ58">
    <cfRule type="cellIs" dxfId="9438" priority="470" operator="lessThan">
      <formula>0</formula>
    </cfRule>
  </conditionalFormatting>
  <conditionalFormatting sqref="AM58:AM61">
    <cfRule type="cellIs" dxfId="9437" priority="468" operator="notEqual">
      <formula>0</formula>
    </cfRule>
  </conditionalFormatting>
  <conditionalFormatting sqref="I60">
    <cfRule type="cellIs" dxfId="9436" priority="467" operator="greaterThan">
      <formula>0</formula>
    </cfRule>
  </conditionalFormatting>
  <conditionalFormatting sqref="AQ58">
    <cfRule type="cellIs" dxfId="9435" priority="466" operator="lessThan">
      <formula>0</formula>
    </cfRule>
  </conditionalFormatting>
  <conditionalFormatting sqref="AQ58 AQ60:AQ61">
    <cfRule type="cellIs" dxfId="9434" priority="465" operator="lessThan">
      <formula>0</formula>
    </cfRule>
  </conditionalFormatting>
  <conditionalFormatting sqref="AQ58 AQ60:AQ61">
    <cfRule type="cellIs" dxfId="9433" priority="464" operator="lessThan">
      <formula>0</formula>
    </cfRule>
  </conditionalFormatting>
  <conditionalFormatting sqref="AQ58 AQ60:AQ61">
    <cfRule type="cellIs" dxfId="9432" priority="463" operator="lessThan">
      <formula>0</formula>
    </cfRule>
  </conditionalFormatting>
  <conditionalFormatting sqref="AQ58 AQ60:AQ61">
    <cfRule type="cellIs" dxfId="9431" priority="462" operator="lessThan">
      <formula>0</formula>
    </cfRule>
  </conditionalFormatting>
  <conditionalFormatting sqref="AQ60:AQ61">
    <cfRule type="cellIs" dxfId="9430" priority="461" operator="lessThan">
      <formula>0</formula>
    </cfRule>
  </conditionalFormatting>
  <conditionalFormatting sqref="AQ60:AQ61">
    <cfRule type="cellIs" dxfId="9429" priority="460" operator="lessThan">
      <formula>0</formula>
    </cfRule>
  </conditionalFormatting>
  <conditionalFormatting sqref="AQ60:AQ61">
    <cfRule type="cellIs" dxfId="9428" priority="459" operator="lessThan">
      <formula>0</formula>
    </cfRule>
  </conditionalFormatting>
  <conditionalFormatting sqref="AQ60:AQ61">
    <cfRule type="cellIs" dxfId="9427" priority="458" operator="lessThan">
      <formula>0</formula>
    </cfRule>
  </conditionalFormatting>
  <conditionalFormatting sqref="AQ59">
    <cfRule type="cellIs" dxfId="9426" priority="457" operator="lessThan">
      <formula>0</formula>
    </cfRule>
  </conditionalFormatting>
  <conditionalFormatting sqref="AQ59">
    <cfRule type="cellIs" dxfId="9425" priority="456" operator="lessThan">
      <formula>0</formula>
    </cfRule>
  </conditionalFormatting>
  <conditionalFormatting sqref="AQ59">
    <cfRule type="cellIs" dxfId="9424" priority="455" operator="lessThan">
      <formula>0</formula>
    </cfRule>
  </conditionalFormatting>
  <conditionalFormatting sqref="AQ59">
    <cfRule type="cellIs" dxfId="9423" priority="454" operator="lessThan">
      <formula>0</formula>
    </cfRule>
  </conditionalFormatting>
  <conditionalFormatting sqref="AQ59">
    <cfRule type="cellIs" dxfId="9422" priority="453" operator="lessThan">
      <formula>0</formula>
    </cfRule>
  </conditionalFormatting>
  <conditionalFormatting sqref="AQ59">
    <cfRule type="cellIs" dxfId="9421" priority="452" operator="lessThan">
      <formula>0</formula>
    </cfRule>
  </conditionalFormatting>
  <conditionalFormatting sqref="AQ59">
    <cfRule type="cellIs" dxfId="9420" priority="451" operator="lessThan">
      <formula>0</formula>
    </cfRule>
  </conditionalFormatting>
  <conditionalFormatting sqref="AQ59">
    <cfRule type="cellIs" dxfId="9419" priority="450" operator="lessThan">
      <formula>0</formula>
    </cfRule>
  </conditionalFormatting>
  <conditionalFormatting sqref="AQ59">
    <cfRule type="cellIs" dxfId="9418" priority="449" operator="lessThan">
      <formula>0</formula>
    </cfRule>
  </conditionalFormatting>
  <conditionalFormatting sqref="AQ59">
    <cfRule type="cellIs" dxfId="9417" priority="448" operator="lessThan">
      <formula>0</formula>
    </cfRule>
  </conditionalFormatting>
  <conditionalFormatting sqref="AQ59">
    <cfRule type="cellIs" dxfId="9416" priority="447" operator="lessThan">
      <formula>0</formula>
    </cfRule>
  </conditionalFormatting>
  <conditionalFormatting sqref="AQ59">
    <cfRule type="cellIs" dxfId="9415" priority="446" operator="lessThan">
      <formula>0</formula>
    </cfRule>
  </conditionalFormatting>
  <conditionalFormatting sqref="AQ59">
    <cfRule type="cellIs" dxfId="9414" priority="445" operator="lessThan">
      <formula>0</formula>
    </cfRule>
  </conditionalFormatting>
  <conditionalFormatting sqref="AQ59">
    <cfRule type="cellIs" dxfId="9413" priority="444" operator="lessThan">
      <formula>0</formula>
    </cfRule>
  </conditionalFormatting>
  <conditionalFormatting sqref="AQ59">
    <cfRule type="cellIs" dxfId="9412" priority="443" operator="lessThan">
      <formula>0</formula>
    </cfRule>
  </conditionalFormatting>
  <conditionalFormatting sqref="AQ59">
    <cfRule type="cellIs" dxfId="9411" priority="442" operator="lessThan">
      <formula>0</formula>
    </cfRule>
  </conditionalFormatting>
  <conditionalFormatting sqref="AQ59">
    <cfRule type="cellIs" dxfId="9410" priority="441" operator="lessThan">
      <formula>0</formula>
    </cfRule>
  </conditionalFormatting>
  <conditionalFormatting sqref="AQ59">
    <cfRule type="cellIs" dxfId="9409" priority="440" operator="lessThan">
      <formula>0</formula>
    </cfRule>
  </conditionalFormatting>
  <conditionalFormatting sqref="AQ59">
    <cfRule type="cellIs" dxfId="9408" priority="439" operator="lessThan">
      <formula>0</formula>
    </cfRule>
  </conditionalFormatting>
  <conditionalFormatting sqref="AQ59">
    <cfRule type="cellIs" dxfId="9407" priority="438" operator="lessThan">
      <formula>0</formula>
    </cfRule>
  </conditionalFormatting>
  <conditionalFormatting sqref="AQ59">
    <cfRule type="cellIs" dxfId="9406" priority="437" operator="lessThan">
      <formula>0</formula>
    </cfRule>
  </conditionalFormatting>
  <conditionalFormatting sqref="AQ59">
    <cfRule type="cellIs" dxfId="9405" priority="436" operator="lessThan">
      <formula>0</formula>
    </cfRule>
  </conditionalFormatting>
  <conditionalFormatting sqref="AQ59">
    <cfRule type="cellIs" dxfId="9404" priority="435" operator="lessThan">
      <formula>0</formula>
    </cfRule>
  </conditionalFormatting>
  <conditionalFormatting sqref="AQ59">
    <cfRule type="cellIs" dxfId="9403" priority="434" operator="lessThan">
      <formula>0</formula>
    </cfRule>
  </conditionalFormatting>
  <conditionalFormatting sqref="AQ59">
    <cfRule type="cellIs" dxfId="9402" priority="433" operator="lessThan">
      <formula>0</formula>
    </cfRule>
  </conditionalFormatting>
  <conditionalFormatting sqref="AQ59">
    <cfRule type="cellIs" dxfId="9401" priority="432" operator="lessThan">
      <formula>0</formula>
    </cfRule>
  </conditionalFormatting>
  <conditionalFormatting sqref="AQ59">
    <cfRule type="cellIs" dxfId="9400" priority="431" operator="lessThan">
      <formula>0</formula>
    </cfRule>
  </conditionalFormatting>
  <conditionalFormatting sqref="AQ59">
    <cfRule type="cellIs" dxfId="9399" priority="430" operator="lessThan">
      <formula>0</formula>
    </cfRule>
  </conditionalFormatting>
  <conditionalFormatting sqref="AQ59">
    <cfRule type="cellIs" dxfId="9398" priority="429" operator="lessThan">
      <formula>0</formula>
    </cfRule>
  </conditionalFormatting>
  <conditionalFormatting sqref="AQ59">
    <cfRule type="cellIs" dxfId="9397" priority="428" operator="lessThan">
      <formula>0</formula>
    </cfRule>
  </conditionalFormatting>
  <conditionalFormatting sqref="AQ59">
    <cfRule type="cellIs" dxfId="9396" priority="427" operator="lessThan">
      <formula>0</formula>
    </cfRule>
  </conditionalFormatting>
  <conditionalFormatting sqref="AQ59">
    <cfRule type="cellIs" dxfId="9395" priority="426" operator="lessThan">
      <formula>0</formula>
    </cfRule>
  </conditionalFormatting>
  <conditionalFormatting sqref="Y59">
    <cfRule type="iconSet" priority="425">
      <iconSet>
        <cfvo type="percent" val="0"/>
        <cfvo type="percent" val="&quot;$I$6&quot;"/>
        <cfvo type="percent" val="#REF!"/>
      </iconSet>
    </cfRule>
  </conditionalFormatting>
  <conditionalFormatting sqref="Y60">
    <cfRule type="cellIs" dxfId="9394" priority="424" operator="lessThan">
      <formula>0</formula>
    </cfRule>
  </conditionalFormatting>
  <conditionalFormatting sqref="Y58:Y60">
    <cfRule type="cellIs" dxfId="9393" priority="423" operator="lessThan">
      <formula>0</formula>
    </cfRule>
  </conditionalFormatting>
  <conditionalFormatting sqref="Y61">
    <cfRule type="cellIs" dxfId="9392" priority="422" operator="lessThan">
      <formula>0</formula>
    </cfRule>
  </conditionalFormatting>
  <conditionalFormatting sqref="AQ39">
    <cfRule type="cellIs" dxfId="9391" priority="421" operator="lessThan">
      <formula>0</formula>
    </cfRule>
  </conditionalFormatting>
  <conditionalFormatting sqref="AQ39">
    <cfRule type="cellIs" dxfId="9390" priority="420" operator="lessThan">
      <formula>0</formula>
    </cfRule>
  </conditionalFormatting>
  <conditionalFormatting sqref="AQ39">
    <cfRule type="cellIs" dxfId="9389" priority="419" operator="lessThan">
      <formula>0</formula>
    </cfRule>
  </conditionalFormatting>
  <conditionalFormatting sqref="AQ39">
    <cfRule type="cellIs" dxfId="9388" priority="418" operator="lessThan">
      <formula>0</formula>
    </cfRule>
  </conditionalFormatting>
  <conditionalFormatting sqref="AQ39">
    <cfRule type="cellIs" dxfId="9387" priority="417" operator="lessThan">
      <formula>0</formula>
    </cfRule>
  </conditionalFormatting>
  <conditionalFormatting sqref="AQ39">
    <cfRule type="cellIs" dxfId="9386" priority="416" operator="lessThan">
      <formula>0</formula>
    </cfRule>
  </conditionalFormatting>
  <conditionalFormatting sqref="AQ39">
    <cfRule type="cellIs" dxfId="9385" priority="415" operator="lessThan">
      <formula>0</formula>
    </cfRule>
  </conditionalFormatting>
  <conditionalFormatting sqref="AQ39">
    <cfRule type="cellIs" dxfId="9384" priority="414" operator="lessThan">
      <formula>0</formula>
    </cfRule>
  </conditionalFormatting>
  <conditionalFormatting sqref="AQ39">
    <cfRule type="cellIs" dxfId="9383" priority="413" operator="lessThan">
      <formula>0</formula>
    </cfRule>
  </conditionalFormatting>
  <conditionalFormatting sqref="AQ39">
    <cfRule type="cellIs" dxfId="9382" priority="412" operator="lessThan">
      <formula>0</formula>
    </cfRule>
  </conditionalFormatting>
  <conditionalFormatting sqref="AQ39">
    <cfRule type="cellIs" dxfId="9381" priority="411" operator="lessThan">
      <formula>0</formula>
    </cfRule>
  </conditionalFormatting>
  <conditionalFormatting sqref="AQ39">
    <cfRule type="cellIs" dxfId="9380" priority="410" operator="lessThan">
      <formula>0</formula>
    </cfRule>
  </conditionalFormatting>
  <conditionalFormatting sqref="AQ39">
    <cfRule type="cellIs" dxfId="9379" priority="409" operator="lessThan">
      <formula>0</formula>
    </cfRule>
  </conditionalFormatting>
  <conditionalFormatting sqref="AQ39">
    <cfRule type="cellIs" dxfId="9378" priority="408" operator="lessThan">
      <formula>0</formula>
    </cfRule>
  </conditionalFormatting>
  <conditionalFormatting sqref="AQ39">
    <cfRule type="cellIs" dxfId="9377" priority="407" operator="lessThan">
      <formula>0</formula>
    </cfRule>
  </conditionalFormatting>
  <conditionalFormatting sqref="AQ39">
    <cfRule type="cellIs" dxfId="9376" priority="406" operator="lessThan">
      <formula>0</formula>
    </cfRule>
  </conditionalFormatting>
  <conditionalFormatting sqref="AQ39">
    <cfRule type="cellIs" dxfId="9375" priority="390" operator="lessThan">
      <formula>0</formula>
    </cfRule>
  </conditionalFormatting>
  <conditionalFormatting sqref="AQ39">
    <cfRule type="cellIs" dxfId="9374" priority="405" operator="lessThan">
      <formula>0</formula>
    </cfRule>
  </conditionalFormatting>
  <conditionalFormatting sqref="AQ39">
    <cfRule type="cellIs" dxfId="9373" priority="404" operator="lessThan">
      <formula>0</formula>
    </cfRule>
  </conditionalFormatting>
  <conditionalFormatting sqref="AQ39">
    <cfRule type="cellIs" dxfId="9372" priority="403" operator="lessThan">
      <formula>0</formula>
    </cfRule>
  </conditionalFormatting>
  <conditionalFormatting sqref="AQ39">
    <cfRule type="cellIs" dxfId="9371" priority="402" operator="lessThan">
      <formula>0</formula>
    </cfRule>
  </conditionalFormatting>
  <conditionalFormatting sqref="AQ39">
    <cfRule type="cellIs" dxfId="9370" priority="401" operator="lessThan">
      <formula>0</formula>
    </cfRule>
  </conditionalFormatting>
  <conditionalFormatting sqref="AQ39">
    <cfRule type="cellIs" dxfId="9369" priority="400" operator="lessThan">
      <formula>0</formula>
    </cfRule>
  </conditionalFormatting>
  <conditionalFormatting sqref="AQ39">
    <cfRule type="cellIs" dxfId="9368" priority="399" operator="lessThan">
      <formula>0</formula>
    </cfRule>
  </conditionalFormatting>
  <conditionalFormatting sqref="AQ39">
    <cfRule type="cellIs" dxfId="9367" priority="398" operator="lessThan">
      <formula>0</formula>
    </cfRule>
  </conditionalFormatting>
  <conditionalFormatting sqref="AQ39">
    <cfRule type="cellIs" dxfId="9366" priority="397" operator="lessThan">
      <formula>0</formula>
    </cfRule>
  </conditionalFormatting>
  <conditionalFormatting sqref="AQ39">
    <cfRule type="cellIs" dxfId="9365" priority="396" operator="lessThan">
      <formula>0</formula>
    </cfRule>
  </conditionalFormatting>
  <conditionalFormatting sqref="AQ39">
    <cfRule type="cellIs" dxfId="9364" priority="395" operator="lessThan">
      <formula>0</formula>
    </cfRule>
  </conditionalFormatting>
  <conditionalFormatting sqref="AQ39">
    <cfRule type="cellIs" dxfId="9363" priority="394" operator="lessThan">
      <formula>0</formula>
    </cfRule>
  </conditionalFormatting>
  <conditionalFormatting sqref="AQ39">
    <cfRule type="cellIs" dxfId="9362" priority="393" operator="lessThan">
      <formula>0</formula>
    </cfRule>
  </conditionalFormatting>
  <conditionalFormatting sqref="AQ39">
    <cfRule type="cellIs" dxfId="9361" priority="392" operator="lessThan">
      <formula>0</formula>
    </cfRule>
  </conditionalFormatting>
  <conditionalFormatting sqref="AQ39">
    <cfRule type="cellIs" dxfId="9360" priority="391" operator="lessThan">
      <formula>0</formula>
    </cfRule>
  </conditionalFormatting>
  <conditionalFormatting sqref="AQ6">
    <cfRule type="cellIs" dxfId="9359" priority="389" operator="lessThan">
      <formula>0</formula>
    </cfRule>
  </conditionalFormatting>
  <conditionalFormatting sqref="AQ6">
    <cfRule type="cellIs" dxfId="9358" priority="388" operator="lessThan">
      <formula>0</formula>
    </cfRule>
  </conditionalFormatting>
  <conditionalFormatting sqref="AQ8:AQ9">
    <cfRule type="cellIs" dxfId="9357" priority="387" operator="lessThan">
      <formula>0</formula>
    </cfRule>
  </conditionalFormatting>
  <conditionalFormatting sqref="AQ8:AQ9">
    <cfRule type="cellIs" dxfId="9356" priority="386" operator="lessThan">
      <formula>0</formula>
    </cfRule>
  </conditionalFormatting>
  <conditionalFormatting sqref="AQ8:AQ9">
    <cfRule type="cellIs" dxfId="9355" priority="385" operator="lessThan">
      <formula>0</formula>
    </cfRule>
  </conditionalFormatting>
  <conditionalFormatting sqref="AQ8:AQ9">
    <cfRule type="cellIs" dxfId="9354" priority="384" operator="lessThan">
      <formula>0</formula>
    </cfRule>
  </conditionalFormatting>
  <conditionalFormatting sqref="AQ8:AQ9">
    <cfRule type="cellIs" dxfId="9353" priority="383" operator="lessThan">
      <formula>0</formula>
    </cfRule>
  </conditionalFormatting>
  <conditionalFormatting sqref="AQ8:AQ9">
    <cfRule type="cellIs" dxfId="9352" priority="382" operator="lessThan">
      <formula>0</formula>
    </cfRule>
  </conditionalFormatting>
  <conditionalFormatting sqref="AQ8:AQ9">
    <cfRule type="cellIs" dxfId="9351" priority="381" operator="lessThan">
      <formula>0</formula>
    </cfRule>
  </conditionalFormatting>
  <conditionalFormatting sqref="AQ8:AQ9">
    <cfRule type="cellIs" dxfId="9350" priority="380" operator="lessThan">
      <formula>0</formula>
    </cfRule>
  </conditionalFormatting>
  <conditionalFormatting sqref="AQ6">
    <cfRule type="cellIs" dxfId="9349" priority="347" operator="lessThan">
      <formula>0</formula>
    </cfRule>
  </conditionalFormatting>
  <conditionalFormatting sqref="AQ6 AQ8:AQ9">
    <cfRule type="cellIs" dxfId="9348" priority="346" operator="lessThan">
      <formula>0</formula>
    </cfRule>
  </conditionalFormatting>
  <conditionalFormatting sqref="AM6:AM9">
    <cfRule type="cellIs" dxfId="9347" priority="345" operator="notEqual">
      <formula>0</formula>
    </cfRule>
  </conditionalFormatting>
  <conditionalFormatting sqref="I8">
    <cfRule type="cellIs" dxfId="9346" priority="344" operator="greaterThan">
      <formula>0</formula>
    </cfRule>
  </conditionalFormatting>
  <conditionalFormatting sqref="AQ6 AQ8:AQ9">
    <cfRule type="cellIs" dxfId="9345" priority="343" operator="lessThan">
      <formula>0</formula>
    </cfRule>
  </conditionalFormatting>
  <conditionalFormatting sqref="AQ6 AQ8:AQ9">
    <cfRule type="cellIs" dxfId="9344" priority="342" operator="lessThan">
      <formula>0</formula>
    </cfRule>
  </conditionalFormatting>
  <conditionalFormatting sqref="AQ6 AQ8:AQ9">
    <cfRule type="cellIs" dxfId="9343" priority="341" operator="lessThan">
      <formula>0</formula>
    </cfRule>
  </conditionalFormatting>
  <conditionalFormatting sqref="J8">
    <cfRule type="cellIs" dxfId="9342" priority="340" operator="greaterThan">
      <formula>0</formula>
    </cfRule>
  </conditionalFormatting>
  <conditionalFormatting sqref="AQ8:AQ9">
    <cfRule type="cellIs" dxfId="9341" priority="339" operator="lessThan">
      <formula>0</formula>
    </cfRule>
  </conditionalFormatting>
  <conditionalFormatting sqref="AQ8:AQ9">
    <cfRule type="cellIs" dxfId="9340" priority="338" operator="lessThan">
      <formula>0</formula>
    </cfRule>
  </conditionalFormatting>
  <conditionalFormatting sqref="AQ8:AQ9">
    <cfRule type="cellIs" dxfId="9339" priority="337" operator="lessThan">
      <formula>0</formula>
    </cfRule>
  </conditionalFormatting>
  <conditionalFormatting sqref="AQ8:AQ9">
    <cfRule type="cellIs" dxfId="9338" priority="336" operator="lessThan">
      <formula>0</formula>
    </cfRule>
  </conditionalFormatting>
  <conditionalFormatting sqref="Y7">
    <cfRule type="iconSet" priority="302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9337" priority="301" operator="lessThan">
      <formula>0</formula>
    </cfRule>
  </conditionalFormatting>
  <conditionalFormatting sqref="Y6:Y8">
    <cfRule type="cellIs" dxfId="9336" priority="300" operator="lessThan">
      <formula>0</formula>
    </cfRule>
  </conditionalFormatting>
  <conditionalFormatting sqref="Y9">
    <cfRule type="cellIs" dxfId="9335" priority="299" operator="lessThan">
      <formula>0</formula>
    </cfRule>
  </conditionalFormatting>
  <conditionalFormatting sqref="J40">
    <cfRule type="cellIs" dxfId="9334" priority="297" operator="greaterThan">
      <formula>0</formula>
    </cfRule>
  </conditionalFormatting>
  <conditionalFormatting sqref="J48">
    <cfRule type="cellIs" dxfId="9333" priority="296" operator="greaterThan">
      <formula>0</formula>
    </cfRule>
  </conditionalFormatting>
  <conditionalFormatting sqref="J96">
    <cfRule type="cellIs" dxfId="9332" priority="295" operator="greaterThan">
      <formula>0</formula>
    </cfRule>
  </conditionalFormatting>
  <conditionalFormatting sqref="AM70:AM73">
    <cfRule type="cellIs" dxfId="9331" priority="293" operator="notEqual">
      <formula>0</formula>
    </cfRule>
  </conditionalFormatting>
  <conditionalFormatting sqref="AQ70">
    <cfRule type="cellIs" dxfId="9330" priority="291" operator="lessThan">
      <formula>0</formula>
    </cfRule>
  </conditionalFormatting>
  <conditionalFormatting sqref="AQ70 AQ72:AQ73">
    <cfRule type="cellIs" dxfId="9329" priority="290" operator="lessThan">
      <formula>0</formula>
    </cfRule>
  </conditionalFormatting>
  <conditionalFormatting sqref="AQ70 AQ72:AQ73">
    <cfRule type="cellIs" dxfId="9328" priority="289" operator="lessThan">
      <formula>0</formula>
    </cfRule>
  </conditionalFormatting>
  <conditionalFormatting sqref="AQ70 AQ72:AQ73">
    <cfRule type="cellIs" dxfId="9327" priority="288" operator="lessThan">
      <formula>0</formula>
    </cfRule>
  </conditionalFormatting>
  <conditionalFormatting sqref="AQ70 AQ72:AQ73">
    <cfRule type="cellIs" dxfId="9326" priority="287" operator="lessThan">
      <formula>0</formula>
    </cfRule>
  </conditionalFormatting>
  <conditionalFormatting sqref="AQ72:AQ73">
    <cfRule type="cellIs" dxfId="9325" priority="286" operator="lessThan">
      <formula>0</formula>
    </cfRule>
  </conditionalFormatting>
  <conditionalFormatting sqref="AQ72:AQ73">
    <cfRule type="cellIs" dxfId="9324" priority="285" operator="lessThan">
      <formula>0</formula>
    </cfRule>
  </conditionalFormatting>
  <conditionalFormatting sqref="AQ72:AQ73">
    <cfRule type="cellIs" dxfId="9323" priority="284" operator="lessThan">
      <formula>0</formula>
    </cfRule>
  </conditionalFormatting>
  <conditionalFormatting sqref="AQ72:AQ73">
    <cfRule type="cellIs" dxfId="9322" priority="283" operator="lessThan">
      <formula>0</formula>
    </cfRule>
  </conditionalFormatting>
  <conditionalFormatting sqref="AQ71">
    <cfRule type="cellIs" dxfId="9321" priority="282" operator="lessThan">
      <formula>0</formula>
    </cfRule>
  </conditionalFormatting>
  <conditionalFormatting sqref="AQ71">
    <cfRule type="cellIs" dxfId="9320" priority="281" operator="lessThan">
      <formula>0</formula>
    </cfRule>
  </conditionalFormatting>
  <conditionalFormatting sqref="AQ71">
    <cfRule type="cellIs" dxfId="9319" priority="280" operator="lessThan">
      <formula>0</formula>
    </cfRule>
  </conditionalFormatting>
  <conditionalFormatting sqref="AQ71">
    <cfRule type="cellIs" dxfId="9318" priority="279" operator="lessThan">
      <formula>0</formula>
    </cfRule>
  </conditionalFormatting>
  <conditionalFormatting sqref="AQ71">
    <cfRule type="cellIs" dxfId="9317" priority="278" operator="lessThan">
      <formula>0</formula>
    </cfRule>
  </conditionalFormatting>
  <conditionalFormatting sqref="AQ71">
    <cfRule type="cellIs" dxfId="9316" priority="277" operator="lessThan">
      <formula>0</formula>
    </cfRule>
  </conditionalFormatting>
  <conditionalFormatting sqref="AQ71">
    <cfRule type="cellIs" dxfId="9315" priority="276" operator="lessThan">
      <formula>0</formula>
    </cfRule>
  </conditionalFormatting>
  <conditionalFormatting sqref="AQ71">
    <cfRule type="cellIs" dxfId="9314" priority="275" operator="lessThan">
      <formula>0</formula>
    </cfRule>
  </conditionalFormatting>
  <conditionalFormatting sqref="AQ71">
    <cfRule type="cellIs" dxfId="9313" priority="274" operator="lessThan">
      <formula>0</formula>
    </cfRule>
  </conditionalFormatting>
  <conditionalFormatting sqref="AQ71">
    <cfRule type="cellIs" dxfId="9312" priority="273" operator="lessThan">
      <formula>0</formula>
    </cfRule>
  </conditionalFormatting>
  <conditionalFormatting sqref="AQ71">
    <cfRule type="cellIs" dxfId="9311" priority="272" operator="lessThan">
      <formula>0</formula>
    </cfRule>
  </conditionalFormatting>
  <conditionalFormatting sqref="AQ71">
    <cfRule type="cellIs" dxfId="9310" priority="271" operator="lessThan">
      <formula>0</formula>
    </cfRule>
  </conditionalFormatting>
  <conditionalFormatting sqref="AQ71">
    <cfRule type="cellIs" dxfId="9309" priority="270" operator="lessThan">
      <formula>0</formula>
    </cfRule>
  </conditionalFormatting>
  <conditionalFormatting sqref="AQ71">
    <cfRule type="cellIs" dxfId="9308" priority="269" operator="lessThan">
      <formula>0</formula>
    </cfRule>
  </conditionalFormatting>
  <conditionalFormatting sqref="AQ71">
    <cfRule type="cellIs" dxfId="9307" priority="268" operator="lessThan">
      <formula>0</formula>
    </cfRule>
  </conditionalFormatting>
  <conditionalFormatting sqref="AQ71">
    <cfRule type="cellIs" dxfId="9306" priority="267" operator="lessThan">
      <formula>0</formula>
    </cfRule>
  </conditionalFormatting>
  <conditionalFormatting sqref="AQ71">
    <cfRule type="cellIs" dxfId="9305" priority="266" operator="lessThan">
      <formula>0</formula>
    </cfRule>
  </conditionalFormatting>
  <conditionalFormatting sqref="AQ71">
    <cfRule type="cellIs" dxfId="9304" priority="265" operator="lessThan">
      <formula>0</formula>
    </cfRule>
  </conditionalFormatting>
  <conditionalFormatting sqref="AQ71">
    <cfRule type="cellIs" dxfId="9303" priority="264" operator="lessThan">
      <formula>0</formula>
    </cfRule>
  </conditionalFormatting>
  <conditionalFormatting sqref="AQ71">
    <cfRule type="cellIs" dxfId="9302" priority="263" operator="lessThan">
      <formula>0</formula>
    </cfRule>
  </conditionalFormatting>
  <conditionalFormatting sqref="AQ71">
    <cfRule type="cellIs" dxfId="9301" priority="262" operator="lessThan">
      <formula>0</formula>
    </cfRule>
  </conditionalFormatting>
  <conditionalFormatting sqref="AQ71">
    <cfRule type="cellIs" dxfId="9300" priority="261" operator="lessThan">
      <formula>0</formula>
    </cfRule>
  </conditionalFormatting>
  <conditionalFormatting sqref="AQ71">
    <cfRule type="cellIs" dxfId="9299" priority="260" operator="lessThan">
      <formula>0</formula>
    </cfRule>
  </conditionalFormatting>
  <conditionalFormatting sqref="AQ71">
    <cfRule type="cellIs" dxfId="9298" priority="259" operator="lessThan">
      <formula>0</formula>
    </cfRule>
  </conditionalFormatting>
  <conditionalFormatting sqref="AQ71">
    <cfRule type="cellIs" dxfId="9297" priority="258" operator="lessThan">
      <formula>0</formula>
    </cfRule>
  </conditionalFormatting>
  <conditionalFormatting sqref="AQ71">
    <cfRule type="cellIs" dxfId="9296" priority="257" operator="lessThan">
      <formula>0</formula>
    </cfRule>
  </conditionalFormatting>
  <conditionalFormatting sqref="AQ71">
    <cfRule type="cellIs" dxfId="9295" priority="256" operator="lessThan">
      <formula>0</formula>
    </cfRule>
  </conditionalFormatting>
  <conditionalFormatting sqref="AQ71">
    <cfRule type="cellIs" dxfId="9294" priority="255" operator="lessThan">
      <formula>0</formula>
    </cfRule>
  </conditionalFormatting>
  <conditionalFormatting sqref="AQ71">
    <cfRule type="cellIs" dxfId="9293" priority="254" operator="lessThan">
      <formula>0</formula>
    </cfRule>
  </conditionalFormatting>
  <conditionalFormatting sqref="AQ71">
    <cfRule type="cellIs" dxfId="9292" priority="253" operator="lessThan">
      <formula>0</formula>
    </cfRule>
  </conditionalFormatting>
  <conditionalFormatting sqref="AQ71">
    <cfRule type="cellIs" dxfId="9291" priority="252" operator="lessThan">
      <formula>0</formula>
    </cfRule>
  </conditionalFormatting>
  <conditionalFormatting sqref="AQ71">
    <cfRule type="cellIs" dxfId="9290" priority="251" operator="lessThan">
      <formula>0</formula>
    </cfRule>
  </conditionalFormatting>
  <conditionalFormatting sqref="Y71">
    <cfRule type="iconSet" priority="250">
      <iconSet>
        <cfvo type="percent" val="0"/>
        <cfvo type="percent" val="&quot;$I$6&quot;"/>
        <cfvo type="percent" val="#REF!"/>
      </iconSet>
    </cfRule>
  </conditionalFormatting>
  <conditionalFormatting sqref="Y72">
    <cfRule type="cellIs" dxfId="9289" priority="249" operator="lessThan">
      <formula>0</formula>
    </cfRule>
  </conditionalFormatting>
  <conditionalFormatting sqref="Y70:Y72">
    <cfRule type="cellIs" dxfId="9288" priority="248" operator="lessThan">
      <formula>0</formula>
    </cfRule>
  </conditionalFormatting>
  <conditionalFormatting sqref="Y73">
    <cfRule type="cellIs" dxfId="9287" priority="247" operator="lessThan">
      <formula>0</formula>
    </cfRule>
  </conditionalFormatting>
  <conditionalFormatting sqref="I72">
    <cfRule type="cellIs" dxfId="9286" priority="246" operator="greaterThan">
      <formula>0</formula>
    </cfRule>
  </conditionalFormatting>
  <conditionalFormatting sqref="AM34:AM37">
    <cfRule type="cellIs" dxfId="9285" priority="244" operator="notEqual">
      <formula>0</formula>
    </cfRule>
  </conditionalFormatting>
  <conditionalFormatting sqref="I36">
    <cfRule type="cellIs" dxfId="9284" priority="243" operator="greaterThan">
      <formula>0</formula>
    </cfRule>
  </conditionalFormatting>
  <conditionalFormatting sqref="J36">
    <cfRule type="cellIs" dxfId="9283" priority="242" operator="greaterThan">
      <formula>0</formula>
    </cfRule>
  </conditionalFormatting>
  <conditionalFormatting sqref="AQ34">
    <cfRule type="cellIs" dxfId="9282" priority="241" operator="lessThan">
      <formula>0</formula>
    </cfRule>
  </conditionalFormatting>
  <conditionalFormatting sqref="AQ34 AQ36:AQ37">
    <cfRule type="cellIs" dxfId="9281" priority="240" operator="lessThan">
      <formula>0</formula>
    </cfRule>
  </conditionalFormatting>
  <conditionalFormatting sqref="AQ34 AQ36:AQ37">
    <cfRule type="cellIs" dxfId="9280" priority="239" operator="lessThan">
      <formula>0</formula>
    </cfRule>
  </conditionalFormatting>
  <conditionalFormatting sqref="AQ34 AQ36:AQ37">
    <cfRule type="cellIs" dxfId="9279" priority="238" operator="lessThan">
      <formula>0</formula>
    </cfRule>
  </conditionalFormatting>
  <conditionalFormatting sqref="AQ34 AQ36:AQ37">
    <cfRule type="cellIs" dxfId="9278" priority="237" operator="lessThan">
      <formula>0</formula>
    </cfRule>
  </conditionalFormatting>
  <conditionalFormatting sqref="AQ36:AQ37">
    <cfRule type="cellIs" dxfId="9277" priority="236" operator="lessThan">
      <formula>0</formula>
    </cfRule>
  </conditionalFormatting>
  <conditionalFormatting sqref="AQ36:AQ37">
    <cfRule type="cellIs" dxfId="9276" priority="235" operator="lessThan">
      <formula>0</formula>
    </cfRule>
  </conditionalFormatting>
  <conditionalFormatting sqref="AQ36:AQ37">
    <cfRule type="cellIs" dxfId="9275" priority="234" operator="lessThan">
      <formula>0</formula>
    </cfRule>
  </conditionalFormatting>
  <conditionalFormatting sqref="AQ36:AQ37">
    <cfRule type="cellIs" dxfId="9274" priority="233" operator="lessThan">
      <formula>0</formula>
    </cfRule>
  </conditionalFormatting>
  <conditionalFormatting sqref="AQ35">
    <cfRule type="cellIs" dxfId="9273" priority="203" operator="lessThan">
      <formula>0</formula>
    </cfRule>
  </conditionalFormatting>
  <conditionalFormatting sqref="AQ35">
    <cfRule type="cellIs" dxfId="9272" priority="202" operator="lessThan">
      <formula>0</formula>
    </cfRule>
  </conditionalFormatting>
  <conditionalFormatting sqref="AQ35">
    <cfRule type="cellIs" dxfId="9271" priority="201" operator="lessThan">
      <formula>0</formula>
    </cfRule>
  </conditionalFormatting>
  <conditionalFormatting sqref="AQ35">
    <cfRule type="cellIs" dxfId="9270" priority="200" operator="lessThan">
      <formula>0</formula>
    </cfRule>
  </conditionalFormatting>
  <conditionalFormatting sqref="AQ35">
    <cfRule type="cellIs" dxfId="9269" priority="199" operator="lessThan">
      <formula>0</formula>
    </cfRule>
  </conditionalFormatting>
  <conditionalFormatting sqref="AQ35">
    <cfRule type="cellIs" dxfId="9268" priority="198" operator="lessThan">
      <formula>0</formula>
    </cfRule>
  </conditionalFormatting>
  <conditionalFormatting sqref="AQ35">
    <cfRule type="cellIs" dxfId="9267" priority="197" operator="lessThan">
      <formula>0</formula>
    </cfRule>
  </conditionalFormatting>
  <conditionalFormatting sqref="AQ35">
    <cfRule type="cellIs" dxfId="9266" priority="196" operator="lessThan">
      <formula>0</formula>
    </cfRule>
  </conditionalFormatting>
  <conditionalFormatting sqref="AQ35">
    <cfRule type="cellIs" dxfId="9265" priority="195" operator="lessThan">
      <formula>0</formula>
    </cfRule>
  </conditionalFormatting>
  <conditionalFormatting sqref="AQ35">
    <cfRule type="cellIs" dxfId="9264" priority="194" operator="lessThan">
      <formula>0</formula>
    </cfRule>
  </conditionalFormatting>
  <conditionalFormatting sqref="AQ35">
    <cfRule type="cellIs" dxfId="9263" priority="193" operator="lessThan">
      <formula>0</formula>
    </cfRule>
  </conditionalFormatting>
  <conditionalFormatting sqref="AQ35">
    <cfRule type="cellIs" dxfId="9262" priority="192" operator="lessThan">
      <formula>0</formula>
    </cfRule>
  </conditionalFormatting>
  <conditionalFormatting sqref="AQ35">
    <cfRule type="cellIs" dxfId="9261" priority="191" operator="lessThan">
      <formula>0</formula>
    </cfRule>
  </conditionalFormatting>
  <conditionalFormatting sqref="AQ35">
    <cfRule type="cellIs" dxfId="9260" priority="190" operator="lessThan">
      <formula>0</formula>
    </cfRule>
  </conditionalFormatting>
  <conditionalFormatting sqref="AQ35">
    <cfRule type="cellIs" dxfId="9259" priority="189" operator="lessThan">
      <formula>0</formula>
    </cfRule>
  </conditionalFormatting>
  <conditionalFormatting sqref="AQ35">
    <cfRule type="cellIs" dxfId="9258" priority="188" operator="lessThan">
      <formula>0</formula>
    </cfRule>
  </conditionalFormatting>
  <conditionalFormatting sqref="AQ35">
    <cfRule type="cellIs" dxfId="9257" priority="187" operator="lessThan">
      <formula>0</formula>
    </cfRule>
  </conditionalFormatting>
  <conditionalFormatting sqref="AQ35">
    <cfRule type="cellIs" dxfId="9256" priority="186" operator="lessThan">
      <formula>0</formula>
    </cfRule>
  </conditionalFormatting>
  <conditionalFormatting sqref="AQ35">
    <cfRule type="cellIs" dxfId="9255" priority="185" operator="lessThan">
      <formula>0</formula>
    </cfRule>
  </conditionalFormatting>
  <conditionalFormatting sqref="AQ35">
    <cfRule type="cellIs" dxfId="9254" priority="184" operator="lessThan">
      <formula>0</formula>
    </cfRule>
  </conditionalFormatting>
  <conditionalFormatting sqref="AQ35">
    <cfRule type="cellIs" dxfId="9253" priority="183" operator="lessThan">
      <formula>0</formula>
    </cfRule>
  </conditionalFormatting>
  <conditionalFormatting sqref="AQ35">
    <cfRule type="cellIs" dxfId="9252" priority="182" operator="lessThan">
      <formula>0</formula>
    </cfRule>
  </conditionalFormatting>
  <conditionalFormatting sqref="AQ35">
    <cfRule type="cellIs" dxfId="9251" priority="181" operator="lessThan">
      <formula>0</formula>
    </cfRule>
  </conditionalFormatting>
  <conditionalFormatting sqref="AQ35">
    <cfRule type="cellIs" dxfId="9250" priority="180" operator="lessThan">
      <formula>0</formula>
    </cfRule>
  </conditionalFormatting>
  <conditionalFormatting sqref="AQ35">
    <cfRule type="cellIs" dxfId="9249" priority="179" operator="lessThan">
      <formula>0</formula>
    </cfRule>
  </conditionalFormatting>
  <conditionalFormatting sqref="AQ35">
    <cfRule type="cellIs" dxfId="9248" priority="178" operator="lessThan">
      <formula>0</formula>
    </cfRule>
  </conditionalFormatting>
  <conditionalFormatting sqref="AQ35">
    <cfRule type="cellIs" dxfId="9247" priority="177" operator="lessThan">
      <formula>0</formula>
    </cfRule>
  </conditionalFormatting>
  <conditionalFormatting sqref="AQ35">
    <cfRule type="cellIs" dxfId="9246" priority="176" operator="lessThan">
      <formula>0</formula>
    </cfRule>
  </conditionalFormatting>
  <conditionalFormatting sqref="AQ35">
    <cfRule type="cellIs" dxfId="9245" priority="175" operator="lessThan">
      <formula>0</formula>
    </cfRule>
  </conditionalFormatting>
  <conditionalFormatting sqref="AQ35">
    <cfRule type="cellIs" dxfId="9244" priority="174" operator="lessThan">
      <formula>0</formula>
    </cfRule>
  </conditionalFormatting>
  <conditionalFormatting sqref="AQ35">
    <cfRule type="cellIs" dxfId="9243" priority="173" operator="lessThan">
      <formula>0</formula>
    </cfRule>
  </conditionalFormatting>
  <conditionalFormatting sqref="AQ35">
    <cfRule type="cellIs" dxfId="9242" priority="172" operator="lessThan">
      <formula>0</formula>
    </cfRule>
  </conditionalFormatting>
  <conditionalFormatting sqref="Y35">
    <cfRule type="iconSet" priority="232">
      <iconSet>
        <cfvo type="percent" val="0"/>
        <cfvo type="percent" val="&quot;$I$6&quot;"/>
        <cfvo type="percent" val="#REF!"/>
      </iconSet>
    </cfRule>
  </conditionalFormatting>
  <conditionalFormatting sqref="Y36">
    <cfRule type="cellIs" dxfId="9241" priority="231" operator="lessThan">
      <formula>0</formula>
    </cfRule>
  </conditionalFormatting>
  <conditionalFormatting sqref="Y34:Y36">
    <cfRule type="cellIs" dxfId="9240" priority="230" operator="lessThan">
      <formula>0</formula>
    </cfRule>
  </conditionalFormatting>
  <conditionalFormatting sqref="Y37">
    <cfRule type="cellIs" dxfId="9239" priority="229" operator="lessThan">
      <formula>0</formula>
    </cfRule>
  </conditionalFormatting>
  <conditionalFormatting sqref="AQ35">
    <cfRule type="cellIs" dxfId="9238" priority="228" operator="lessThan">
      <formula>0</formula>
    </cfRule>
  </conditionalFormatting>
  <conditionalFormatting sqref="AQ35">
    <cfRule type="cellIs" dxfId="9237" priority="227" operator="lessThan">
      <formula>0</formula>
    </cfRule>
  </conditionalFormatting>
  <conditionalFormatting sqref="AQ35">
    <cfRule type="cellIs" dxfId="9236" priority="226" operator="lessThan">
      <formula>0</formula>
    </cfRule>
  </conditionalFormatting>
  <conditionalFormatting sqref="AQ35">
    <cfRule type="cellIs" dxfId="9235" priority="225" operator="lessThan">
      <formula>0</formula>
    </cfRule>
  </conditionalFormatting>
  <conditionalFormatting sqref="AQ35">
    <cfRule type="cellIs" dxfId="9234" priority="224" operator="lessThan">
      <formula>0</formula>
    </cfRule>
  </conditionalFormatting>
  <conditionalFormatting sqref="AQ35">
    <cfRule type="cellIs" dxfId="9233" priority="223" operator="lessThan">
      <formula>0</formula>
    </cfRule>
  </conditionalFormatting>
  <conditionalFormatting sqref="AQ35">
    <cfRule type="cellIs" dxfId="9232" priority="222" operator="lessThan">
      <formula>0</formula>
    </cfRule>
  </conditionalFormatting>
  <conditionalFormatting sqref="AQ35">
    <cfRule type="cellIs" dxfId="9231" priority="221" operator="lessThan">
      <formula>0</formula>
    </cfRule>
  </conditionalFormatting>
  <conditionalFormatting sqref="AQ35">
    <cfRule type="cellIs" dxfId="9230" priority="220" operator="lessThan">
      <formula>0</formula>
    </cfRule>
  </conditionalFormatting>
  <conditionalFormatting sqref="AQ35">
    <cfRule type="cellIs" dxfId="9229" priority="219" operator="lessThan">
      <formula>0</formula>
    </cfRule>
  </conditionalFormatting>
  <conditionalFormatting sqref="AQ35">
    <cfRule type="cellIs" dxfId="9228" priority="218" operator="lessThan">
      <formula>0</formula>
    </cfRule>
  </conditionalFormatting>
  <conditionalFormatting sqref="AQ35">
    <cfRule type="cellIs" dxfId="9227" priority="217" operator="lessThan">
      <formula>0</formula>
    </cfRule>
  </conditionalFormatting>
  <conditionalFormatting sqref="AQ35">
    <cfRule type="cellIs" dxfId="9226" priority="216" operator="lessThan">
      <formula>0</formula>
    </cfRule>
  </conditionalFormatting>
  <conditionalFormatting sqref="AQ35">
    <cfRule type="cellIs" dxfId="9225" priority="215" operator="lessThan">
      <formula>0</formula>
    </cfRule>
  </conditionalFormatting>
  <conditionalFormatting sqref="AQ35">
    <cfRule type="cellIs" dxfId="9224" priority="214" operator="lessThan">
      <formula>0</formula>
    </cfRule>
  </conditionalFormatting>
  <conditionalFormatting sqref="AQ35">
    <cfRule type="cellIs" dxfId="9223" priority="213" operator="lessThan">
      <formula>0</formula>
    </cfRule>
  </conditionalFormatting>
  <conditionalFormatting sqref="AQ35">
    <cfRule type="cellIs" dxfId="9222" priority="212" operator="lessThan">
      <formula>0</formula>
    </cfRule>
  </conditionalFormatting>
  <conditionalFormatting sqref="AQ35">
    <cfRule type="cellIs" dxfId="9221" priority="211" operator="lessThan">
      <formula>0</formula>
    </cfRule>
  </conditionalFormatting>
  <conditionalFormatting sqref="AQ35">
    <cfRule type="cellIs" dxfId="9220" priority="210" operator="lessThan">
      <formula>0</formula>
    </cfRule>
  </conditionalFormatting>
  <conditionalFormatting sqref="AQ35">
    <cfRule type="cellIs" dxfId="9219" priority="209" operator="lessThan">
      <formula>0</formula>
    </cfRule>
  </conditionalFormatting>
  <conditionalFormatting sqref="AQ35">
    <cfRule type="cellIs" dxfId="9218" priority="208" operator="lessThan">
      <formula>0</formula>
    </cfRule>
  </conditionalFormatting>
  <conditionalFormatting sqref="AQ35">
    <cfRule type="cellIs" dxfId="9217" priority="207" operator="lessThan">
      <formula>0</formula>
    </cfRule>
  </conditionalFormatting>
  <conditionalFormatting sqref="AQ35">
    <cfRule type="cellIs" dxfId="9216" priority="206" operator="lessThan">
      <formula>0</formula>
    </cfRule>
  </conditionalFormatting>
  <conditionalFormatting sqref="AQ35">
    <cfRule type="cellIs" dxfId="9215" priority="205" operator="lessThan">
      <formula>0</formula>
    </cfRule>
  </conditionalFormatting>
  <conditionalFormatting sqref="AQ35">
    <cfRule type="cellIs" dxfId="9214" priority="204" operator="lessThan">
      <formula>0</formula>
    </cfRule>
  </conditionalFormatting>
  <conditionalFormatting sqref="AQ35">
    <cfRule type="cellIs" dxfId="9213" priority="171" operator="lessThan">
      <formula>0</formula>
    </cfRule>
  </conditionalFormatting>
  <conditionalFormatting sqref="AQ35">
    <cfRule type="cellIs" dxfId="9212" priority="170" operator="lessThan">
      <formula>0</formula>
    </cfRule>
  </conditionalFormatting>
  <conditionalFormatting sqref="AQ35">
    <cfRule type="cellIs" dxfId="9211" priority="169" operator="lessThan">
      <formula>0</formula>
    </cfRule>
  </conditionalFormatting>
  <conditionalFormatting sqref="AQ35">
    <cfRule type="cellIs" dxfId="9210" priority="168" operator="lessThan">
      <formula>0</formula>
    </cfRule>
  </conditionalFormatting>
  <conditionalFormatting sqref="AQ35">
    <cfRule type="cellIs" dxfId="9209" priority="167" operator="lessThan">
      <formula>0</formula>
    </cfRule>
  </conditionalFormatting>
  <conditionalFormatting sqref="AQ35">
    <cfRule type="cellIs" dxfId="9208" priority="166" operator="lessThan">
      <formula>0</formula>
    </cfRule>
  </conditionalFormatting>
  <conditionalFormatting sqref="AQ35">
    <cfRule type="cellIs" dxfId="9207" priority="165" operator="lessThan">
      <formula>0</formula>
    </cfRule>
  </conditionalFormatting>
  <conditionalFormatting sqref="Y77">
    <cfRule type="cellIs" dxfId="9206" priority="164" operator="lessThan">
      <formula>0</formula>
    </cfRule>
  </conditionalFormatting>
  <conditionalFormatting sqref="J60">
    <cfRule type="cellIs" dxfId="9205" priority="163" operator="greaterThan">
      <formula>0</formula>
    </cfRule>
  </conditionalFormatting>
  <conditionalFormatting sqref="X7">
    <cfRule type="iconSet" priority="159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9204" priority="158" operator="lessThan">
      <formula>0</formula>
    </cfRule>
  </conditionalFormatting>
  <conditionalFormatting sqref="X6:X9">
    <cfRule type="cellIs" dxfId="9203" priority="157" operator="lessThan">
      <formula>0</formula>
    </cfRule>
  </conditionalFormatting>
  <conditionalFormatting sqref="X99 X11 X15 X19 X23 X27 X31 X35 X39 X43 X47 X51 X55 X59 X63 X67 X71 X75 X79 X83 X91 X95">
    <cfRule type="iconSet" priority="156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92 X96 X100">
    <cfRule type="cellIs" dxfId="9202" priority="155" operator="lessThan">
      <formula>0</formula>
    </cfRule>
  </conditionalFormatting>
  <conditionalFormatting sqref="Z29">
    <cfRule type="cellIs" dxfId="9201" priority="153" operator="lessThan">
      <formula>0</formula>
    </cfRule>
  </conditionalFormatting>
  <conditionalFormatting sqref="Y95 Y55 Y11 Y19 Y23 Y27 Y31 Y43 Y51 Y63 Y67 Y75 Y83 Y91">
    <cfRule type="iconSet" priority="3142">
      <iconSet>
        <cfvo type="percent" val="0"/>
        <cfvo type="percent" val="&quot;$I$6&quot;"/>
        <cfvo type="percent" val="#REF!"/>
      </iconSet>
    </cfRule>
  </conditionalFormatting>
  <conditionalFormatting sqref="J80">
    <cfRule type="cellIs" dxfId="9200" priority="152" operator="greaterThan">
      <formula>0</formula>
    </cfRule>
  </conditionalFormatting>
  <conditionalFormatting sqref="J16">
    <cfRule type="cellIs" dxfId="9199" priority="151" operator="greaterThan">
      <formula>0</formula>
    </cfRule>
  </conditionalFormatting>
  <conditionalFormatting sqref="J100">
    <cfRule type="cellIs" dxfId="9198" priority="150" operator="greaterThan">
      <formula>0</formula>
    </cfRule>
  </conditionalFormatting>
  <conditionalFormatting sqref="AQ7">
    <cfRule type="cellIs" dxfId="9197" priority="149" operator="lessThan">
      <formula>0</formula>
    </cfRule>
  </conditionalFormatting>
  <conditionalFormatting sqref="AQ7">
    <cfRule type="cellIs" dxfId="9196" priority="148" operator="lessThan">
      <formula>0</formula>
    </cfRule>
  </conditionalFormatting>
  <conditionalFormatting sqref="AQ7">
    <cfRule type="cellIs" dxfId="9195" priority="147" operator="lessThan">
      <formula>0</formula>
    </cfRule>
  </conditionalFormatting>
  <conditionalFormatting sqref="AQ7">
    <cfRule type="cellIs" dxfId="9194" priority="146" operator="lessThan">
      <formula>0</formula>
    </cfRule>
  </conditionalFormatting>
  <conditionalFormatting sqref="AQ7">
    <cfRule type="cellIs" dxfId="9193" priority="145" operator="lessThan">
      <formula>0</formula>
    </cfRule>
  </conditionalFormatting>
  <conditionalFormatting sqref="AQ7">
    <cfRule type="cellIs" dxfId="9192" priority="144" operator="lessThan">
      <formula>0</formula>
    </cfRule>
  </conditionalFormatting>
  <conditionalFormatting sqref="AQ7">
    <cfRule type="cellIs" dxfId="9191" priority="143" operator="lessThan">
      <formula>0</formula>
    </cfRule>
  </conditionalFormatting>
  <conditionalFormatting sqref="AQ7">
    <cfRule type="cellIs" dxfId="9190" priority="142" operator="lessThan">
      <formula>0</formula>
    </cfRule>
  </conditionalFormatting>
  <conditionalFormatting sqref="AQ7">
    <cfRule type="cellIs" dxfId="9189" priority="141" operator="lessThan">
      <formula>0</formula>
    </cfRule>
  </conditionalFormatting>
  <conditionalFormatting sqref="AQ7">
    <cfRule type="cellIs" dxfId="9188" priority="140" operator="lessThan">
      <formula>0</formula>
    </cfRule>
  </conditionalFormatting>
  <conditionalFormatting sqref="AQ7">
    <cfRule type="cellIs" dxfId="9187" priority="139" operator="lessThan">
      <formula>0</formula>
    </cfRule>
  </conditionalFormatting>
  <conditionalFormatting sqref="AQ7">
    <cfRule type="cellIs" dxfId="9186" priority="138" operator="lessThan">
      <formula>0</formula>
    </cfRule>
  </conditionalFormatting>
  <conditionalFormatting sqref="AQ7">
    <cfRule type="cellIs" dxfId="9185" priority="137" operator="lessThan">
      <formula>0</formula>
    </cfRule>
  </conditionalFormatting>
  <conditionalFormatting sqref="AQ7">
    <cfRule type="cellIs" dxfId="9184" priority="136" operator="lessThan">
      <formula>0</formula>
    </cfRule>
  </conditionalFormatting>
  <conditionalFormatting sqref="AQ7">
    <cfRule type="cellIs" dxfId="9183" priority="135" operator="lessThan">
      <formula>0</formula>
    </cfRule>
  </conditionalFormatting>
  <conditionalFormatting sqref="AQ7">
    <cfRule type="cellIs" dxfId="9182" priority="134" operator="lessThan">
      <formula>0</formula>
    </cfRule>
  </conditionalFormatting>
  <conditionalFormatting sqref="AQ7">
    <cfRule type="cellIs" dxfId="9181" priority="133" operator="lessThan">
      <formula>0</formula>
    </cfRule>
  </conditionalFormatting>
  <conditionalFormatting sqref="AQ7">
    <cfRule type="cellIs" dxfId="9180" priority="132" operator="lessThan">
      <formula>0</formula>
    </cfRule>
  </conditionalFormatting>
  <conditionalFormatting sqref="AQ7">
    <cfRule type="cellIs" dxfId="9179" priority="131" operator="lessThan">
      <formula>0</formula>
    </cfRule>
  </conditionalFormatting>
  <conditionalFormatting sqref="AQ7">
    <cfRule type="cellIs" dxfId="9178" priority="130" operator="lessThan">
      <formula>0</formula>
    </cfRule>
  </conditionalFormatting>
  <conditionalFormatting sqref="AQ7">
    <cfRule type="cellIs" dxfId="9177" priority="129" operator="lessThan">
      <formula>0</formula>
    </cfRule>
  </conditionalFormatting>
  <conditionalFormatting sqref="AQ7">
    <cfRule type="cellIs" dxfId="9176" priority="128" operator="lessThan">
      <formula>0</formula>
    </cfRule>
  </conditionalFormatting>
  <conditionalFormatting sqref="AQ7">
    <cfRule type="cellIs" dxfId="9175" priority="127" operator="lessThan">
      <formula>0</formula>
    </cfRule>
  </conditionalFormatting>
  <conditionalFormatting sqref="AQ7">
    <cfRule type="cellIs" dxfId="9174" priority="126" operator="lessThan">
      <formula>0</formula>
    </cfRule>
  </conditionalFormatting>
  <conditionalFormatting sqref="AQ7">
    <cfRule type="cellIs" dxfId="9173" priority="125" operator="lessThan">
      <formula>0</formula>
    </cfRule>
  </conditionalFormatting>
  <conditionalFormatting sqref="AQ7">
    <cfRule type="cellIs" dxfId="9172" priority="124" operator="lessThan">
      <formula>0</formula>
    </cfRule>
  </conditionalFormatting>
  <conditionalFormatting sqref="AQ7">
    <cfRule type="cellIs" dxfId="9171" priority="123" operator="lessThan">
      <formula>0</formula>
    </cfRule>
  </conditionalFormatting>
  <conditionalFormatting sqref="AQ7">
    <cfRule type="cellIs" dxfId="9170" priority="122" operator="lessThan">
      <formula>0</formula>
    </cfRule>
  </conditionalFormatting>
  <conditionalFormatting sqref="AQ7">
    <cfRule type="cellIs" dxfId="9169" priority="121" operator="lessThan">
      <formula>0</formula>
    </cfRule>
  </conditionalFormatting>
  <conditionalFormatting sqref="AQ7">
    <cfRule type="cellIs" dxfId="9168" priority="120" operator="lessThan">
      <formula>0</formula>
    </cfRule>
  </conditionalFormatting>
  <conditionalFormatting sqref="AQ7">
    <cfRule type="cellIs" dxfId="9167" priority="119" operator="lessThan">
      <formula>0</formula>
    </cfRule>
  </conditionalFormatting>
  <conditionalFormatting sqref="AQ7">
    <cfRule type="cellIs" dxfId="9166" priority="118" operator="lessThan">
      <formula>0</formula>
    </cfRule>
  </conditionalFormatting>
  <conditionalFormatting sqref="AQ7">
    <cfRule type="cellIs" dxfId="9165" priority="117" operator="lessThan">
      <formula>0</formula>
    </cfRule>
  </conditionalFormatting>
  <conditionalFormatting sqref="AQ7">
    <cfRule type="cellIs" dxfId="9164" priority="116" operator="lessThan">
      <formula>0</formula>
    </cfRule>
  </conditionalFormatting>
  <conditionalFormatting sqref="AQ7">
    <cfRule type="cellIs" dxfId="9163" priority="115" operator="lessThan">
      <formula>0</formula>
    </cfRule>
  </conditionalFormatting>
  <conditionalFormatting sqref="AQ7">
    <cfRule type="cellIs" dxfId="9162" priority="114" operator="lessThan">
      <formula>0</formula>
    </cfRule>
  </conditionalFormatting>
  <conditionalFormatting sqref="AQ7">
    <cfRule type="cellIs" dxfId="9161" priority="113" operator="lessThan">
      <formula>0</formula>
    </cfRule>
  </conditionalFormatting>
  <conditionalFormatting sqref="AQ7">
    <cfRule type="cellIs" dxfId="9160" priority="112" operator="lessThan">
      <formula>0</formula>
    </cfRule>
  </conditionalFormatting>
  <conditionalFormatting sqref="AQ7">
    <cfRule type="cellIs" dxfId="9159" priority="111" operator="lessThan">
      <formula>0</formula>
    </cfRule>
  </conditionalFormatting>
  <conditionalFormatting sqref="AQ7">
    <cfRule type="cellIs" dxfId="9158" priority="110" operator="lessThan">
      <formula>0</formula>
    </cfRule>
  </conditionalFormatting>
  <conditionalFormatting sqref="AQ7">
    <cfRule type="cellIs" dxfId="9157" priority="109" operator="lessThan">
      <formula>0</formula>
    </cfRule>
  </conditionalFormatting>
  <conditionalFormatting sqref="AQ7">
    <cfRule type="cellIs" dxfId="9156" priority="108" operator="lessThan">
      <formula>0</formula>
    </cfRule>
  </conditionalFormatting>
  <conditionalFormatting sqref="AQ7">
    <cfRule type="cellIs" dxfId="9155" priority="107" operator="lessThan">
      <formula>0</formula>
    </cfRule>
  </conditionalFormatting>
  <conditionalFormatting sqref="AQ7">
    <cfRule type="cellIs" dxfId="9154" priority="106" operator="lessThan">
      <formula>0</formula>
    </cfRule>
  </conditionalFormatting>
  <conditionalFormatting sqref="AQ7">
    <cfRule type="cellIs" dxfId="9153" priority="105" operator="lessThan">
      <formula>0</formula>
    </cfRule>
  </conditionalFormatting>
  <conditionalFormatting sqref="AQ7">
    <cfRule type="cellIs" dxfId="9152" priority="104" operator="lessThan">
      <formula>0</formula>
    </cfRule>
  </conditionalFormatting>
  <conditionalFormatting sqref="AQ7">
    <cfRule type="cellIs" dxfId="9151" priority="103" operator="lessThan">
      <formula>0</formula>
    </cfRule>
  </conditionalFormatting>
  <conditionalFormatting sqref="AQ7">
    <cfRule type="cellIs" dxfId="9150" priority="102" operator="lessThan">
      <formula>0</formula>
    </cfRule>
  </conditionalFormatting>
  <conditionalFormatting sqref="AQ7">
    <cfRule type="cellIs" dxfId="9149" priority="101" operator="lessThan">
      <formula>0</formula>
    </cfRule>
  </conditionalFormatting>
  <conditionalFormatting sqref="AQ7">
    <cfRule type="cellIs" dxfId="9148" priority="100" operator="lessThan">
      <formula>0</formula>
    </cfRule>
  </conditionalFormatting>
  <conditionalFormatting sqref="AQ7">
    <cfRule type="cellIs" dxfId="9147" priority="99" operator="lessThan">
      <formula>0</formula>
    </cfRule>
  </conditionalFormatting>
  <conditionalFormatting sqref="AQ7">
    <cfRule type="cellIs" dxfId="9146" priority="98" operator="lessThan">
      <formula>0</formula>
    </cfRule>
  </conditionalFormatting>
  <conditionalFormatting sqref="AQ7">
    <cfRule type="cellIs" dxfId="9145" priority="97" operator="lessThan">
      <formula>0</formula>
    </cfRule>
  </conditionalFormatting>
  <conditionalFormatting sqref="AQ7">
    <cfRule type="cellIs" dxfId="9144" priority="96" operator="lessThan">
      <formula>0</formula>
    </cfRule>
  </conditionalFormatting>
  <conditionalFormatting sqref="AQ7">
    <cfRule type="cellIs" dxfId="9143" priority="95" operator="lessThan">
      <formula>0</formula>
    </cfRule>
  </conditionalFormatting>
  <conditionalFormatting sqref="AQ7">
    <cfRule type="cellIs" dxfId="9142" priority="94" operator="lessThan">
      <formula>0</formula>
    </cfRule>
  </conditionalFormatting>
  <conditionalFormatting sqref="AQ7">
    <cfRule type="cellIs" dxfId="9141" priority="93" operator="lessThan">
      <formula>0</formula>
    </cfRule>
  </conditionalFormatting>
  <conditionalFormatting sqref="AQ7">
    <cfRule type="cellIs" dxfId="9140" priority="92" operator="lessThan">
      <formula>0</formula>
    </cfRule>
  </conditionalFormatting>
  <conditionalFormatting sqref="AQ7">
    <cfRule type="cellIs" dxfId="9139" priority="91" operator="lessThan">
      <formula>0</formula>
    </cfRule>
  </conditionalFormatting>
  <conditionalFormatting sqref="AQ7">
    <cfRule type="cellIs" dxfId="9138" priority="90" operator="lessThan">
      <formula>0</formula>
    </cfRule>
  </conditionalFormatting>
  <conditionalFormatting sqref="AQ7">
    <cfRule type="cellIs" dxfId="9137" priority="89" operator="lessThan">
      <formula>0</formula>
    </cfRule>
  </conditionalFormatting>
  <conditionalFormatting sqref="AQ7">
    <cfRule type="cellIs" dxfId="9136" priority="88" operator="lessThan">
      <formula>0</formula>
    </cfRule>
  </conditionalFormatting>
  <conditionalFormatting sqref="AQ7">
    <cfRule type="cellIs" dxfId="9135" priority="87" operator="lessThan">
      <formula>0</formula>
    </cfRule>
  </conditionalFormatting>
  <conditionalFormatting sqref="AQ7">
    <cfRule type="cellIs" dxfId="9134" priority="86" operator="lessThan">
      <formula>0</formula>
    </cfRule>
  </conditionalFormatting>
  <conditionalFormatting sqref="AQ7">
    <cfRule type="cellIs" dxfId="9133" priority="85" operator="lessThan">
      <formula>0</formula>
    </cfRule>
  </conditionalFormatting>
  <conditionalFormatting sqref="AQ7">
    <cfRule type="cellIs" dxfId="9132" priority="84" operator="lessThan">
      <formula>0</formula>
    </cfRule>
  </conditionalFormatting>
  <conditionalFormatting sqref="AQ7">
    <cfRule type="cellIs" dxfId="9131" priority="83" operator="lessThan">
      <formula>0</formula>
    </cfRule>
  </conditionalFormatting>
  <conditionalFormatting sqref="AQ7">
    <cfRule type="cellIs" dxfId="9130" priority="82" operator="lessThan">
      <formula>0</formula>
    </cfRule>
  </conditionalFormatting>
  <conditionalFormatting sqref="AQ7">
    <cfRule type="cellIs" dxfId="9129" priority="81" operator="lessThan">
      <formula>0</formula>
    </cfRule>
  </conditionalFormatting>
  <conditionalFormatting sqref="AQ7">
    <cfRule type="cellIs" dxfId="9128" priority="80" operator="lessThan">
      <formula>0</formula>
    </cfRule>
  </conditionalFormatting>
  <conditionalFormatting sqref="AQ7">
    <cfRule type="cellIs" dxfId="9127" priority="79" operator="lessThan">
      <formula>0</formula>
    </cfRule>
  </conditionalFormatting>
  <conditionalFormatting sqref="AQ7">
    <cfRule type="cellIs" dxfId="9126" priority="78" operator="lessThan">
      <formula>0</formula>
    </cfRule>
  </conditionalFormatting>
  <conditionalFormatting sqref="AQ7">
    <cfRule type="cellIs" dxfId="9125" priority="77" operator="lessThan">
      <formula>0</formula>
    </cfRule>
  </conditionalFormatting>
  <conditionalFormatting sqref="AQ7">
    <cfRule type="cellIs" dxfId="9124" priority="76" operator="lessThan">
      <formula>0</formula>
    </cfRule>
  </conditionalFormatting>
  <conditionalFormatting sqref="AQ7">
    <cfRule type="cellIs" dxfId="9123" priority="75" operator="lessThan">
      <formula>0</formula>
    </cfRule>
  </conditionalFormatting>
  <conditionalFormatting sqref="AQ7">
    <cfRule type="cellIs" dxfId="9122" priority="74" operator="lessThan">
      <formula>0</formula>
    </cfRule>
  </conditionalFormatting>
  <conditionalFormatting sqref="AQ7">
    <cfRule type="cellIs" dxfId="9121" priority="73" operator="lessThan">
      <formula>0</formula>
    </cfRule>
  </conditionalFormatting>
  <conditionalFormatting sqref="AQ7">
    <cfRule type="cellIs" dxfId="9120" priority="72" operator="lessThan">
      <formula>0</formula>
    </cfRule>
  </conditionalFormatting>
  <conditionalFormatting sqref="AQ7">
    <cfRule type="cellIs" dxfId="9119" priority="71" operator="lessThan">
      <formula>0</formula>
    </cfRule>
  </conditionalFormatting>
  <conditionalFormatting sqref="AQ7">
    <cfRule type="cellIs" dxfId="9118" priority="70" operator="lessThan">
      <formula>0</formula>
    </cfRule>
  </conditionalFormatting>
  <conditionalFormatting sqref="AQ7">
    <cfRule type="cellIs" dxfId="9117" priority="54" operator="lessThan">
      <formula>0</formula>
    </cfRule>
  </conditionalFormatting>
  <conditionalFormatting sqref="AQ7">
    <cfRule type="cellIs" dxfId="9116" priority="69" operator="lessThan">
      <formula>0</formula>
    </cfRule>
  </conditionalFormatting>
  <conditionalFormatting sqref="AQ7">
    <cfRule type="cellIs" dxfId="9115" priority="68" operator="lessThan">
      <formula>0</formula>
    </cfRule>
  </conditionalFormatting>
  <conditionalFormatting sqref="AQ7">
    <cfRule type="cellIs" dxfId="9114" priority="67" operator="lessThan">
      <formula>0</formula>
    </cfRule>
  </conditionalFormatting>
  <conditionalFormatting sqref="AQ7">
    <cfRule type="cellIs" dxfId="9113" priority="66" operator="lessThan">
      <formula>0</formula>
    </cfRule>
  </conditionalFormatting>
  <conditionalFormatting sqref="AQ7">
    <cfRule type="cellIs" dxfId="9112" priority="65" operator="lessThan">
      <formula>0</formula>
    </cfRule>
  </conditionalFormatting>
  <conditionalFormatting sqref="AQ7">
    <cfRule type="cellIs" dxfId="9111" priority="64" operator="lessThan">
      <formula>0</formula>
    </cfRule>
  </conditionalFormatting>
  <conditionalFormatting sqref="AQ7">
    <cfRule type="cellIs" dxfId="9110" priority="63" operator="lessThan">
      <formula>0</formula>
    </cfRule>
  </conditionalFormatting>
  <conditionalFormatting sqref="AQ7">
    <cfRule type="cellIs" dxfId="9109" priority="62" operator="lessThan">
      <formula>0</formula>
    </cfRule>
  </conditionalFormatting>
  <conditionalFormatting sqref="AQ7">
    <cfRule type="cellIs" dxfId="9108" priority="61" operator="lessThan">
      <formula>0</formula>
    </cfRule>
  </conditionalFormatting>
  <conditionalFormatting sqref="AQ7">
    <cfRule type="cellIs" dxfId="9107" priority="60" operator="lessThan">
      <formula>0</formula>
    </cfRule>
  </conditionalFormatting>
  <conditionalFormatting sqref="AQ7">
    <cfRule type="cellIs" dxfId="9106" priority="59" operator="lessThan">
      <formula>0</formula>
    </cfRule>
  </conditionalFormatting>
  <conditionalFormatting sqref="AQ7">
    <cfRule type="cellIs" dxfId="9105" priority="58" operator="lessThan">
      <formula>0</formula>
    </cfRule>
  </conditionalFormatting>
  <conditionalFormatting sqref="AQ7">
    <cfRule type="cellIs" dxfId="9104" priority="57" operator="lessThan">
      <formula>0</formula>
    </cfRule>
  </conditionalFormatting>
  <conditionalFormatting sqref="AQ7">
    <cfRule type="cellIs" dxfId="9103" priority="56" operator="lessThan">
      <formula>0</formula>
    </cfRule>
  </conditionalFormatting>
  <conditionalFormatting sqref="AQ7">
    <cfRule type="cellIs" dxfId="9102" priority="55" operator="lessThan">
      <formula>0</formula>
    </cfRule>
  </conditionalFormatting>
  <conditionalFormatting sqref="J72">
    <cfRule type="cellIs" dxfId="9101" priority="53" operator="greaterThan">
      <formula>0</formula>
    </cfRule>
  </conditionalFormatting>
  <conditionalFormatting sqref="X86:X89">
    <cfRule type="cellIs" dxfId="9100" priority="51" operator="lessThan">
      <formula>0</formula>
    </cfRule>
  </conditionalFormatting>
  <conditionalFormatting sqref="AM86:AM89">
    <cfRule type="cellIs" dxfId="9099" priority="49" operator="notEqual">
      <formula>0</formula>
    </cfRule>
  </conditionalFormatting>
  <conditionalFormatting sqref="I88">
    <cfRule type="cellIs" dxfId="9098" priority="48" operator="greaterThan">
      <formula>0</formula>
    </cfRule>
  </conditionalFormatting>
  <conditionalFormatting sqref="J88">
    <cfRule type="cellIs" dxfId="9097" priority="47" operator="greaterThan">
      <formula>0</formula>
    </cfRule>
  </conditionalFormatting>
  <conditionalFormatting sqref="AQ86">
    <cfRule type="cellIs" dxfId="9096" priority="46" operator="lessThan">
      <formula>0</formula>
    </cfRule>
  </conditionalFormatting>
  <conditionalFormatting sqref="AQ86 AQ88:AQ89">
    <cfRule type="cellIs" dxfId="9095" priority="45" operator="lessThan">
      <formula>0</formula>
    </cfRule>
  </conditionalFormatting>
  <conditionalFormatting sqref="AQ86 AQ88:AQ89">
    <cfRule type="cellIs" dxfId="9094" priority="44" operator="lessThan">
      <formula>0</formula>
    </cfRule>
  </conditionalFormatting>
  <conditionalFormatting sqref="AQ86 AQ88:AQ89">
    <cfRule type="cellIs" dxfId="9093" priority="43" operator="lessThan">
      <formula>0</formula>
    </cfRule>
  </conditionalFormatting>
  <conditionalFormatting sqref="AQ86 AQ88:AQ89">
    <cfRule type="cellIs" dxfId="9092" priority="42" operator="lessThan">
      <formula>0</formula>
    </cfRule>
  </conditionalFormatting>
  <conditionalFormatting sqref="AQ88:AQ89">
    <cfRule type="cellIs" dxfId="9091" priority="41" operator="lessThan">
      <formula>0</formula>
    </cfRule>
  </conditionalFormatting>
  <conditionalFormatting sqref="AQ88:AQ89">
    <cfRule type="cellIs" dxfId="9090" priority="40" operator="lessThan">
      <formula>0</formula>
    </cfRule>
  </conditionalFormatting>
  <conditionalFormatting sqref="AQ88:AQ89">
    <cfRule type="cellIs" dxfId="9089" priority="39" operator="lessThan">
      <formula>0</formula>
    </cfRule>
  </conditionalFormatting>
  <conditionalFormatting sqref="AQ88:AQ89">
    <cfRule type="cellIs" dxfId="9088" priority="38" operator="lessThan">
      <formula>0</formula>
    </cfRule>
  </conditionalFormatting>
  <conditionalFormatting sqref="AQ87">
    <cfRule type="cellIs" dxfId="9087" priority="37" operator="lessThan">
      <formula>0</formula>
    </cfRule>
  </conditionalFormatting>
  <conditionalFormatting sqref="AQ87">
    <cfRule type="cellIs" dxfId="9086" priority="36" operator="lessThan">
      <formula>0</formula>
    </cfRule>
  </conditionalFormatting>
  <conditionalFormatting sqref="AQ87">
    <cfRule type="cellIs" dxfId="9085" priority="35" operator="lessThan">
      <formula>0</formula>
    </cfRule>
  </conditionalFormatting>
  <conditionalFormatting sqref="AQ87">
    <cfRule type="cellIs" dxfId="9084" priority="34" operator="lessThan">
      <formula>0</formula>
    </cfRule>
  </conditionalFormatting>
  <conditionalFormatting sqref="AQ87">
    <cfRule type="cellIs" dxfId="9083" priority="33" operator="lessThan">
      <formula>0</formula>
    </cfRule>
  </conditionalFormatting>
  <conditionalFormatting sqref="AQ87">
    <cfRule type="cellIs" dxfId="9082" priority="32" operator="lessThan">
      <formula>0</formula>
    </cfRule>
  </conditionalFormatting>
  <conditionalFormatting sqref="AQ87">
    <cfRule type="cellIs" dxfId="9081" priority="31" operator="lessThan">
      <formula>0</formula>
    </cfRule>
  </conditionalFormatting>
  <conditionalFormatting sqref="AQ87">
    <cfRule type="cellIs" dxfId="9080" priority="30" operator="lessThan">
      <formula>0</formula>
    </cfRule>
  </conditionalFormatting>
  <conditionalFormatting sqref="AQ87">
    <cfRule type="cellIs" dxfId="9079" priority="29" operator="lessThan">
      <formula>0</formula>
    </cfRule>
  </conditionalFormatting>
  <conditionalFormatting sqref="AQ87">
    <cfRule type="cellIs" dxfId="9078" priority="28" operator="lessThan">
      <formula>0</formula>
    </cfRule>
  </conditionalFormatting>
  <conditionalFormatting sqref="AQ87">
    <cfRule type="cellIs" dxfId="9077" priority="27" operator="lessThan">
      <formula>0</formula>
    </cfRule>
  </conditionalFormatting>
  <conditionalFormatting sqref="AQ87">
    <cfRule type="cellIs" dxfId="9076" priority="26" operator="lessThan">
      <formula>0</formula>
    </cfRule>
  </conditionalFormatting>
  <conditionalFormatting sqref="AQ87">
    <cfRule type="cellIs" dxfId="9075" priority="25" operator="lessThan">
      <formula>0</formula>
    </cfRule>
  </conditionalFormatting>
  <conditionalFormatting sqref="AQ87">
    <cfRule type="cellIs" dxfId="9074" priority="24" operator="lessThan">
      <formula>0</formula>
    </cfRule>
  </conditionalFormatting>
  <conditionalFormatting sqref="AQ87">
    <cfRule type="cellIs" dxfId="9073" priority="23" operator="lessThan">
      <formula>0</formula>
    </cfRule>
  </conditionalFormatting>
  <conditionalFormatting sqref="AQ87">
    <cfRule type="cellIs" dxfId="9072" priority="22" operator="lessThan">
      <formula>0</formula>
    </cfRule>
  </conditionalFormatting>
  <conditionalFormatting sqref="AQ87">
    <cfRule type="cellIs" dxfId="9071" priority="21" operator="lessThan">
      <formula>0</formula>
    </cfRule>
  </conditionalFormatting>
  <conditionalFormatting sqref="AQ87">
    <cfRule type="cellIs" dxfId="9070" priority="20" operator="lessThan">
      <formula>0</formula>
    </cfRule>
  </conditionalFormatting>
  <conditionalFormatting sqref="AQ87">
    <cfRule type="cellIs" dxfId="9069" priority="19" operator="lessThan">
      <formula>0</formula>
    </cfRule>
  </conditionalFormatting>
  <conditionalFormatting sqref="AQ87">
    <cfRule type="cellIs" dxfId="9068" priority="18" operator="lessThan">
      <formula>0</formula>
    </cfRule>
  </conditionalFormatting>
  <conditionalFormatting sqref="AQ87">
    <cfRule type="cellIs" dxfId="9067" priority="17" operator="lessThan">
      <formula>0</formula>
    </cfRule>
  </conditionalFormatting>
  <conditionalFormatting sqref="AQ87">
    <cfRule type="cellIs" dxfId="9066" priority="16" operator="lessThan">
      <formula>0</formula>
    </cfRule>
  </conditionalFormatting>
  <conditionalFormatting sqref="AQ87">
    <cfRule type="cellIs" dxfId="9065" priority="15" operator="lessThan">
      <formula>0</formula>
    </cfRule>
  </conditionalFormatting>
  <conditionalFormatting sqref="AQ87">
    <cfRule type="cellIs" dxfId="9064" priority="14" operator="lessThan">
      <formula>0</formula>
    </cfRule>
  </conditionalFormatting>
  <conditionalFormatting sqref="AQ87">
    <cfRule type="cellIs" dxfId="9063" priority="13" operator="lessThan">
      <formula>0</formula>
    </cfRule>
  </conditionalFormatting>
  <conditionalFormatting sqref="AQ87">
    <cfRule type="cellIs" dxfId="9062" priority="12" operator="lessThan">
      <formula>0</formula>
    </cfRule>
  </conditionalFormatting>
  <conditionalFormatting sqref="AQ87">
    <cfRule type="cellIs" dxfId="9061" priority="11" operator="lessThan">
      <formula>0</formula>
    </cfRule>
  </conditionalFormatting>
  <conditionalFormatting sqref="AQ87">
    <cfRule type="cellIs" dxfId="9060" priority="10" operator="lessThan">
      <formula>0</formula>
    </cfRule>
  </conditionalFormatting>
  <conditionalFormatting sqref="AQ87">
    <cfRule type="cellIs" dxfId="9059" priority="9" operator="lessThan">
      <formula>0</formula>
    </cfRule>
  </conditionalFormatting>
  <conditionalFormatting sqref="AQ87">
    <cfRule type="cellIs" dxfId="9058" priority="8" operator="lessThan">
      <formula>0</formula>
    </cfRule>
  </conditionalFormatting>
  <conditionalFormatting sqref="AQ87">
    <cfRule type="cellIs" dxfId="9057" priority="7" operator="lessThan">
      <formula>0</formula>
    </cfRule>
  </conditionalFormatting>
  <conditionalFormatting sqref="AQ87">
    <cfRule type="cellIs" dxfId="9056" priority="6" operator="lessThan">
      <formula>0</formula>
    </cfRule>
  </conditionalFormatting>
  <conditionalFormatting sqref="Y88">
    <cfRule type="cellIs" dxfId="9055" priority="5" operator="lessThan">
      <formula>0</formula>
    </cfRule>
  </conditionalFormatting>
  <conditionalFormatting sqref="Y86:Y88">
    <cfRule type="cellIs" dxfId="9054" priority="4" operator="lessThan">
      <formula>0</formula>
    </cfRule>
  </conditionalFormatting>
  <conditionalFormatting sqref="Y89">
    <cfRule type="cellIs" dxfId="9053" priority="3" operator="lessThan">
      <formula>0</formula>
    </cfRule>
  </conditionalFormatting>
  <conditionalFormatting sqref="X87">
    <cfRule type="iconSet" priority="2">
      <iconSet>
        <cfvo type="percent" val="0"/>
        <cfvo type="percent" val="&quot;$I$6&quot;"/>
        <cfvo type="percent" val="#REF!"/>
      </iconSet>
    </cfRule>
  </conditionalFormatting>
  <conditionalFormatting sqref="X88">
    <cfRule type="cellIs" dxfId="9052" priority="1" operator="lessThan">
      <formula>0</formula>
    </cfRule>
  </conditionalFormatting>
  <conditionalFormatting sqref="Y87">
    <cfRule type="iconSet" priority="52">
      <iconSet>
        <cfvo type="percent" val="0"/>
        <cfvo type="percent" val="&quot;$I$6&quot;"/>
        <cfvo type="percent" val="#REF!"/>
      </iconSet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23" id="{E4184F47-35A2-43F7-B573-5A36C6F6D03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1019" id="{BB2247FB-743A-43B9-87E7-6F9226C2922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1016" id="{B4941BD4-6A8A-4507-8B77-ECD6E571470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1012" id="{B2C847A3-3D66-49B3-B138-D7D84B1EDF7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1009" id="{1CC44F28-BD58-42B6-8E96-C4FB075C5B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1005" id="{FFAA18ED-93F7-4094-B141-7C9F89AA533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1001" id="{C2EE1540-A278-4CE6-8E4D-B2572E6A055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989" id="{05571441-CFFA-44BF-8D96-98175E14530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984" id="{AF3C0319-AD63-4E12-BCA4-BAE0669EA64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980" id="{6002ABEE-9E8F-41D0-937C-DCF9382337B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976" id="{EBEF8D74-708D-4B32-8819-97828A52F35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886" id="{501D797C-A6FA-4881-B048-A190DB08E91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841" id="{70FD7441-AD5F-41FB-A6E0-5041D0A48BA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Z94</xm:sqref>
        </x14:conditionalFormatting>
        <x14:conditionalFormatting xmlns:xm="http://schemas.microsoft.com/office/excel/2006/main">
          <x14:cfRule type="iconSet" priority="797" id="{A5E3EB2D-4CAD-442B-BC0D-C258E36DDFB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744" id="{9DDEBD11-9F57-4A07-A562-F228F8F44D8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696" id="{9DDC7249-0284-4FF8-9B8C-CAD6D795E8A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648" id="{826325AC-B4F1-422B-9E26-581ADAA542C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599" id="{5F8122E3-8ABB-497E-BF65-0F83BB9E26A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519" id="{8C431DFB-4A5A-4852-86B8-30BE02893E0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Z98</xm:sqref>
        </x14:conditionalFormatting>
        <x14:conditionalFormatting xmlns:xm="http://schemas.microsoft.com/office/excel/2006/main">
          <x14:cfRule type="iconSet" priority="469" id="{3070CEE9-BBA3-40E2-A4D4-1DD63C98B86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303" id="{36E90F51-B6C9-4AA8-AD49-C5D1C826D4B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294" id="{8F06F40C-AD17-4063-8773-BA8F23961C5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245" id="{781AD44D-CF7E-4309-BC53-641D9B1DAED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50" id="{A75205CB-C31B-4ABE-9D03-9723255952A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93"/>
  <sheetViews>
    <sheetView zoomScale="18" zoomScaleNormal="18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Z37" sqref="Z37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0.72415760861380918</v>
      </c>
      <c r="AE2" s="520"/>
      <c r="AH2" s="183">
        <f>+SUBTOTAL(9,AH6:AH115)</f>
        <v>332025</v>
      </c>
      <c r="AI2" s="183">
        <f>+SUBTOTAL(9,AI6:AI115)</f>
        <v>240438.43</v>
      </c>
      <c r="AT2" s="91">
        <v>0.59793648334624327</v>
      </c>
    </row>
    <row r="3" spans="2:58" ht="94.5" customHeight="1" x14ac:dyDescent="0.9">
      <c r="B3" s="483"/>
      <c r="C3" s="483"/>
      <c r="D3" s="483"/>
      <c r="E3" s="483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83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+SUMIF($L$6:$L$98,AA3,$AA$6:$AA$98)</f>
        <v>6348</v>
      </c>
      <c r="AB4" s="144" t="s">
        <v>28</v>
      </c>
      <c r="AC4" s="145"/>
      <c r="AD4" s="524" t="str">
        <f ca="1">RIGHT(CELL("filename",A1),LEN(CELL("filename",A1))-FIND("]",CELL("filename",A1)))</f>
        <v>12-01-2026</v>
      </c>
      <c r="AE4" s="524"/>
      <c r="AF4" s="397">
        <f>+SUM(AF6:AF103)</f>
        <v>5533.75</v>
      </c>
      <c r="AG4" s="397"/>
      <c r="AH4" s="98"/>
      <c r="AI4" s="98"/>
      <c r="AJ4" s="398">
        <v>8.75</v>
      </c>
      <c r="AQ4" s="437">
        <f>+SUBTOTAL(9,AQ6:AQ99)</f>
        <v>435.125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488</v>
      </c>
      <c r="H6" s="106"/>
      <c r="I6" s="106"/>
      <c r="J6" s="107" t="s">
        <v>20</v>
      </c>
      <c r="K6" s="108" t="s">
        <v>23</v>
      </c>
      <c r="L6" s="100" t="s">
        <v>21</v>
      </c>
      <c r="M6" s="448">
        <v>50</v>
      </c>
      <c r="N6" s="448">
        <v>50</v>
      </c>
      <c r="O6" s="448">
        <v>100</v>
      </c>
      <c r="P6" s="448"/>
      <c r="Q6" s="448">
        <v>50</v>
      </c>
      <c r="R6" s="448">
        <v>100</v>
      </c>
      <c r="S6" s="448">
        <v>50</v>
      </c>
      <c r="T6" s="448"/>
      <c r="U6" s="448"/>
      <c r="V6" s="448"/>
      <c r="W6" s="448"/>
      <c r="X6" s="447">
        <f t="shared" ref="X6" si="0">IF(AQ7="","",SUM(M6:W6)-(-(AQ7-SUM(M6:W6))/$AQ$3)*SUM($M$2:$W$2))</f>
        <v>400</v>
      </c>
      <c r="Y6" s="466">
        <v>0</v>
      </c>
      <c r="Z6" s="533">
        <f>+X8</f>
        <v>0</v>
      </c>
      <c r="AA6" s="447">
        <f t="shared" ref="AA6:AA7" si="1">+SUM(L6:W6)</f>
        <v>400</v>
      </c>
      <c r="AB6" s="343">
        <f>+AC6+AA6</f>
        <v>1450</v>
      </c>
      <c r="AC6" s="343">
        <v>1050</v>
      </c>
      <c r="AD6" s="344"/>
      <c r="AE6" s="345"/>
      <c r="AF6" s="346"/>
      <c r="AG6" s="347">
        <f t="shared" ref="AG6:AG89" si="2">TRUNC(AF6)+(AF6-TRUNC(AF6))*60/100</f>
        <v>0</v>
      </c>
      <c r="AH6" s="341">
        <f t="shared" ref="AH6:AH89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483</v>
      </c>
      <c r="E7" s="111"/>
      <c r="F7" s="111" t="s">
        <v>35</v>
      </c>
      <c r="G7" s="541" t="str">
        <f>+G6</f>
        <v>7394-593-741</v>
      </c>
      <c r="H7" s="111"/>
      <c r="I7" s="111" t="s">
        <v>33</v>
      </c>
      <c r="J7" s="113">
        <v>41.87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214"/>
      <c r="X7" s="123">
        <f>+IF(H8="s",0,IF(AA7=0,0,IF(COUNTA(M7:W7)=AK9+0.25,SUMIF($C:$C,B7,$AA:$AA)/AK9,SUMIF($C:$C,B7,$AA:$AA)/(COUNTA(M7:W7)))))</f>
        <v>60</v>
      </c>
      <c r="Y7" s="466"/>
      <c r="Z7" s="534"/>
      <c r="AA7" s="134">
        <f t="shared" si="1"/>
        <v>525</v>
      </c>
      <c r="AB7" s="354">
        <f>+AA7+AC7</f>
        <v>981</v>
      </c>
      <c r="AC7" s="354">
        <v>456</v>
      </c>
      <c r="AD7" s="355">
        <f>+AB6-AB7</f>
        <v>469</v>
      </c>
      <c r="AE7" s="131">
        <f>+IF(((AA8+(AA9/2))*60)=0,"",(J7*AA7)/((AA8+(AA9/2))*60))</f>
        <v>0.86329896907216497</v>
      </c>
      <c r="AF7" s="347">
        <f>+AA8+AA9/2</f>
        <v>424.375</v>
      </c>
      <c r="AG7" s="347">
        <f t="shared" si="2"/>
        <v>424.22500000000002</v>
      </c>
      <c r="AH7" s="341">
        <f t="shared" si="3"/>
        <v>25462.5</v>
      </c>
      <c r="AI7" s="341">
        <f>+AA7*J7</f>
        <v>21981.75</v>
      </c>
      <c r="AJ7" s="356">
        <f>+AA7-(AF7*K7/K9)</f>
        <v>-16.755319148936223</v>
      </c>
      <c r="AK7" s="348"/>
      <c r="AL7" s="349"/>
      <c r="AM7" s="341"/>
      <c r="AN7" s="341"/>
      <c r="AO7" s="341"/>
      <c r="AP7" s="341"/>
      <c r="AQ7" s="339">
        <f>-400+AA6</f>
        <v>0</v>
      </c>
      <c r="AR7" s="434">
        <v>1.3</v>
      </c>
      <c r="AT7" s="390">
        <v>594</v>
      </c>
      <c r="AV7" s="390">
        <f>+AT7-AD7</f>
        <v>125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7394-593-741</v>
      </c>
      <c r="H8" s="411"/>
      <c r="I8" s="113">
        <f>+IFERROR(IF(K9=0,0,IF((LOOKUP(2,1/(M8:W8&lt;&gt;""),M8:W8)-K9)&lt;0,0,IF(K9=0,"",LOOKUP(2,1/(M8:W8&lt;&gt;""),M8:W8)-K9))),0)</f>
        <v>1</v>
      </c>
      <c r="J8" s="113"/>
      <c r="K8" s="114" t="s">
        <v>22</v>
      </c>
      <c r="L8" s="102" t="s">
        <v>18</v>
      </c>
      <c r="M8" s="448">
        <v>48</v>
      </c>
      <c r="N8" s="448">
        <v>48</v>
      </c>
      <c r="O8" s="448">
        <v>48</v>
      </c>
      <c r="P8" s="448">
        <v>48</v>
      </c>
      <c r="Q8" s="448">
        <v>48</v>
      </c>
      <c r="R8" s="448">
        <v>48</v>
      </c>
      <c r="S8" s="448">
        <v>48</v>
      </c>
      <c r="T8" s="448">
        <v>48</v>
      </c>
      <c r="U8" s="448">
        <v>48</v>
      </c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0</v>
      </c>
      <c r="Y8" s="466"/>
      <c r="Z8" s="534"/>
      <c r="AA8" s="462">
        <f t="shared" ref="AA8:AA9" si="4">+SUM(M8:W8)-U8*0.25</f>
        <v>420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420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7394-593-741</v>
      </c>
      <c r="H9" s="117"/>
      <c r="I9" s="442"/>
      <c r="J9" s="165">
        <f>+IF(K9="","",IF(K7=0,"",(K7*J7)/(K9*60)))</f>
        <v>0.89085106382978718</v>
      </c>
      <c r="K9" s="118">
        <v>47</v>
      </c>
      <c r="L9" s="104" t="s">
        <v>19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>
        <v>1</v>
      </c>
      <c r="U9" s="216">
        <v>1</v>
      </c>
      <c r="V9" s="216"/>
      <c r="W9" s="216"/>
      <c r="X9" s="173"/>
      <c r="Y9" s="467">
        <v>14.39</v>
      </c>
      <c r="Z9" s="365">
        <v>14.39</v>
      </c>
      <c r="AA9" s="465">
        <f t="shared" si="4"/>
        <v>8.75</v>
      </c>
      <c r="AB9" s="367"/>
      <c r="AC9" s="367"/>
      <c r="AD9" s="368">
        <f>+IFERROR(AD7/(K7*$AQ$3),"")</f>
        <v>0.89333333333333331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8.75</v>
      </c>
      <c r="AM9" s="341">
        <f>+AL9-AA9</f>
        <v>0</v>
      </c>
      <c r="AN9" s="341"/>
      <c r="AO9" s="341"/>
      <c r="AP9" s="341"/>
      <c r="AQ9" s="369"/>
      <c r="AR9" s="434"/>
      <c r="AT9" s="390">
        <v>1.1314285714285715</v>
      </c>
      <c r="AV9" s="390"/>
    </row>
    <row r="10" spans="2:58" s="98" customFormat="1" ht="62.25" customHeight="1" thickTop="1" x14ac:dyDescent="0.9">
      <c r="B10" s="342">
        <f>+B11</f>
        <v>2</v>
      </c>
      <c r="C10" s="405"/>
      <c r="D10" s="106"/>
      <c r="E10" s="106"/>
      <c r="F10" s="106"/>
      <c r="G10" s="540" t="s">
        <v>429</v>
      </c>
      <c r="H10" s="106"/>
      <c r="I10" s="106"/>
      <c r="J10" s="107" t="s">
        <v>20</v>
      </c>
      <c r="K10" s="108" t="s">
        <v>23</v>
      </c>
      <c r="L10" s="100" t="s">
        <v>21</v>
      </c>
      <c r="M10" s="448"/>
      <c r="N10" s="448"/>
      <c r="O10" s="448"/>
      <c r="P10" s="448"/>
      <c r="Q10" s="448"/>
      <c r="R10" s="448"/>
      <c r="S10" s="448"/>
      <c r="T10" s="448"/>
      <c r="U10" s="448"/>
      <c r="V10" s="448"/>
      <c r="W10" s="448"/>
      <c r="X10" s="447" t="str">
        <f t="shared" ref="X10:X70" si="5">IF(AQ11="","",SUM(M10:W10)-(-(AQ11-SUM(M10:W10))/$AQ$3)*SUM($M$2:$W$2))</f>
        <v/>
      </c>
      <c r="Y10" s="466">
        <v>0</v>
      </c>
      <c r="Z10" s="533">
        <f>+X12</f>
        <v>0</v>
      </c>
      <c r="AA10" s="447">
        <f t="shared" ref="AA10:AA71" si="6">+SUM(L10:W10)</f>
        <v>0</v>
      </c>
      <c r="AB10" s="343">
        <f>+AC10+AA10</f>
        <v>6629</v>
      </c>
      <c r="AC10" s="343">
        <v>6629</v>
      </c>
      <c r="AD10" s="344"/>
      <c r="AE10" s="345"/>
      <c r="AF10" s="346"/>
      <c r="AG10" s="347">
        <f t="shared" si="2"/>
        <v>0</v>
      </c>
      <c r="AH10" s="341">
        <f t="shared" si="3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2</v>
      </c>
      <c r="C11" s="406">
        <f>+B11</f>
        <v>2</v>
      </c>
      <c r="D11" s="407" t="s">
        <v>427</v>
      </c>
      <c r="E11" s="111"/>
      <c r="F11" s="111" t="s">
        <v>428</v>
      </c>
      <c r="G11" s="541" t="str">
        <f t="shared" ref="G11:G13" si="7">+G10</f>
        <v>NEGRONI-202942</v>
      </c>
      <c r="H11" s="111"/>
      <c r="I11" s="111" t="s">
        <v>430</v>
      </c>
      <c r="J11" s="113">
        <v>48.06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123">
        <f t="shared" ref="X11" si="8">+IF(H12="s",0,IF(AA11=0,0,IF(COUNTA(M11:W11)=AK13+0.25,SUMIF($C:$C,B11,$AA:$AA)/AK13,SUMIF($C:$C,B11,$AA:$AA)/(COUNTA(M11:W11)))))</f>
        <v>0</v>
      </c>
      <c r="Y11" s="466"/>
      <c r="Z11" s="534"/>
      <c r="AA11" s="134">
        <f t="shared" si="6"/>
        <v>0</v>
      </c>
      <c r="AB11" s="354">
        <f>+AA11+AC11</f>
        <v>6594</v>
      </c>
      <c r="AC11" s="354">
        <v>6594</v>
      </c>
      <c r="AD11" s="355">
        <f>+AB10-AB11</f>
        <v>35</v>
      </c>
      <c r="AE11" s="131" t="str">
        <f>+IF(((AA12+(AA13/2))*60)=0,"",(J11*AA11)/((AA12+(AA13/2))*60))</f>
        <v/>
      </c>
      <c r="AF11" s="347">
        <f>+AA12+AA13/2</f>
        <v>0</v>
      </c>
      <c r="AG11" s="347">
        <f t="shared" si="2"/>
        <v>0</v>
      </c>
      <c r="AH11" s="341">
        <f t="shared" si="3"/>
        <v>0</v>
      </c>
      <c r="AI11" s="341">
        <f>+AA11*J11</f>
        <v>0</v>
      </c>
      <c r="AJ11" s="356">
        <f>+AA11-(AF11*K11/K13)</f>
        <v>0</v>
      </c>
      <c r="AK11" s="348"/>
      <c r="AL11" s="349"/>
      <c r="AM11" s="341"/>
      <c r="AN11" s="341"/>
      <c r="AO11" s="341"/>
      <c r="AP11" s="341"/>
      <c r="AQ11" s="339" t="str">
        <f t="shared" ref="AQ11:AQ63" si="9">IF(AR11=0,"",AT11-(($AQ$3*K11)+($AQ$3*K11)*AR11)+AA10)</f>
        <v/>
      </c>
      <c r="AR11" s="434"/>
      <c r="AT11" s="390">
        <v>35</v>
      </c>
      <c r="AV11" s="390">
        <f>+AT11-AD11</f>
        <v>0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2</v>
      </c>
      <c r="C12" s="408"/>
      <c r="D12" s="184"/>
      <c r="E12" s="111">
        <f>+B11</f>
        <v>2</v>
      </c>
      <c r="F12" s="409"/>
      <c r="G12" s="541" t="str">
        <f t="shared" si="7"/>
        <v>NEGRONI-202942</v>
      </c>
      <c r="H12" s="411" t="s">
        <v>414</v>
      </c>
      <c r="I12" s="113">
        <f>+IFERROR(IF(K13=0,0,IF((LOOKUP(2,1/(M12:W12&lt;&gt;""),M12:W12)-K13)&lt;0,0,IF(K13=0,"",LOOKUP(2,1/(M12:W12&lt;&gt;""),M12:W12)-K13))),0)</f>
        <v>0</v>
      </c>
      <c r="J12" s="113">
        <v>0</v>
      </c>
      <c r="K12" s="114" t="s">
        <v>22</v>
      </c>
      <c r="L12" s="102" t="s">
        <v>18</v>
      </c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160">
        <f t="shared" ref="X12" si="10">+IF(H12="l",IF(COUNTA(M11:W11)=AK13+0.25,AA11-K11*AK13,AA11-(K11*COUNTA(M11:W11))),IF(H12="s",0,IF(COUNTA(M11:W11)=AK13+0.25,SUMIF($C:$C,B11,$AA:$AA)-K11*AK13,SUMIF($C:$C,B11,$AA:$AA)-K11*COUNTA(M11:W11))))</f>
        <v>0</v>
      </c>
      <c r="Y12" s="466"/>
      <c r="Z12" s="534"/>
      <c r="AA12" s="462">
        <f t="shared" ref="AA12:AA73" si="11">+SUM(M12:W12)-U12*0.25</f>
        <v>0</v>
      </c>
      <c r="AB12" s="360"/>
      <c r="AC12" s="360"/>
      <c r="AD12" s="362"/>
      <c r="AE12" s="363"/>
      <c r="AF12" s="346"/>
      <c r="AG12" s="347">
        <f t="shared" si="2"/>
        <v>0</v>
      </c>
      <c r="AH12" s="341">
        <f t="shared" si="3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0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2</v>
      </c>
      <c r="C13" s="410"/>
      <c r="D13" s="174" t="s">
        <v>419</v>
      </c>
      <c r="E13" s="175">
        <f>+E12+100</f>
        <v>102</v>
      </c>
      <c r="F13" s="175"/>
      <c r="G13" s="542" t="str">
        <f t="shared" si="7"/>
        <v>NEGRONI-202942</v>
      </c>
      <c r="H13" s="117"/>
      <c r="I13" s="442"/>
      <c r="J13" s="165">
        <f>+IF(K13="","",IF(K11=0,"",(K11*J11)/(K13*60)))</f>
        <v>0.87381818181818194</v>
      </c>
      <c r="K13" s="118">
        <v>55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36.14</v>
      </c>
      <c r="Z13" s="365">
        <v>36.14</v>
      </c>
      <c r="AA13" s="465">
        <f t="shared" si="11"/>
        <v>0</v>
      </c>
      <c r="AB13" s="367"/>
      <c r="AC13" s="367"/>
      <c r="AD13" s="368">
        <f>+IFERROR(AD11/(K11*$AQ$3),"")</f>
        <v>6.6666666666666666E-2</v>
      </c>
      <c r="AE13" s="369"/>
      <c r="AF13" s="347"/>
      <c r="AG13" s="347">
        <f t="shared" si="2"/>
        <v>0</v>
      </c>
      <c r="AH13" s="341">
        <f t="shared" si="3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6.6666666666666666E-2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40" t="s">
        <v>481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120</v>
      </c>
      <c r="N14" s="448">
        <v>180</v>
      </c>
      <c r="O14" s="448"/>
      <c r="P14" s="448">
        <v>60</v>
      </c>
      <c r="Q14" s="448">
        <v>60</v>
      </c>
      <c r="R14" s="448">
        <v>60</v>
      </c>
      <c r="S14" s="448"/>
      <c r="T14" s="448"/>
      <c r="U14" s="448"/>
      <c r="V14" s="448"/>
      <c r="W14" s="448"/>
      <c r="X14" s="447">
        <f t="shared" si="5"/>
        <v>480</v>
      </c>
      <c r="Y14" s="466">
        <v>-68</v>
      </c>
      <c r="Z14" s="533">
        <f>+X16</f>
        <v>-18</v>
      </c>
      <c r="AA14" s="447">
        <f t="shared" si="6"/>
        <v>480</v>
      </c>
      <c r="AB14" s="343">
        <f>+AC14+AA14</f>
        <v>1836</v>
      </c>
      <c r="AC14" s="343">
        <v>1356</v>
      </c>
      <c r="AD14" s="344"/>
      <c r="AE14" s="345"/>
      <c r="AF14" s="346"/>
      <c r="AG14" s="347">
        <f t="shared" si="2"/>
        <v>0</v>
      </c>
      <c r="AH14" s="341">
        <f t="shared" si="3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480</v>
      </c>
      <c r="E15" s="111"/>
      <c r="F15" s="111" t="s">
        <v>35</v>
      </c>
      <c r="G15" s="541" t="str">
        <f t="shared" ref="G15:G17" si="12">+G14</f>
        <v>2396-593-600</v>
      </c>
      <c r="H15" s="111"/>
      <c r="I15" s="111" t="s">
        <v>33</v>
      </c>
      <c r="J15" s="113">
        <v>38.82</v>
      </c>
      <c r="K15" s="130">
        <v>60</v>
      </c>
      <c r="L15" s="101" t="s">
        <v>17</v>
      </c>
      <c r="M15" s="214">
        <v>42</v>
      </c>
      <c r="N15" s="214">
        <v>60</v>
      </c>
      <c r="O15" s="214">
        <v>50</v>
      </c>
      <c r="P15" s="214">
        <v>60</v>
      </c>
      <c r="Q15" s="214">
        <v>65</v>
      </c>
      <c r="R15" s="214">
        <v>65</v>
      </c>
      <c r="S15" s="214">
        <v>60</v>
      </c>
      <c r="T15" s="214">
        <v>60</v>
      </c>
      <c r="U15" s="214">
        <v>45</v>
      </c>
      <c r="V15" s="214"/>
      <c r="W15" s="214"/>
      <c r="X15" s="123">
        <f t="shared" ref="X15" si="13">+IF(H16="s",0,IF(AA15=0,0,IF(COUNTA(M15:W15)=AK17+0.25,SUMIF($C:$C,B15,$AA:$AA)/AK17,SUMIF($C:$C,B15,$AA:$AA)/(COUNTA(M15:W15)))))</f>
        <v>57.942857142857143</v>
      </c>
      <c r="Y15" s="466"/>
      <c r="Z15" s="534"/>
      <c r="AA15" s="134">
        <f t="shared" si="6"/>
        <v>507</v>
      </c>
      <c r="AB15" s="354">
        <f>+AA15+AC15</f>
        <v>959</v>
      </c>
      <c r="AC15" s="354">
        <v>452</v>
      </c>
      <c r="AD15" s="355">
        <f>+AB14-AB15</f>
        <v>877</v>
      </c>
      <c r="AE15" s="131">
        <f>+IF(((AA16+(AA17/2))*60)=0,"",(J15*AA15)/((AA16+(AA17/2))*60))</f>
        <v>0.83308952380952384</v>
      </c>
      <c r="AF15" s="347">
        <f>+AA16+AA17/2</f>
        <v>393.75</v>
      </c>
      <c r="AG15" s="347">
        <f t="shared" si="2"/>
        <v>393.45</v>
      </c>
      <c r="AH15" s="341">
        <f t="shared" si="3"/>
        <v>23625</v>
      </c>
      <c r="AI15" s="341">
        <f>+AA15*J15</f>
        <v>19681.740000000002</v>
      </c>
      <c r="AJ15" s="356">
        <f>+AA15-(AF15*K15/K17)</f>
        <v>-42.418604651162809</v>
      </c>
      <c r="AK15" s="348"/>
      <c r="AL15" s="349"/>
      <c r="AM15" s="341"/>
      <c r="AN15" s="341"/>
      <c r="AO15" s="341"/>
      <c r="AP15" s="341"/>
      <c r="AQ15" s="339">
        <f t="shared" si="9"/>
        <v>71.5</v>
      </c>
      <c r="AR15" s="434">
        <v>1.5</v>
      </c>
      <c r="AT15" s="390">
        <v>904</v>
      </c>
      <c r="AV15" s="390">
        <f>+AT15-AD15</f>
        <v>27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/>
      <c r="F16" s="409"/>
      <c r="G16" s="541" t="str">
        <f t="shared" si="12"/>
        <v>2396-593-600</v>
      </c>
      <c r="H16" s="411" t="s">
        <v>412</v>
      </c>
      <c r="I16" s="113"/>
      <c r="J16" s="113">
        <v>2</v>
      </c>
      <c r="K16" s="114" t="s">
        <v>22</v>
      </c>
      <c r="L16" s="102" t="s">
        <v>18</v>
      </c>
      <c r="M16" s="448">
        <v>45</v>
      </c>
      <c r="N16" s="448">
        <v>45</v>
      </c>
      <c r="O16" s="448">
        <v>45</v>
      </c>
      <c r="P16" s="448">
        <v>45</v>
      </c>
      <c r="Q16" s="448">
        <v>45</v>
      </c>
      <c r="R16" s="448">
        <v>45</v>
      </c>
      <c r="S16" s="448">
        <v>45</v>
      </c>
      <c r="T16" s="448">
        <v>45</v>
      </c>
      <c r="U16" s="448">
        <v>45</v>
      </c>
      <c r="V16" s="448"/>
      <c r="W16" s="448"/>
      <c r="X16" s="160">
        <f t="shared" ref="X16" si="14">+IF(H16="l",IF(COUNTA(M15:W15)=AK17+0.25,AA15-K15*AK17,AA15-(K15*COUNTA(M15:W15))),IF(H16="s",0,IF(COUNTA(M15:W15)=AK17+0.25,SUMIF($C:$C,B15,$AA:$AA)-K15*AK17,SUMIF($C:$C,B15,$AA:$AA)-K15*COUNTA(M15:W15))))</f>
        <v>-18</v>
      </c>
      <c r="Y16" s="466"/>
      <c r="Z16" s="534"/>
      <c r="AA16" s="462">
        <f t="shared" si="11"/>
        <v>393.75</v>
      </c>
      <c r="AB16" s="360"/>
      <c r="AC16" s="360"/>
      <c r="AD16" s="362"/>
      <c r="AE16" s="363"/>
      <c r="AF16" s="346"/>
      <c r="AG16" s="347">
        <f t="shared" si="2"/>
        <v>0</v>
      </c>
      <c r="AH16" s="341">
        <f t="shared" si="3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393.75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/>
      <c r="F17" s="175"/>
      <c r="G17" s="542" t="str">
        <f t="shared" si="12"/>
        <v>2396-593-600</v>
      </c>
      <c r="H17" s="117"/>
      <c r="I17" s="442"/>
      <c r="J17" s="165">
        <f>+IF(K17="","",IF(K15=0,"",(K15*J15)/(K17*60)))</f>
        <v>0.90279069767441855</v>
      </c>
      <c r="K17" s="118">
        <v>43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9.5341269841269849</v>
      </c>
      <c r="Z17" s="371">
        <f>+IF(COUNTA(M15:W15)=$AJ$4+0.25,$AJ$4-(AA15/K15),COUNTA(M15:W15)-(AA15/K15))+Y17</f>
        <v>9.8341269841269856</v>
      </c>
      <c r="AA17" s="465">
        <f t="shared" si="11"/>
        <v>0</v>
      </c>
      <c r="AB17" s="367"/>
      <c r="AC17" s="367"/>
      <c r="AD17" s="368">
        <f>+IFERROR(AD15/(K15*$AQ$3),"")</f>
        <v>1.6704761904761904</v>
      </c>
      <c r="AE17" s="369"/>
      <c r="AF17" s="347"/>
      <c r="AG17" s="347">
        <f t="shared" si="2"/>
        <v>0</v>
      </c>
      <c r="AH17" s="341">
        <f t="shared" si="3"/>
        <v>0</v>
      </c>
      <c r="AI17" s="341"/>
      <c r="AJ17" s="356"/>
      <c r="AK17" s="370">
        <f>+$AJ$4</f>
        <v>8.75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1.7219047619047618</v>
      </c>
      <c r="AV17" s="390"/>
    </row>
    <row r="18" spans="2:58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540" t="s">
        <v>489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68</v>
      </c>
      <c r="N18" s="448">
        <v>67</v>
      </c>
      <c r="O18" s="448"/>
      <c r="P18" s="448"/>
      <c r="Q18" s="448">
        <v>208</v>
      </c>
      <c r="R18" s="448"/>
      <c r="S18" s="448">
        <v>70</v>
      </c>
      <c r="T18" s="448"/>
      <c r="U18" s="448"/>
      <c r="V18" s="448"/>
      <c r="W18" s="448"/>
      <c r="X18" s="447">
        <f t="shared" si="5"/>
        <v>413</v>
      </c>
      <c r="Y18" s="466">
        <v>0</v>
      </c>
      <c r="Z18" s="533">
        <f>+X20</f>
        <v>0</v>
      </c>
      <c r="AA18" s="447">
        <f t="shared" si="6"/>
        <v>413</v>
      </c>
      <c r="AB18" s="343">
        <f>+AC18+AA18</f>
        <v>413</v>
      </c>
      <c r="AC18" s="343">
        <v>0</v>
      </c>
      <c r="AD18" s="344"/>
      <c r="AE18" s="345"/>
      <c r="AF18" s="346"/>
      <c r="AG18" s="347"/>
      <c r="AH18" s="341"/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3</v>
      </c>
      <c r="C19" s="406">
        <v>3</v>
      </c>
      <c r="D19" s="407" t="s">
        <v>490</v>
      </c>
      <c r="E19" s="111"/>
      <c r="F19" s="111" t="s">
        <v>475</v>
      </c>
      <c r="G19" s="541" t="str">
        <f>+G18</f>
        <v xml:space="preserve">PAULSON  </v>
      </c>
      <c r="H19" s="111"/>
      <c r="I19" s="111" t="s">
        <v>41</v>
      </c>
      <c r="J19" s="113"/>
      <c r="K19" s="130"/>
      <c r="L19" s="101" t="s">
        <v>17</v>
      </c>
      <c r="M19" s="214"/>
      <c r="N19" s="214"/>
      <c r="O19" s="214"/>
      <c r="P19" s="214"/>
      <c r="Q19" s="214"/>
      <c r="R19" s="214"/>
      <c r="S19" s="214"/>
      <c r="T19" s="214"/>
      <c r="U19" s="214"/>
      <c r="V19" s="214"/>
      <c r="W19" s="214"/>
      <c r="X19" s="123">
        <f t="shared" ref="X19" si="15">+IF(H20="s",0,IF(AA19=0,0,IF(COUNTA(M19:W19)=AK21+0.25,SUMIF($C:$C,B19,$AA:$AA)/AK21,SUMIF($C:$C,B19,$AA:$AA)/(COUNTA(M19:W19)))))</f>
        <v>0</v>
      </c>
      <c r="Y19" s="466"/>
      <c r="Z19" s="534"/>
      <c r="AA19" s="134">
        <f t="shared" si="6"/>
        <v>0</v>
      </c>
      <c r="AB19" s="354">
        <f>+AA19+AC19</f>
        <v>0</v>
      </c>
      <c r="AC19" s="354">
        <v>0</v>
      </c>
      <c r="AD19" s="355">
        <f>+AB18-AB19</f>
        <v>413</v>
      </c>
      <c r="AE19" s="131" t="str">
        <f>+IF(((AA20+(AA21/2))*60)=0,"",(J19*AA19)/((AA20+(AA21/2))*60))</f>
        <v/>
      </c>
      <c r="AF19" s="347"/>
      <c r="AG19" s="347"/>
      <c r="AH19" s="341"/>
      <c r="AI19" s="341"/>
      <c r="AJ19" s="356"/>
      <c r="AK19" s="348"/>
      <c r="AL19" s="349"/>
      <c r="AM19" s="341"/>
      <c r="AN19" s="341"/>
      <c r="AO19" s="341"/>
      <c r="AP19" s="341"/>
      <c r="AQ19" s="339">
        <f>-400+AA18</f>
        <v>13</v>
      </c>
      <c r="AR19" s="434"/>
      <c r="AT19" s="390">
        <v>0</v>
      </c>
      <c r="AV19" s="390">
        <f t="shared" ref="AV19" si="16">+AT19-AD19</f>
        <v>-413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541" t="str">
        <f>+G18</f>
        <v xml:space="preserve">PAULSON  </v>
      </c>
      <c r="H20" s="411" t="s">
        <v>414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160">
        <f t="shared" ref="X20" si="17">+IF(H20="l",IF(COUNTA(M19:W19)=AK21+0.25,AA19-K19*AK21,AA19-(K19*COUNTA(M19:W19))),IF(H20="s",0,IF(COUNTA(M19:W19)=AK21+0.25,SUMIF($C:$C,B19,$AA:$AA)-K19*AK21,SUMIF($C:$C,B19,$AA:$AA)-K19*COUNTA(M19:W19))))</f>
        <v>0</v>
      </c>
      <c r="Y20" s="466"/>
      <c r="Z20" s="534"/>
      <c r="AA20" s="462">
        <f t="shared" si="11"/>
        <v>0</v>
      </c>
      <c r="AB20" s="360"/>
      <c r="AC20" s="360"/>
      <c r="AD20" s="362"/>
      <c r="AE20" s="363"/>
      <c r="AF20" s="346"/>
      <c r="AG20" s="347"/>
      <c r="AH20" s="341"/>
      <c r="AI20" s="341"/>
      <c r="AJ20" s="341"/>
      <c r="AK20" s="348"/>
      <c r="AL20" s="349"/>
      <c r="AM20" s="341"/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542" t="str">
        <f>+G18</f>
        <v xml:space="preserve">PAULSON  </v>
      </c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/>
      <c r="Z21" s="371"/>
      <c r="AA21" s="465">
        <f t="shared" si="11"/>
        <v>0</v>
      </c>
      <c r="AB21" s="367"/>
      <c r="AC21" s="367"/>
      <c r="AD21" s="368" t="str">
        <f>+IFERROR(AD19/(K19*$AQ$3),"")</f>
        <v/>
      </c>
      <c r="AE21" s="369"/>
      <c r="AF21" s="347"/>
      <c r="AG21" s="347"/>
      <c r="AH21" s="341"/>
      <c r="AI21" s="341"/>
      <c r="AJ21" s="356"/>
      <c r="AK21" s="370">
        <f>+$AJ$4</f>
        <v>8.75</v>
      </c>
      <c r="AL21" s="349"/>
      <c r="AM21" s="341"/>
      <c r="AN21" s="341"/>
      <c r="AO21" s="341"/>
      <c r="AP21" s="341"/>
      <c r="AQ21" s="369"/>
      <c r="AR21" s="434"/>
      <c r="AT21" s="390" t="s">
        <v>416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539" t="s">
        <v>424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7" t="str">
        <f t="shared" si="5"/>
        <v/>
      </c>
      <c r="Y22" s="466">
        <v>0</v>
      </c>
      <c r="Z22" s="533">
        <f>+X24</f>
        <v>0</v>
      </c>
      <c r="AA22" s="447">
        <f t="shared" si="6"/>
        <v>0</v>
      </c>
      <c r="AB22" s="343">
        <f>+AC22+AA22</f>
        <v>8799</v>
      </c>
      <c r="AC22" s="343">
        <v>8799</v>
      </c>
      <c r="AD22" s="344"/>
      <c r="AE22" s="345"/>
      <c r="AF22" s="346"/>
      <c r="AG22" s="347">
        <f t="shared" si="2"/>
        <v>0</v>
      </c>
      <c r="AH22" s="341">
        <f t="shared" si="3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4</v>
      </c>
      <c r="C23" s="406">
        <f>+B23</f>
        <v>4</v>
      </c>
      <c r="D23" s="407" t="s">
        <v>423</v>
      </c>
      <c r="E23" s="111"/>
      <c r="F23" s="111" t="s">
        <v>35</v>
      </c>
      <c r="G23" s="539" t="str">
        <f t="shared" ref="G23:G25" si="18">+G22</f>
        <v>2215-518-800</v>
      </c>
      <c r="H23" s="111"/>
      <c r="I23" s="111" t="s">
        <v>33</v>
      </c>
      <c r="J23" s="113">
        <v>33.42</v>
      </c>
      <c r="K23" s="130">
        <v>61</v>
      </c>
      <c r="L23" s="101" t="s">
        <v>17</v>
      </c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123">
        <f t="shared" ref="X23" si="19">+IF(H24="s",0,IF(AA23=0,0,IF(COUNTA(M23:W23)=AK25+0.25,SUMIF($C:$C,B23,$AA:$AA)/AK25,SUMIF($C:$C,B23,$AA:$AA)/(COUNTA(M23:W23)))))</f>
        <v>0</v>
      </c>
      <c r="Y23" s="466"/>
      <c r="Z23" s="534"/>
      <c r="AA23" s="134">
        <f t="shared" si="6"/>
        <v>0</v>
      </c>
      <c r="AB23" s="354">
        <f>+AA23+AC23</f>
        <v>8771</v>
      </c>
      <c r="AC23" s="354">
        <v>8771</v>
      </c>
      <c r="AD23" s="355">
        <f>+AB22-AB23</f>
        <v>28</v>
      </c>
      <c r="AE23" s="131" t="str">
        <f>+IF(((AA24+(AA25/2))*60)=0,"",(J23*AA23)/((AA24+(AA25/2))*60))</f>
        <v/>
      </c>
      <c r="AF23" s="347">
        <f>+AA24+AA25/2</f>
        <v>0</v>
      </c>
      <c r="AG23" s="347">
        <f t="shared" si="2"/>
        <v>0</v>
      </c>
      <c r="AH23" s="341">
        <f t="shared" si="3"/>
        <v>0</v>
      </c>
      <c r="AI23" s="341">
        <f>+AA23*J23</f>
        <v>0</v>
      </c>
      <c r="AJ23" s="356">
        <f>+AA23-(AF23*K23/K25)</f>
        <v>0</v>
      </c>
      <c r="AK23" s="348"/>
      <c r="AL23" s="349"/>
      <c r="AM23" s="341"/>
      <c r="AN23" s="341"/>
      <c r="AO23" s="341"/>
      <c r="AP23" s="341"/>
      <c r="AQ23" s="339" t="str">
        <f t="shared" si="9"/>
        <v/>
      </c>
      <c r="AR23" s="434"/>
      <c r="AT23" s="390">
        <v>28</v>
      </c>
      <c r="AV23" s="390">
        <f t="shared" ref="AV23" si="20">+AT23-AD23</f>
        <v>0</v>
      </c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539" t="str">
        <f t="shared" si="18"/>
        <v>2215-518-800</v>
      </c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>
        <v>0</v>
      </c>
      <c r="K24" s="114" t="s">
        <v>22</v>
      </c>
      <c r="L24" s="102" t="s">
        <v>18</v>
      </c>
      <c r="M24" s="448"/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160">
        <f t="shared" ref="X24" si="21"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si="11"/>
        <v>0</v>
      </c>
      <c r="AB24" s="360"/>
      <c r="AC24" s="360"/>
      <c r="AD24" s="362"/>
      <c r="AE24" s="363"/>
      <c r="AF24" s="346"/>
      <c r="AG24" s="347">
        <f t="shared" si="2"/>
        <v>0</v>
      </c>
      <c r="AH24" s="341">
        <f t="shared" si="3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0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539" t="str">
        <f t="shared" si="18"/>
        <v>2215-518-800</v>
      </c>
      <c r="H25" s="117"/>
      <c r="I25" s="442"/>
      <c r="J25" s="165">
        <f>+IF(K25="","",IF(K23=0,"",(K23*J23)/(K25*60)))</f>
        <v>0.8941315789473685</v>
      </c>
      <c r="K25" s="118">
        <v>38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24.63</v>
      </c>
      <c r="Z25" s="365">
        <v>24.63</v>
      </c>
      <c r="AA25" s="465">
        <f t="shared" si="11"/>
        <v>0</v>
      </c>
      <c r="AB25" s="367"/>
      <c r="AC25" s="367"/>
      <c r="AD25" s="368">
        <f>+IFERROR(AD23/(K23*$AQ$3),"")</f>
        <v>5.2459016393442623E-2</v>
      </c>
      <c r="AE25" s="369"/>
      <c r="AF25" s="347"/>
      <c r="AG25" s="347">
        <f t="shared" si="2"/>
        <v>0</v>
      </c>
      <c r="AH25" s="341">
        <f t="shared" si="3"/>
        <v>0</v>
      </c>
      <c r="AI25" s="341"/>
      <c r="AJ25" s="356"/>
      <c r="AK25" s="370">
        <f>+$AJ$4</f>
        <v>8.75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5.2459016393442623E-2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40" t="s">
        <v>442</v>
      </c>
      <c r="H26" s="106"/>
      <c r="I26" s="106"/>
      <c r="J26" s="107" t="s">
        <v>20</v>
      </c>
      <c r="K26" s="108" t="s">
        <v>23</v>
      </c>
      <c r="L26" s="100" t="s">
        <v>21</v>
      </c>
      <c r="M26" s="448">
        <v>60</v>
      </c>
      <c r="N26" s="448">
        <v>60</v>
      </c>
      <c r="O26" s="448">
        <v>60</v>
      </c>
      <c r="P26" s="448">
        <v>60</v>
      </c>
      <c r="Q26" s="448">
        <v>60</v>
      </c>
      <c r="R26" s="448">
        <v>60</v>
      </c>
      <c r="S26" s="448">
        <v>120</v>
      </c>
      <c r="T26" s="448">
        <v>60</v>
      </c>
      <c r="U26" s="448">
        <v>60</v>
      </c>
      <c r="V26" s="448"/>
      <c r="W26" s="448"/>
      <c r="X26" s="447">
        <f t="shared" si="5"/>
        <v>600</v>
      </c>
      <c r="Y26" s="466">
        <v>0.75</v>
      </c>
      <c r="Z26" s="533">
        <f>+X28</f>
        <v>0.25</v>
      </c>
      <c r="AA26" s="447">
        <f t="shared" si="6"/>
        <v>600</v>
      </c>
      <c r="AB26" s="343">
        <f>+AC26+AA26</f>
        <v>3301</v>
      </c>
      <c r="AC26" s="343">
        <v>2701</v>
      </c>
      <c r="AD26" s="344"/>
      <c r="AE26" s="345"/>
      <c r="AF26" s="346"/>
      <c r="AG26" s="347">
        <f t="shared" si="2"/>
        <v>0</v>
      </c>
      <c r="AH26" s="341">
        <f t="shared" si="3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441</v>
      </c>
      <c r="E27" s="111"/>
      <c r="F27" s="111" t="s">
        <v>35</v>
      </c>
      <c r="G27" s="541" t="str">
        <f t="shared" ref="G27:G29" si="22">+G26</f>
        <v>2259-600-730</v>
      </c>
      <c r="H27" s="111"/>
      <c r="I27" s="111" t="s">
        <v>33</v>
      </c>
      <c r="J27" s="113">
        <v>34.450000000000003</v>
      </c>
      <c r="K27" s="130">
        <v>61</v>
      </c>
      <c r="L27" s="101" t="s">
        <v>17</v>
      </c>
      <c r="M27" s="214">
        <v>45</v>
      </c>
      <c r="N27" s="214">
        <v>50</v>
      </c>
      <c r="O27" s="214">
        <v>52</v>
      </c>
      <c r="P27" s="214">
        <v>61</v>
      </c>
      <c r="Q27" s="214">
        <v>64</v>
      </c>
      <c r="R27" s="214">
        <v>63</v>
      </c>
      <c r="S27" s="214">
        <v>61</v>
      </c>
      <c r="T27" s="214">
        <v>61</v>
      </c>
      <c r="U27" s="214">
        <v>77</v>
      </c>
      <c r="V27" s="214"/>
      <c r="W27" s="214"/>
      <c r="X27" s="123">
        <f t="shared" ref="X27" si="23">+IF(H28="s",0,IF(AA27=0,0,IF(COUNTA(M27:W27)=AK29+0.25,SUMIF($C:$C,B27,$AA:$AA)/AK29,SUMIF($C:$C,B27,$AA:$AA)/(COUNTA(M27:W27)))))</f>
        <v>61.028571428571432</v>
      </c>
      <c r="Y27" s="466"/>
      <c r="Z27" s="534"/>
      <c r="AA27" s="134">
        <f t="shared" si="6"/>
        <v>534</v>
      </c>
      <c r="AB27" s="354">
        <f>+AA27+AC27</f>
        <v>2508</v>
      </c>
      <c r="AC27" s="354">
        <v>1974</v>
      </c>
      <c r="AD27" s="355">
        <f>+AB26-AB27</f>
        <v>793</v>
      </c>
      <c r="AE27" s="131">
        <f>+IF(((AA28+(AA29/2))*60)=0,"",(J27*AA27)/((AA28+(AA29/2))*60))</f>
        <v>0.89847619047619065</v>
      </c>
      <c r="AF27" s="347">
        <f>+AA28+AA29/2</f>
        <v>341.25</v>
      </c>
      <c r="AG27" s="347">
        <f t="shared" si="2"/>
        <v>341.15</v>
      </c>
      <c r="AH27" s="341">
        <f t="shared" si="3"/>
        <v>20475</v>
      </c>
      <c r="AI27" s="341">
        <f>+AA27*J27</f>
        <v>18396.300000000003</v>
      </c>
      <c r="AJ27" s="356">
        <f>+AA27-(AF27*K27/K29)</f>
        <v>-13.796052631578959</v>
      </c>
      <c r="AK27" s="348"/>
      <c r="AL27" s="349"/>
      <c r="AM27" s="341"/>
      <c r="AN27" s="341"/>
      <c r="AO27" s="341"/>
      <c r="AP27" s="341"/>
      <c r="AQ27" s="339">
        <f>-600+AA26</f>
        <v>0</v>
      </c>
      <c r="AR27" s="434">
        <v>1.5</v>
      </c>
      <c r="AT27" s="390">
        <v>727</v>
      </c>
      <c r="AV27" s="390">
        <f t="shared" ref="AV27" si="24">+AT27-AD27</f>
        <v>-66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41" t="str">
        <f t="shared" si="22"/>
        <v>2259-600-730</v>
      </c>
      <c r="H28" s="411" t="s">
        <v>412</v>
      </c>
      <c r="I28" s="113">
        <f>+IFERROR(IF(K29=0,0,IF((LOOKUP(2,1/(M28:W28&lt;&gt;""),M28:W28)-K29)&lt;0,0,IF(K29=0,"",LOOKUP(2,1/(M28:W28&lt;&gt;""),M28:W28)-K29))),0)</f>
        <v>1</v>
      </c>
      <c r="J28" s="113">
        <v>2</v>
      </c>
      <c r="K28" s="114" t="s">
        <v>22</v>
      </c>
      <c r="L28" s="102" t="s">
        <v>18</v>
      </c>
      <c r="M28" s="448">
        <v>39</v>
      </c>
      <c r="N28" s="448">
        <v>39</v>
      </c>
      <c r="O28" s="448">
        <v>39</v>
      </c>
      <c r="P28" s="448">
        <v>39</v>
      </c>
      <c r="Q28" s="448">
        <v>39</v>
      </c>
      <c r="R28" s="448">
        <v>39</v>
      </c>
      <c r="S28" s="448">
        <v>39</v>
      </c>
      <c r="T28" s="448">
        <v>39</v>
      </c>
      <c r="U28" s="448">
        <v>39</v>
      </c>
      <c r="V28" s="448"/>
      <c r="W28" s="448"/>
      <c r="X28" s="160">
        <f t="shared" ref="X28" si="25">+IF(H28="l",IF(COUNTA(M27:W27)=AK29+0.25,AA27-K27*AK29,AA27-(K27*COUNTA(M27:W27))),IF(H28="s",0,IF(COUNTA(M27:W27)=AK29+0.25,SUMIF($C:$C,B27,$AA:$AA)-K27*AK29,SUMIF($C:$C,B27,$AA:$AA)-K27*COUNTA(M27:W27))))</f>
        <v>0.25</v>
      </c>
      <c r="Y28" s="466"/>
      <c r="Z28" s="534"/>
      <c r="AA28" s="462">
        <f t="shared" si="11"/>
        <v>341.25</v>
      </c>
      <c r="AB28" s="360"/>
      <c r="AC28" s="360"/>
      <c r="AD28" s="362"/>
      <c r="AE28" s="363"/>
      <c r="AF28" s="346"/>
      <c r="AG28" s="347">
        <f t="shared" si="2"/>
        <v>0</v>
      </c>
      <c r="AH28" s="341">
        <f t="shared" si="3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341.25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42" t="str">
        <f t="shared" si="22"/>
        <v>2259-600-730</v>
      </c>
      <c r="H29" s="117"/>
      <c r="I29" s="442"/>
      <c r="J29" s="165">
        <f>+IF(K29="","",IF(K27=0,"",(K27*J27)/(K29*60)))</f>
        <v>0.92168859649122814</v>
      </c>
      <c r="K29" s="118">
        <v>38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18.90949978982766</v>
      </c>
      <c r="Z29" s="467">
        <v>18.90949978982766</v>
      </c>
      <c r="AA29" s="465">
        <f t="shared" si="11"/>
        <v>0</v>
      </c>
      <c r="AB29" s="367"/>
      <c r="AC29" s="367"/>
      <c r="AD29" s="368">
        <f>+IFERROR(AD27/(K27*$AQ$3),"")</f>
        <v>1.4857142857142858</v>
      </c>
      <c r="AE29" s="369"/>
      <c r="AF29" s="347"/>
      <c r="AG29" s="347">
        <f t="shared" si="2"/>
        <v>0</v>
      </c>
      <c r="AH29" s="341">
        <f t="shared" si="3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1.3620608899297424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539" t="s">
        <v>434</v>
      </c>
      <c r="H30" s="106"/>
      <c r="I30" s="111"/>
      <c r="J30" s="107" t="s">
        <v>20</v>
      </c>
      <c r="K30" s="108" t="s">
        <v>23</v>
      </c>
      <c r="L30" s="100" t="s">
        <v>21</v>
      </c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7" t="str">
        <f t="shared" si="5"/>
        <v/>
      </c>
      <c r="Y30" s="466">
        <v>-93.75</v>
      </c>
      <c r="Z30" s="533">
        <f>+X32</f>
        <v>-215.25</v>
      </c>
      <c r="AA30" s="447">
        <f t="shared" si="6"/>
        <v>0</v>
      </c>
      <c r="AB30" s="343">
        <f>+AC30+AA30</f>
        <v>4060</v>
      </c>
      <c r="AC30" s="343">
        <v>4060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539" t="str">
        <f t="shared" ref="G31:G33" si="26">+G30</f>
        <v>ATENAS-203645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>
        <v>39</v>
      </c>
      <c r="N31" s="214">
        <v>18</v>
      </c>
      <c r="O31" s="214">
        <v>43</v>
      </c>
      <c r="P31" s="214">
        <v>15</v>
      </c>
      <c r="Q31" s="214">
        <v>16</v>
      </c>
      <c r="R31" s="214">
        <v>20</v>
      </c>
      <c r="S31" s="214">
        <v>14</v>
      </c>
      <c r="T31" s="214">
        <v>21</v>
      </c>
      <c r="U31" s="214">
        <v>10</v>
      </c>
      <c r="V31" s="214"/>
      <c r="W31" s="214"/>
      <c r="X31" s="123">
        <f t="shared" ref="X31" si="27">+IF(H32="s",0,IF(AA31=0,0,IF(COUNTA(M31:W31)=AK33+0.25,SUMIF($C:$C,B31,$AA:$AA)/AK33,SUMIF($C:$C,B31,$AA:$AA)/(COUNTA(M31:W31)))))</f>
        <v>22.4</v>
      </c>
      <c r="Y31" s="466"/>
      <c r="Z31" s="534"/>
      <c r="AA31" s="134">
        <f t="shared" si="6"/>
        <v>196</v>
      </c>
      <c r="AB31" s="354">
        <f>+AA31+AC31</f>
        <v>3864</v>
      </c>
      <c r="AC31" s="354">
        <v>3668</v>
      </c>
      <c r="AD31" s="355">
        <f>+AB30-AB31</f>
        <v>196</v>
      </c>
      <c r="AE31" s="131">
        <f>+IF(((AA32+(AA33/2))*60)=0,"",(J31*AA31)/((AA32+(AA33/2))*60))</f>
        <v>2.5064989517819707</v>
      </c>
      <c r="AF31" s="347">
        <f>+AA32+AA33/2</f>
        <v>79.5</v>
      </c>
      <c r="AG31" s="347">
        <f t="shared" si="2"/>
        <v>79.3</v>
      </c>
      <c r="AH31" s="341">
        <f t="shared" si="3"/>
        <v>4770</v>
      </c>
      <c r="AI31" s="341">
        <f>+AA31*J31</f>
        <v>11956</v>
      </c>
      <c r="AJ31" s="356">
        <f>+AA31-(AF31*K31/K33)</f>
        <v>129.27678571428572</v>
      </c>
      <c r="AK31" s="348"/>
      <c r="AL31" s="349"/>
      <c r="AM31" s="341"/>
      <c r="AN31" s="341"/>
      <c r="AO31" s="341"/>
      <c r="AP31" s="341"/>
      <c r="AQ31" s="339" t="str">
        <f t="shared" si="9"/>
        <v/>
      </c>
      <c r="AR31" s="434"/>
      <c r="AT31" s="390">
        <v>392</v>
      </c>
      <c r="AV31" s="390">
        <f t="shared" ref="AV31" si="28">+AT31-AD31</f>
        <v>196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539" t="str">
        <f t="shared" si="26"/>
        <v>ATENAS-203645</v>
      </c>
      <c r="H32" s="411"/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448">
        <v>8</v>
      </c>
      <c r="N32" s="448">
        <v>8</v>
      </c>
      <c r="O32" s="448">
        <v>8</v>
      </c>
      <c r="P32" s="448">
        <v>8</v>
      </c>
      <c r="Q32" s="448">
        <v>10</v>
      </c>
      <c r="R32" s="448">
        <v>10</v>
      </c>
      <c r="S32" s="448">
        <v>10</v>
      </c>
      <c r="T32" s="448">
        <v>10</v>
      </c>
      <c r="U32" s="448">
        <v>10</v>
      </c>
      <c r="V32" s="448"/>
      <c r="W32" s="448"/>
      <c r="X32" s="160">
        <f t="shared" ref="X32" si="29">+IF(H32="l",IF(COUNTA(M31:W31)=AK33+0.25,AA31-K31*AK33,AA31-(K31*COUNTA(M31:W31))),IF(H32="s",0,IF(COUNTA(M31:W31)=AK33+0.25,SUMIF($C:$C,B31,$AA:$AA)-K31*AK33,SUMIF($C:$C,B31,$AA:$AA)-K31*COUNTA(M31:W31))))</f>
        <v>-215.25</v>
      </c>
      <c r="Y32" s="466"/>
      <c r="Z32" s="534"/>
      <c r="AA32" s="462">
        <f t="shared" si="11"/>
        <v>79.5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79.5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539" t="str">
        <f t="shared" si="26"/>
        <v>ATENAS-203645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60.602127659574464</v>
      </c>
      <c r="Z33" s="371">
        <f>+IF(COUNTA(M31:W31)=$AJ$4+0.25,$AJ$4-(AA31/K31),COUNTA(M31:W31)-(AA31/K31))+Y33</f>
        <v>65.181914893617019</v>
      </c>
      <c r="AA33" s="465">
        <f t="shared" si="11"/>
        <v>0</v>
      </c>
      <c r="AB33" s="367"/>
      <c r="AC33" s="367"/>
      <c r="AD33" s="368">
        <f>+IFERROR(AD31/(K31*$AQ$3),"")</f>
        <v>0.47659574468085109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0.95319148936170217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40" t="s">
        <v>481</v>
      </c>
      <c r="H34" s="106"/>
      <c r="I34" s="111"/>
      <c r="J34" s="107" t="s">
        <v>20</v>
      </c>
      <c r="K34" s="108" t="s">
        <v>23</v>
      </c>
      <c r="L34" s="100" t="s">
        <v>21</v>
      </c>
      <c r="M34" s="448">
        <v>120</v>
      </c>
      <c r="N34" s="448">
        <v>120</v>
      </c>
      <c r="O34" s="448">
        <v>120</v>
      </c>
      <c r="P34" s="448"/>
      <c r="Q34" s="448"/>
      <c r="R34" s="448">
        <v>60</v>
      </c>
      <c r="S34" s="448"/>
      <c r="T34" s="448"/>
      <c r="U34" s="448"/>
      <c r="V34" s="448"/>
      <c r="W34" s="448"/>
      <c r="X34" s="447">
        <f t="shared" si="5"/>
        <v>420</v>
      </c>
      <c r="Y34" s="466">
        <v>0</v>
      </c>
      <c r="Z34" s="533">
        <f>+X36</f>
        <v>-525</v>
      </c>
      <c r="AA34" s="447">
        <f t="shared" si="6"/>
        <v>420</v>
      </c>
      <c r="AB34" s="343">
        <f>+AC34+AA34</f>
        <v>1020</v>
      </c>
      <c r="AC34" s="343">
        <v>600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480</v>
      </c>
      <c r="E35" s="111"/>
      <c r="F35" s="111" t="s">
        <v>35</v>
      </c>
      <c r="G35" s="541" t="str">
        <f t="shared" ref="G35:G37" si="30">+G34</f>
        <v>2396-593-600</v>
      </c>
      <c r="H35" s="111"/>
      <c r="I35" s="111" t="s">
        <v>33</v>
      </c>
      <c r="J35" s="113">
        <v>38.82</v>
      </c>
      <c r="K35" s="130">
        <v>60</v>
      </c>
      <c r="L35" s="101" t="s">
        <v>17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0</v>
      </c>
      <c r="T35" s="214">
        <v>0</v>
      </c>
      <c r="U35" s="214">
        <v>0</v>
      </c>
      <c r="V35" s="214"/>
      <c r="W35" s="214"/>
      <c r="X35" s="123">
        <f t="shared" ref="X35" si="31">+IF(H36="s",0,IF(AA35=0,0,IF(COUNTA(M35:W35)=AK37+0.25,SUMIF($C:$C,B35,$AA:$AA)/AK37,SUMIF($C:$C,B35,$AA:$AA)/(COUNTA(M35:W35)))))</f>
        <v>0</v>
      </c>
      <c r="Y35" s="466"/>
      <c r="Z35" s="534"/>
      <c r="AA35" s="134">
        <f t="shared" si="6"/>
        <v>0</v>
      </c>
      <c r="AB35" s="354">
        <f>+AA35+AC35</f>
        <v>0</v>
      </c>
      <c r="AC35" s="354">
        <v>0</v>
      </c>
      <c r="AD35" s="355">
        <f>+AB34-AB35</f>
        <v>1020</v>
      </c>
      <c r="AE35" s="131">
        <f>+IF(((AA36+(AA37/2))*60)=0,"",(J35*AA35)/((AA36+(AA37/2))*60))</f>
        <v>0</v>
      </c>
      <c r="AF35" s="347">
        <f>+AA36+AA37/2</f>
        <v>411.25</v>
      </c>
      <c r="AG35" s="347">
        <f t="shared" si="2"/>
        <v>411.15</v>
      </c>
      <c r="AH35" s="341">
        <f t="shared" si="3"/>
        <v>24675</v>
      </c>
      <c r="AI35" s="341">
        <f>+AA35*J35</f>
        <v>0</v>
      </c>
      <c r="AJ35" s="356">
        <f>+AA35-(AF35*K35/K37)</f>
        <v>-573.83720930232562</v>
      </c>
      <c r="AK35" s="348"/>
      <c r="AL35" s="349"/>
      <c r="AM35" s="341"/>
      <c r="AN35" s="341"/>
      <c r="AO35" s="341"/>
      <c r="AP35" s="341"/>
      <c r="AQ35" s="339">
        <f>-360+AA34</f>
        <v>60</v>
      </c>
      <c r="AR35" s="434">
        <v>1.5</v>
      </c>
      <c r="AT35" s="390">
        <v>600</v>
      </c>
      <c r="AV35" s="390">
        <f t="shared" ref="AV35" si="32">+AT35-AD35</f>
        <v>-420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41" t="str">
        <f t="shared" si="30"/>
        <v>2396-593-600</v>
      </c>
      <c r="H36" s="411" t="s">
        <v>412</v>
      </c>
      <c r="I36" s="113">
        <f>+IFERROR(IF(K37=0,0,IF((LOOKUP(2,1/(M36:W36&lt;&gt;""),M36:W36)-K37)&lt;0,0,IF(K37=0,"",LOOKUP(2,1/(M36:W36&lt;&gt;""),M36:W36)-K37))),0)</f>
        <v>4</v>
      </c>
      <c r="J36" s="113">
        <v>0</v>
      </c>
      <c r="K36" s="114" t="s">
        <v>22</v>
      </c>
      <c r="L36" s="102" t="s">
        <v>18</v>
      </c>
      <c r="M36" s="448">
        <f>55-8</f>
        <v>47</v>
      </c>
      <c r="N36" s="448">
        <f>55-8</f>
        <v>47</v>
      </c>
      <c r="O36" s="448">
        <f>55-8</f>
        <v>47</v>
      </c>
      <c r="P36" s="448">
        <f>55-8</f>
        <v>47</v>
      </c>
      <c r="Q36" s="448">
        <v>47</v>
      </c>
      <c r="R36" s="448">
        <v>47</v>
      </c>
      <c r="S36" s="448">
        <v>47</v>
      </c>
      <c r="T36" s="448">
        <v>47</v>
      </c>
      <c r="U36" s="448">
        <v>47</v>
      </c>
      <c r="V36" s="448"/>
      <c r="W36" s="448"/>
      <c r="X36" s="160">
        <f t="shared" ref="X36" si="33">+IF(H36="l",IF(COUNTA(M35:W35)=AK37+0.25,AA35-K35*AK37,AA35-(K35*COUNTA(M35:W35))),IF(H36="s",0,IF(COUNTA(M35:W35)=AK37+0.25,SUMIF($C:$C,B35,$AA:$AA)-K35*AK37,SUMIF($C:$C,B35,$AA:$AA)-K35*COUNTA(M35:W35))))</f>
        <v>-525</v>
      </c>
      <c r="Y36" s="466"/>
      <c r="Z36" s="534"/>
      <c r="AA36" s="462">
        <f t="shared" si="11"/>
        <v>411.25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411.25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42" t="str">
        <f t="shared" si="30"/>
        <v>2396-593-600</v>
      </c>
      <c r="H37" s="117"/>
      <c r="I37" s="442"/>
      <c r="J37" s="165">
        <f>+IF(K37="","",IF(K35=0,"",(K35*J35)/(K37*60)))</f>
        <v>0.90279069767441855</v>
      </c>
      <c r="K37" s="118">
        <v>43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0</v>
      </c>
      <c r="Z37" s="371">
        <f>+IF(COUNTA(M35:W35)=$AJ$4+0.25,$AJ$4-(AA35/K35),COUNTA(M35:W35)-(AA35/K35))+Y37</f>
        <v>8.75</v>
      </c>
      <c r="AA37" s="465">
        <f t="shared" si="11"/>
        <v>0</v>
      </c>
      <c r="AB37" s="367"/>
      <c r="AC37" s="367"/>
      <c r="AD37" s="368">
        <f>+IFERROR(AD35/(K35*$AQ$3),"")</f>
        <v>1.9428571428571428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1.4589665653495441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540" t="s">
        <v>442</v>
      </c>
      <c r="H38" s="106"/>
      <c r="I38" s="111"/>
      <c r="J38" s="107" t="s">
        <v>20</v>
      </c>
      <c r="K38" s="108">
        <v>0</v>
      </c>
      <c r="L38" s="100" t="s">
        <v>21</v>
      </c>
      <c r="M38" s="448">
        <v>60</v>
      </c>
      <c r="N38" s="448">
        <v>60</v>
      </c>
      <c r="O38" s="448">
        <v>60</v>
      </c>
      <c r="P38" s="448"/>
      <c r="Q38" s="448">
        <v>60</v>
      </c>
      <c r="R38" s="448">
        <v>120</v>
      </c>
      <c r="S38" s="448"/>
      <c r="T38" s="448">
        <v>60</v>
      </c>
      <c r="U38" s="448"/>
      <c r="V38" s="448"/>
      <c r="W38" s="448"/>
      <c r="X38" s="447">
        <f t="shared" si="5"/>
        <v>420</v>
      </c>
      <c r="Y38" s="466">
        <v>7</v>
      </c>
      <c r="Z38" s="533">
        <f>+X40</f>
        <v>-42.75</v>
      </c>
      <c r="AA38" s="447">
        <f t="shared" si="6"/>
        <v>420</v>
      </c>
      <c r="AB38" s="343">
        <f>+AC38+AA38</f>
        <v>2460</v>
      </c>
      <c r="AC38" s="343">
        <v>2040</v>
      </c>
      <c r="AD38" s="344"/>
      <c r="AE38" s="345"/>
      <c r="AF38" s="346"/>
      <c r="AG38" s="347">
        <f t="shared" si="2"/>
        <v>0</v>
      </c>
      <c r="AH38" s="341">
        <f t="shared" si="3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441</v>
      </c>
      <c r="E39" s="111"/>
      <c r="F39" s="111" t="s">
        <v>35</v>
      </c>
      <c r="G39" s="541" t="str">
        <f t="shared" ref="G39:G41" si="34">+G38</f>
        <v>2259-600-730</v>
      </c>
      <c r="H39" s="111"/>
      <c r="I39" s="111" t="s">
        <v>33</v>
      </c>
      <c r="J39" s="113">
        <v>34.450000000000003</v>
      </c>
      <c r="K39" s="130">
        <v>61</v>
      </c>
      <c r="L39" s="101" t="s">
        <v>17</v>
      </c>
      <c r="M39" s="214">
        <v>52</v>
      </c>
      <c r="N39" s="214">
        <v>60</v>
      </c>
      <c r="O39" s="214">
        <v>61</v>
      </c>
      <c r="P39" s="214">
        <v>61</v>
      </c>
      <c r="Q39" s="214">
        <v>61</v>
      </c>
      <c r="R39" s="214">
        <v>61</v>
      </c>
      <c r="S39" s="214">
        <v>61</v>
      </c>
      <c r="T39" s="214">
        <v>56</v>
      </c>
      <c r="U39" s="214">
        <v>18</v>
      </c>
      <c r="V39" s="214"/>
      <c r="W39" s="214"/>
      <c r="X39" s="123">
        <f t="shared" ref="X39" si="35">+IF(H40="s",0,IF(AA39=0,0,IF(COUNTA(M39:W39)=AK41+0.25,SUMIF($C:$C,B39,$AA:$AA)/AK41,SUMIF($C:$C,B39,$AA:$AA)/(COUNTA(M39:W39)))))</f>
        <v>56.114285714285714</v>
      </c>
      <c r="Y39" s="466"/>
      <c r="Z39" s="534"/>
      <c r="AA39" s="134">
        <f t="shared" si="6"/>
        <v>491</v>
      </c>
      <c r="AB39" s="354">
        <f>+AA39+AC39</f>
        <v>1728</v>
      </c>
      <c r="AC39" s="354">
        <v>1237</v>
      </c>
      <c r="AD39" s="355">
        <f>+AB38-AB39</f>
        <v>732</v>
      </c>
      <c r="AE39" s="131">
        <f>+IF(((AA40+(AA41/2))*60)=0,"",(J39*AA39)/((AA40+(AA41/2))*60))</f>
        <v>0.81566968053044009</v>
      </c>
      <c r="AF39" s="347">
        <f>+AA40+AA41/2</f>
        <v>345.625</v>
      </c>
      <c r="AG39" s="347">
        <f t="shared" si="2"/>
        <v>345.375</v>
      </c>
      <c r="AH39" s="341">
        <f t="shared" si="3"/>
        <v>20737.5</v>
      </c>
      <c r="AI39" s="341">
        <f>+AA39*J39</f>
        <v>16914.95</v>
      </c>
      <c r="AJ39" s="356">
        <f>+AA39-(AF39*K39/K41)</f>
        <v>-63.819078947368439</v>
      </c>
      <c r="AK39" s="348"/>
      <c r="AL39" s="349"/>
      <c r="AM39" s="341"/>
      <c r="AN39" s="341"/>
      <c r="AO39" s="341"/>
      <c r="AP39" s="341"/>
      <c r="AQ39" s="339">
        <f>-420+AA38</f>
        <v>0</v>
      </c>
      <c r="AR39" s="434">
        <v>1.3</v>
      </c>
      <c r="AT39" s="390">
        <v>803</v>
      </c>
      <c r="AV39" s="390">
        <f t="shared" ref="AV39" si="36">+AT39-AD39</f>
        <v>71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541" t="str">
        <f t="shared" si="34"/>
        <v>2259-600-730</v>
      </c>
      <c r="H40" s="411" t="s">
        <v>413</v>
      </c>
      <c r="I40" s="113">
        <f>+IFERROR(IF(K41=0,0,IF((LOOKUP(2,1/(M40:W40&lt;&gt;""),M40:W40)-K41)&lt;0,0,IF(K41=0,"",LOOKUP(2,1/(M40:W40&lt;&gt;""),M40:W40)-K41))),0)</f>
        <v>1</v>
      </c>
      <c r="J40" s="113">
        <v>0</v>
      </c>
      <c r="K40" s="114" t="s">
        <v>22</v>
      </c>
      <c r="L40" s="102" t="s">
        <v>18</v>
      </c>
      <c r="M40" s="448">
        <v>39</v>
      </c>
      <c r="N40" s="448">
        <v>39</v>
      </c>
      <c r="O40" s="448">
        <v>39</v>
      </c>
      <c r="P40" s="448">
        <v>39</v>
      </c>
      <c r="Q40" s="448">
        <v>39</v>
      </c>
      <c r="R40" s="448">
        <v>39</v>
      </c>
      <c r="S40" s="448">
        <v>39</v>
      </c>
      <c r="T40" s="448">
        <v>39</v>
      </c>
      <c r="U40" s="448">
        <v>39</v>
      </c>
      <c r="V40" s="448"/>
      <c r="W40" s="448"/>
      <c r="X40" s="160">
        <f t="shared" ref="X40" si="37">+IF(H40="l",IF(COUNTA(M39:W39)=AK41+0.25,AA39-K39*AK41,AA39-(K39*COUNTA(M39:W39))),IF(H40="s",0,IF(COUNTA(M39:W39)=AK41+0.25,SUMIF($C:$C,B39,$AA:$AA)-K39*AK41,SUMIF($C:$C,B39,$AA:$AA)-K39*COUNTA(M39:W39))))</f>
        <v>-42.75</v>
      </c>
      <c r="Y40" s="466"/>
      <c r="Z40" s="534"/>
      <c r="AA40" s="462">
        <f t="shared" si="11"/>
        <v>341.25</v>
      </c>
      <c r="AB40" s="360"/>
      <c r="AC40" s="360"/>
      <c r="AD40" s="362"/>
      <c r="AE40" s="363"/>
      <c r="AF40" s="346"/>
      <c r="AG40" s="347">
        <f t="shared" si="2"/>
        <v>0</v>
      </c>
      <c r="AH40" s="341">
        <f t="shared" si="3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341.25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542" t="str">
        <f t="shared" si="34"/>
        <v>2259-600-730</v>
      </c>
      <c r="H41" s="117"/>
      <c r="I41" s="442"/>
      <c r="J41" s="165">
        <f>+IF(K41="","",IF(K39=0,"",(K39*J39)/(K41*60)))</f>
        <v>0.92168859649122814</v>
      </c>
      <c r="K41" s="118">
        <v>38</v>
      </c>
      <c r="L41" s="104" t="s">
        <v>19</v>
      </c>
      <c r="M41" s="216">
        <v>1</v>
      </c>
      <c r="N41" s="216">
        <v>1</v>
      </c>
      <c r="O41" s="216">
        <v>1</v>
      </c>
      <c r="P41" s="216">
        <v>1</v>
      </c>
      <c r="Q41" s="216">
        <v>1</v>
      </c>
      <c r="R41" s="216">
        <v>1</v>
      </c>
      <c r="S41" s="216">
        <v>1</v>
      </c>
      <c r="T41" s="216">
        <v>1</v>
      </c>
      <c r="U41" s="216">
        <v>1</v>
      </c>
      <c r="V41" s="216"/>
      <c r="W41" s="216"/>
      <c r="X41" s="173"/>
      <c r="Y41" s="467">
        <v>14.213333333333335</v>
      </c>
      <c r="Z41" s="365">
        <v>14.213333333333335</v>
      </c>
      <c r="AA41" s="465">
        <f t="shared" si="11"/>
        <v>8.75</v>
      </c>
      <c r="AB41" s="367"/>
      <c r="AC41" s="367"/>
      <c r="AD41" s="368">
        <f>+IFERROR(AD39/(K39*$AQ$3),"")</f>
        <v>1.3714285714285714</v>
      </c>
      <c r="AE41" s="369"/>
      <c r="AF41" s="347"/>
      <c r="AG41" s="347">
        <f t="shared" si="2"/>
        <v>0</v>
      </c>
      <c r="AH41" s="341">
        <f t="shared" si="3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8.75</v>
      </c>
      <c r="AM41" s="341">
        <f>+AL41-AA41</f>
        <v>0</v>
      </c>
      <c r="AN41" s="341"/>
      <c r="AO41" s="341"/>
      <c r="AP41" s="341"/>
      <c r="AQ41" s="369"/>
      <c r="AR41" s="434"/>
      <c r="AT41" s="390">
        <v>1.5295238095238095</v>
      </c>
      <c r="AV41" s="390"/>
    </row>
    <row r="42" spans="2:58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540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48">
        <v>60</v>
      </c>
      <c r="N42" s="448">
        <v>60</v>
      </c>
      <c r="O42" s="448">
        <v>60</v>
      </c>
      <c r="P42" s="448">
        <v>60</v>
      </c>
      <c r="Q42" s="448">
        <v>60</v>
      </c>
      <c r="R42" s="448">
        <v>120</v>
      </c>
      <c r="S42" s="448">
        <v>60</v>
      </c>
      <c r="T42" s="448"/>
      <c r="U42" s="473"/>
      <c r="V42" s="448"/>
      <c r="W42" s="448"/>
      <c r="X42" s="447">
        <f t="shared" si="5"/>
        <v>480</v>
      </c>
      <c r="Y42" s="466">
        <v>-95</v>
      </c>
      <c r="Z42" s="533">
        <f>+X44</f>
        <v>-40.75</v>
      </c>
      <c r="AA42" s="447">
        <f t="shared" si="6"/>
        <v>480</v>
      </c>
      <c r="AB42" s="343">
        <f>+AC42+AA42</f>
        <v>1800</v>
      </c>
      <c r="AC42" s="343">
        <v>1320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7</v>
      </c>
      <c r="C43" s="406">
        <f>+B43</f>
        <v>7</v>
      </c>
      <c r="D43" s="407" t="s">
        <v>441</v>
      </c>
      <c r="E43" s="111"/>
      <c r="F43" s="111" t="s">
        <v>35</v>
      </c>
      <c r="G43" s="541" t="str">
        <f t="shared" ref="G43:G45" si="38">+G42</f>
        <v>2259-600-730</v>
      </c>
      <c r="H43" s="111"/>
      <c r="I43" s="111" t="s">
        <v>33</v>
      </c>
      <c r="J43" s="113">
        <v>34.450000000000003</v>
      </c>
      <c r="K43" s="130">
        <v>61</v>
      </c>
      <c r="L43" s="101" t="s">
        <v>17</v>
      </c>
      <c r="M43" s="214">
        <v>61</v>
      </c>
      <c r="N43" s="214">
        <v>61</v>
      </c>
      <c r="O43" s="214">
        <v>61</v>
      </c>
      <c r="P43" s="214">
        <v>56</v>
      </c>
      <c r="Q43" s="214">
        <v>61</v>
      </c>
      <c r="R43" s="214">
        <v>61</v>
      </c>
      <c r="S43" s="214">
        <v>62</v>
      </c>
      <c r="T43" s="214">
        <v>39</v>
      </c>
      <c r="U43" s="214">
        <v>31</v>
      </c>
      <c r="V43" s="214"/>
      <c r="W43" s="214"/>
      <c r="X43" s="123">
        <f t="shared" ref="X43" si="39">+IF(H44="s",0,IF(AA43=0,0,IF(COUNTA(M43:W43)=AK45+0.25,SUMIF($C:$C,B43,$AA:$AA)/AK45,SUMIF($C:$C,B43,$AA:$AA)/(COUNTA(M43:W43)))))</f>
        <v>56.342857142857142</v>
      </c>
      <c r="Y43" s="466"/>
      <c r="Z43" s="534"/>
      <c r="AA43" s="134">
        <f t="shared" si="6"/>
        <v>493</v>
      </c>
      <c r="AB43" s="354">
        <f>+AA43+AC43</f>
        <v>978</v>
      </c>
      <c r="AC43" s="354">
        <v>485</v>
      </c>
      <c r="AD43" s="355">
        <f>+AB42-AB43</f>
        <v>822</v>
      </c>
      <c r="AE43" s="131">
        <f>+IF(((AA44+(AA45/2))*60)=0,"",(J43*AA43)/((AA44+(AA45/2))*60))</f>
        <v>0.82949206349206361</v>
      </c>
      <c r="AF43" s="347">
        <f>+AA44+AA45/2</f>
        <v>341.25</v>
      </c>
      <c r="AG43" s="347">
        <f t="shared" si="2"/>
        <v>341.15</v>
      </c>
      <c r="AH43" s="341">
        <f t="shared" si="3"/>
        <v>20475</v>
      </c>
      <c r="AI43" s="341">
        <f>+AA43*J43</f>
        <v>16983.850000000002</v>
      </c>
      <c r="AJ43" s="356">
        <f>+AA43-(AF43*K43/K45)</f>
        <v>-54.796052631578959</v>
      </c>
      <c r="AK43" s="348"/>
      <c r="AL43" s="349"/>
      <c r="AM43" s="341"/>
      <c r="AN43" s="341"/>
      <c r="AO43" s="341"/>
      <c r="AP43" s="341"/>
      <c r="AQ43" s="339">
        <f>-480+AA42</f>
        <v>0</v>
      </c>
      <c r="AR43" s="434">
        <v>1.5</v>
      </c>
      <c r="AT43" s="390">
        <v>835</v>
      </c>
      <c r="AV43" s="390">
        <f t="shared" ref="AV43" si="40">+AT43-AD43</f>
        <v>13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541" t="str">
        <f t="shared" si="38"/>
        <v>2259-600-730</v>
      </c>
      <c r="H44" s="411" t="s">
        <v>413</v>
      </c>
      <c r="I44" s="113">
        <f>+IFERROR(IF(K45=0,0,IF((LOOKUP(2,1/(M44:W44&lt;&gt;""),M44:W44)-K45)&lt;0,0,IF(K45=0,"",LOOKUP(2,1/(M44:W44&lt;&gt;""),M44:W44)-K45))),0)</f>
        <v>1</v>
      </c>
      <c r="J44" s="113">
        <v>1</v>
      </c>
      <c r="K44" s="114" t="s">
        <v>22</v>
      </c>
      <c r="L44" s="102" t="s">
        <v>18</v>
      </c>
      <c r="M44" s="448">
        <v>39</v>
      </c>
      <c r="N44" s="448">
        <v>39</v>
      </c>
      <c r="O44" s="448">
        <v>39</v>
      </c>
      <c r="P44" s="448">
        <v>39</v>
      </c>
      <c r="Q44" s="448">
        <v>39</v>
      </c>
      <c r="R44" s="448">
        <v>39</v>
      </c>
      <c r="S44" s="448">
        <v>39</v>
      </c>
      <c r="T44" s="448">
        <v>39</v>
      </c>
      <c r="U44" s="448">
        <v>39</v>
      </c>
      <c r="V44" s="448"/>
      <c r="W44" s="448"/>
      <c r="X44" s="160">
        <f t="shared" ref="X44" si="41">+IF(H44="l",IF(COUNTA(M43:W43)=AK45+0.25,AA43-K43*AK45,AA43-(K43*COUNTA(M43:W43))),IF(H44="s",0,IF(COUNTA(M43:W43)=AK45+0.25,SUMIF($C:$C,B43,$AA:$AA)-K43*AK45,SUMIF($C:$C,B43,$AA:$AA)-K43*COUNTA(M43:W43))))</f>
        <v>-40.75</v>
      </c>
      <c r="Y44" s="466"/>
      <c r="Z44" s="534"/>
      <c r="AA44" s="462">
        <f t="shared" si="11"/>
        <v>341.25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341.25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542" t="str">
        <f t="shared" si="38"/>
        <v>2259-600-730</v>
      </c>
      <c r="H45" s="117"/>
      <c r="I45" s="442"/>
      <c r="J45" s="165">
        <f>+IF(K45="","",IF(K43=0,"",(K43*J43)/(K45*60)))</f>
        <v>0.92168859649122814</v>
      </c>
      <c r="K45" s="118">
        <v>38</v>
      </c>
      <c r="L45" s="104" t="s">
        <v>19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14.724366666666665</v>
      </c>
      <c r="Z45" s="371">
        <f>+IF(COUNTA(M43:W43)=$AJ$4+0.25,$AJ$4-(AA43/K43),COUNTA(M43:W43)-(AA43/K43))+Y45</f>
        <v>15.39239945355191</v>
      </c>
      <c r="AA45" s="465">
        <f t="shared" si="11"/>
        <v>0</v>
      </c>
      <c r="AB45" s="367"/>
      <c r="AC45" s="367"/>
      <c r="AD45" s="368">
        <f>+IFERROR(AD43/(K43*$AQ$3),"")</f>
        <v>1.5400468384074941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1.5904761904761904</v>
      </c>
      <c r="AV45" s="390"/>
    </row>
    <row r="46" spans="2:58" s="98" customFormat="1" ht="62.25" customHeight="1" thickTop="1" x14ac:dyDescent="0.9">
      <c r="B46" s="342">
        <f>+B47</f>
        <v>8</v>
      </c>
      <c r="C46" s="405"/>
      <c r="D46" s="106"/>
      <c r="E46" s="106"/>
      <c r="F46" s="106"/>
      <c r="G46" s="539" t="s">
        <v>432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180</v>
      </c>
      <c r="N46" s="448">
        <v>180</v>
      </c>
      <c r="O46" s="448">
        <v>60</v>
      </c>
      <c r="P46" s="448"/>
      <c r="Q46" s="448"/>
      <c r="R46" s="448"/>
      <c r="S46" s="448"/>
      <c r="T46" s="448"/>
      <c r="U46" s="448"/>
      <c r="V46" s="448"/>
      <c r="W46" s="448"/>
      <c r="X46" s="447">
        <f t="shared" si="5"/>
        <v>420</v>
      </c>
      <c r="Y46" s="466">
        <v>0.75</v>
      </c>
      <c r="Z46" s="533">
        <f>+X48</f>
        <v>0.25</v>
      </c>
      <c r="AA46" s="447">
        <f t="shared" si="6"/>
        <v>420</v>
      </c>
      <c r="AB46" s="343">
        <f>+AC46+AA46</f>
        <v>4741</v>
      </c>
      <c r="AC46" s="343">
        <v>4321</v>
      </c>
      <c r="AD46" s="344"/>
      <c r="AE46" s="345"/>
      <c r="AF46" s="346"/>
      <c r="AG46" s="347">
        <f t="shared" si="2"/>
        <v>0</v>
      </c>
      <c r="AH46" s="341">
        <f t="shared" si="3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0.9">
      <c r="B47" s="351">
        <v>8</v>
      </c>
      <c r="C47" s="406">
        <f>+B47</f>
        <v>8</v>
      </c>
      <c r="D47" s="407" t="s">
        <v>431</v>
      </c>
      <c r="E47" s="111"/>
      <c r="F47" s="111" t="s">
        <v>35</v>
      </c>
      <c r="G47" s="539" t="str">
        <f t="shared" ref="G47:G49" si="42">+G46</f>
        <v>2158-755-712</v>
      </c>
      <c r="H47" s="111"/>
      <c r="I47" s="111" t="s">
        <v>33</v>
      </c>
      <c r="J47" s="113">
        <v>51.42</v>
      </c>
      <c r="K47" s="130">
        <v>53</v>
      </c>
      <c r="L47" s="101" t="s">
        <v>17</v>
      </c>
      <c r="M47" s="214">
        <v>53</v>
      </c>
      <c r="N47" s="214">
        <v>42</v>
      </c>
      <c r="O47" s="214">
        <v>64</v>
      </c>
      <c r="P47" s="214">
        <v>53</v>
      </c>
      <c r="Q47" s="214">
        <v>53</v>
      </c>
      <c r="R47" s="214">
        <v>53</v>
      </c>
      <c r="S47" s="214">
        <v>53</v>
      </c>
      <c r="T47" s="214">
        <v>53</v>
      </c>
      <c r="U47" s="214">
        <v>40</v>
      </c>
      <c r="V47" s="214"/>
      <c r="W47" s="214"/>
      <c r="X47" s="123">
        <f t="shared" ref="X47" si="43">+IF(H48="s",0,IF(AA47=0,0,IF(COUNTA(M47:W47)=AK49+0.25,SUMIF($C:$C,B47,$AA:$AA)/AK49,SUMIF($C:$C,B47,$AA:$AA)/(COUNTA(M47:W47)))))</f>
        <v>53.028571428571432</v>
      </c>
      <c r="Y47" s="466"/>
      <c r="Z47" s="534"/>
      <c r="AA47" s="134">
        <f t="shared" si="6"/>
        <v>464</v>
      </c>
      <c r="AB47" s="354">
        <f>+AA47+AC47</f>
        <v>4000</v>
      </c>
      <c r="AC47" s="354">
        <v>3536</v>
      </c>
      <c r="AD47" s="355">
        <f>+AB46-AB47</f>
        <v>741</v>
      </c>
      <c r="AE47" s="131">
        <f>+IF(((AA48+(AA49/2))*60)=0,"",(J47*AA47)/((AA48+(AA49/2))*60))</f>
        <v>0.8739516483516484</v>
      </c>
      <c r="AF47" s="347">
        <f>+AA48+AA49/2</f>
        <v>455</v>
      </c>
      <c r="AG47" s="347">
        <f t="shared" si="2"/>
        <v>455</v>
      </c>
      <c r="AH47" s="341">
        <f t="shared" si="3"/>
        <v>27300</v>
      </c>
      <c r="AI47" s="341">
        <f>+AA47*J47</f>
        <v>23858.880000000001</v>
      </c>
      <c r="AJ47" s="356">
        <f>+AA47-(AF47*K47/K49)</f>
        <v>-8.8431372549019329</v>
      </c>
      <c r="AK47" s="348"/>
      <c r="AL47" s="349"/>
      <c r="AM47" s="341"/>
      <c r="AN47" s="341"/>
      <c r="AO47" s="341"/>
      <c r="AP47" s="341"/>
      <c r="AQ47" s="339">
        <f t="shared" si="9"/>
        <v>45.625</v>
      </c>
      <c r="AR47" s="434">
        <v>1.5</v>
      </c>
      <c r="AT47" s="390">
        <v>785</v>
      </c>
      <c r="AV47" s="390">
        <f t="shared" ref="AV47" si="44">+AT47-AD47</f>
        <v>44</v>
      </c>
    </row>
    <row r="48" spans="2:58" s="98" customFormat="1" ht="62.25" customHeight="1" x14ac:dyDescent="0.9">
      <c r="B48" s="357">
        <f>+B47</f>
        <v>8</v>
      </c>
      <c r="C48" s="408"/>
      <c r="D48" s="184"/>
      <c r="E48" s="111">
        <f>+B47</f>
        <v>8</v>
      </c>
      <c r="F48" s="409"/>
      <c r="G48" s="539" t="str">
        <f t="shared" si="42"/>
        <v>2158-755-712</v>
      </c>
      <c r="H48" s="411"/>
      <c r="I48" s="113">
        <f>+IFERROR(IF(K49=0,0,IF((LOOKUP(2,1/(M48:W48&lt;&gt;""),M48:W48)-K49)&lt;0,0,IF(K49=0,"",LOOKUP(2,1/(M48:W48&lt;&gt;""),M48:W48)-K49))),0)</f>
        <v>1</v>
      </c>
      <c r="J48" s="113"/>
      <c r="K48" s="114" t="s">
        <v>22</v>
      </c>
      <c r="L48" s="102" t="s">
        <v>18</v>
      </c>
      <c r="M48" s="448">
        <v>52</v>
      </c>
      <c r="N48" s="448">
        <v>52</v>
      </c>
      <c r="O48" s="448">
        <v>52</v>
      </c>
      <c r="P48" s="448">
        <v>52</v>
      </c>
      <c r="Q48" s="448">
        <v>52</v>
      </c>
      <c r="R48" s="448">
        <v>52</v>
      </c>
      <c r="S48" s="448">
        <v>52</v>
      </c>
      <c r="T48" s="448">
        <v>52</v>
      </c>
      <c r="U48" s="448">
        <v>52</v>
      </c>
      <c r="V48" s="448"/>
      <c r="W48" s="448"/>
      <c r="X48" s="160">
        <f t="shared" ref="X48" si="45">+IF(H48="l",IF(COUNTA(M47:W47)=AK49+0.25,AA47-K47*AK49,AA47-(K47*COUNTA(M47:W47))),IF(H48="s",0,IF(COUNTA(M47:W47)=AK49+0.25,SUMIF($C:$C,B47,$AA:$AA)-K47*AK49,SUMIF($C:$C,B47,$AA:$AA)-K47*COUNTA(M47:W47))))</f>
        <v>0.25</v>
      </c>
      <c r="Y48" s="466"/>
      <c r="Z48" s="534"/>
      <c r="AA48" s="462">
        <f t="shared" si="11"/>
        <v>455</v>
      </c>
      <c r="AB48" s="360"/>
      <c r="AC48" s="360"/>
      <c r="AD48" s="362"/>
      <c r="AE48" s="363"/>
      <c r="AF48" s="346"/>
      <c r="AG48" s="347">
        <f t="shared" si="2"/>
        <v>0</v>
      </c>
      <c r="AH48" s="341">
        <f t="shared" si="3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455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64">
        <f>+B47</f>
        <v>8</v>
      </c>
      <c r="C49" s="410"/>
      <c r="D49" s="174" t="s">
        <v>373</v>
      </c>
      <c r="E49" s="175">
        <f>+E48+100</f>
        <v>108</v>
      </c>
      <c r="F49" s="175"/>
      <c r="G49" s="539" t="str">
        <f t="shared" si="42"/>
        <v>2158-755-712</v>
      </c>
      <c r="H49" s="117"/>
      <c r="I49" s="442"/>
      <c r="J49" s="165">
        <f>+IF(K49="","",IF(K47=0,"",(K47*J47)/(K49*60)))</f>
        <v>0.89060784313725494</v>
      </c>
      <c r="K49" s="118">
        <v>51</v>
      </c>
      <c r="L49" s="104" t="s">
        <v>422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12.75</v>
      </c>
      <c r="Z49" s="365">
        <v>12.75</v>
      </c>
      <c r="AA49" s="465">
        <f t="shared" si="11"/>
        <v>0</v>
      </c>
      <c r="AB49" s="367"/>
      <c r="AC49" s="367"/>
      <c r="AD49" s="368">
        <f>+IFERROR(AD47/(K47*$AQ$3),"")</f>
        <v>1.597843665768194</v>
      </c>
      <c r="AE49" s="369"/>
      <c r="AF49" s="347"/>
      <c r="AG49" s="347">
        <f t="shared" si="2"/>
        <v>0</v>
      </c>
      <c r="AH49" s="341">
        <f t="shared" si="3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1.692722371967655</v>
      </c>
      <c r="AV49" s="390"/>
    </row>
    <row r="50" spans="2:58" s="98" customFormat="1" ht="62.25" customHeight="1" thickTop="1" x14ac:dyDescent="0.9">
      <c r="B50" s="342">
        <f>+B51</f>
        <v>11</v>
      </c>
      <c r="C50" s="405"/>
      <c r="D50" s="106"/>
      <c r="E50" s="106"/>
      <c r="F50" s="106"/>
      <c r="G50" s="540" t="s">
        <v>435</v>
      </c>
      <c r="H50" s="106"/>
      <c r="I50" s="106"/>
      <c r="J50" s="107" t="s">
        <v>20</v>
      </c>
      <c r="K50" s="108" t="s">
        <v>23</v>
      </c>
      <c r="L50" s="100" t="s">
        <v>21</v>
      </c>
      <c r="M50" s="448"/>
      <c r="N50" s="448"/>
      <c r="O50" s="448"/>
      <c r="P50" s="448"/>
      <c r="Q50" s="448"/>
      <c r="R50" s="448"/>
      <c r="S50" s="448"/>
      <c r="T50" s="448"/>
      <c r="U50" s="448"/>
      <c r="V50" s="448"/>
      <c r="W50" s="448"/>
      <c r="X50" s="447" t="str">
        <f t="shared" si="5"/>
        <v/>
      </c>
      <c r="Y50" s="466">
        <v>0</v>
      </c>
      <c r="Z50" s="533">
        <f>+X52</f>
        <v>0</v>
      </c>
      <c r="AA50" s="447">
        <f t="shared" si="6"/>
        <v>0</v>
      </c>
      <c r="AB50" s="343">
        <f>+AC50+AA50</f>
        <v>3475</v>
      </c>
      <c r="AC50" s="343">
        <v>3475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11</v>
      </c>
      <c r="C51" s="406">
        <f>+B51</f>
        <v>11</v>
      </c>
      <c r="D51" s="407" t="s">
        <v>436</v>
      </c>
      <c r="E51" s="111"/>
      <c r="F51" s="111" t="s">
        <v>35</v>
      </c>
      <c r="G51" s="541" t="str">
        <f t="shared" ref="G51:G53" si="46">+G50</f>
        <v>2076-780-803</v>
      </c>
      <c r="H51" s="111"/>
      <c r="I51" s="111" t="s">
        <v>38</v>
      </c>
      <c r="J51" s="113">
        <v>38.729999999999997</v>
      </c>
      <c r="K51" s="130">
        <v>58</v>
      </c>
      <c r="L51" s="101" t="s">
        <v>17</v>
      </c>
      <c r="M51" s="214"/>
      <c r="N51" s="214"/>
      <c r="O51" s="214"/>
      <c r="P51" s="214"/>
      <c r="Q51" s="214"/>
      <c r="R51" s="214"/>
      <c r="S51" s="214"/>
      <c r="T51" s="214"/>
      <c r="U51" s="214"/>
      <c r="V51" s="214"/>
      <c r="W51" s="214"/>
      <c r="X51" s="123">
        <f t="shared" ref="X51" si="47">+IF(H52="s",0,IF(AA51=0,0,IF(COUNTA(M51:W51)=AK53+0.25,SUMIF($C:$C,B51,$AA:$AA)/AK53,SUMIF($C:$C,B51,$AA:$AA)/(COUNTA(M51:W51)))))</f>
        <v>0</v>
      </c>
      <c r="Y51" s="466"/>
      <c r="Z51" s="534"/>
      <c r="AA51" s="134">
        <f t="shared" si="6"/>
        <v>0</v>
      </c>
      <c r="AB51" s="354">
        <f>+AA51+AC51</f>
        <v>3457</v>
      </c>
      <c r="AC51" s="354">
        <v>3457</v>
      </c>
      <c r="AD51" s="355">
        <f>+AB50-AB51</f>
        <v>18</v>
      </c>
      <c r="AE51" s="131" t="str">
        <f>+IF(((AA52+(AA53/2))*60)=0,"",(J51*AA51)/((AA52+(AA53/2))*60))</f>
        <v/>
      </c>
      <c r="AF51" s="347">
        <f>+AA52+AA53/2</f>
        <v>0</v>
      </c>
      <c r="AG51" s="347">
        <f t="shared" si="2"/>
        <v>0</v>
      </c>
      <c r="AH51" s="341">
        <f t="shared" si="3"/>
        <v>0</v>
      </c>
      <c r="AI51" s="341">
        <f>+AA51*J51</f>
        <v>0</v>
      </c>
      <c r="AJ51" s="356">
        <f>+AA51-(AF51*K51/K53)</f>
        <v>0</v>
      </c>
      <c r="AK51" s="348"/>
      <c r="AL51" s="349"/>
      <c r="AM51" s="341"/>
      <c r="AN51" s="341"/>
      <c r="AO51" s="341"/>
      <c r="AP51" s="341"/>
      <c r="AQ51" s="339" t="str">
        <f t="shared" si="9"/>
        <v/>
      </c>
      <c r="AR51" s="434"/>
      <c r="AT51" s="390">
        <v>18</v>
      </c>
      <c r="AV51" s="390">
        <f t="shared" ref="AV51" si="48">+AT51-AD51</f>
        <v>0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+B51</f>
        <v>11</v>
      </c>
      <c r="C52" s="408"/>
      <c r="D52" s="184"/>
      <c r="E52" s="111">
        <f>+B51</f>
        <v>11</v>
      </c>
      <c r="F52" s="412"/>
      <c r="G52" s="541" t="str">
        <f t="shared" si="46"/>
        <v>2076-780-803</v>
      </c>
      <c r="H52" s="411" t="s">
        <v>414</v>
      </c>
      <c r="I52" s="113">
        <f>+IFERROR(IF(K53=0,0,IF((LOOKUP(2,1/(M52:W52&lt;&gt;""),M52:W52)-K53)&lt;0,0,IF(K53=0,"",LOOKUP(2,1/(M52:W52&lt;&gt;""),M52:W52)-K53))),0)</f>
        <v>0</v>
      </c>
      <c r="J52" s="113">
        <v>1</v>
      </c>
      <c r="K52" s="114" t="s">
        <v>22</v>
      </c>
      <c r="L52" s="102" t="s">
        <v>18</v>
      </c>
      <c r="M52" s="448"/>
      <c r="N52" s="448"/>
      <c r="O52" s="448"/>
      <c r="P52" s="448"/>
      <c r="Q52" s="448"/>
      <c r="R52" s="448"/>
      <c r="S52" s="448"/>
      <c r="T52" s="448"/>
      <c r="U52" s="448"/>
      <c r="V52" s="448"/>
      <c r="W52" s="448"/>
      <c r="X52" s="160">
        <f t="shared" ref="X52" si="49">+IF(H52="l",IF(COUNTA(M51:W51)=AK53+0.25,AA51-K51*AK53,AA51-(K51*COUNTA(M51:W51))),IF(H52="s",0,IF(COUNTA(M51:W51)=AK53+0.25,SUMIF($C:$C,B51,$AA:$AA)-K51*AK53,SUMIF($C:$C,B51,$AA:$AA)-K51*COUNTA(M51:W51))))</f>
        <v>0</v>
      </c>
      <c r="Y52" s="466"/>
      <c r="Z52" s="534"/>
      <c r="AA52" s="462">
        <f t="shared" si="11"/>
        <v>0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0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11</v>
      </c>
      <c r="C53" s="410"/>
      <c r="D53" s="174" t="s">
        <v>418</v>
      </c>
      <c r="E53" s="175">
        <f>+E52+100</f>
        <v>111</v>
      </c>
      <c r="F53" s="175"/>
      <c r="G53" s="542" t="str">
        <f t="shared" si="46"/>
        <v>2076-780-803</v>
      </c>
      <c r="H53" s="117"/>
      <c r="I53" s="442"/>
      <c r="J53" s="165">
        <f>+IF(K53="","",IF(K51=0,"",(K51*J51)/(K53*60)))</f>
        <v>0.89140476190476181</v>
      </c>
      <c r="K53" s="118">
        <v>42</v>
      </c>
      <c r="L53" s="104" t="s">
        <v>422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>
        <v>36.353448275862071</v>
      </c>
      <c r="Z53" s="371">
        <f>+IF(COUNTA(M51:W51)=$AJ$4+0.25,$AJ$4-(AA51/K51),COUNTA(M51:W51)-(AA51/K51))+Y53</f>
        <v>36.353448275862071</v>
      </c>
      <c r="AA53" s="465">
        <f t="shared" si="11"/>
        <v>0</v>
      </c>
      <c r="AB53" s="367"/>
      <c r="AC53" s="367"/>
      <c r="AD53" s="368">
        <f>+IFERROR(AD51/(K51*$AQ$3),"")</f>
        <v>3.5467980295566505E-2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3.5467980295566505E-2</v>
      </c>
      <c r="AV53" s="390"/>
    </row>
    <row r="54" spans="2:58" s="98" customFormat="1" ht="62.25" customHeight="1" thickTop="1" x14ac:dyDescent="0.9">
      <c r="B54" s="342">
        <f>+B55</f>
        <v>11</v>
      </c>
      <c r="C54" s="405"/>
      <c r="D54" s="106"/>
      <c r="E54" s="106"/>
      <c r="F54" s="106"/>
      <c r="G54" s="540" t="s">
        <v>481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120</v>
      </c>
      <c r="N54" s="448">
        <v>120</v>
      </c>
      <c r="O54" s="448">
        <v>120</v>
      </c>
      <c r="P54" s="448"/>
      <c r="Q54" s="448"/>
      <c r="R54" s="448"/>
      <c r="S54" s="448"/>
      <c r="T54" s="448"/>
      <c r="U54" s="448"/>
      <c r="V54" s="448"/>
      <c r="W54" s="448"/>
      <c r="X54" s="447">
        <f t="shared" si="5"/>
        <v>360</v>
      </c>
      <c r="Y54" s="466">
        <v>-230</v>
      </c>
      <c r="Z54" s="533">
        <f>+X56</f>
        <v>-18</v>
      </c>
      <c r="AA54" s="447">
        <f t="shared" si="6"/>
        <v>360</v>
      </c>
      <c r="AB54" s="343">
        <f>+AC54+AA54</f>
        <v>1500</v>
      </c>
      <c r="AC54" s="343">
        <v>1140</v>
      </c>
      <c r="AD54" s="344"/>
      <c r="AE54" s="345"/>
      <c r="AF54" s="346"/>
      <c r="AG54" s="347">
        <f t="shared" si="2"/>
        <v>0</v>
      </c>
      <c r="AH54" s="341">
        <f t="shared" si="3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1.35">
      <c r="B55" s="351">
        <v>11</v>
      </c>
      <c r="C55" s="406">
        <f>+B55</f>
        <v>11</v>
      </c>
      <c r="D55" s="407" t="s">
        <v>480</v>
      </c>
      <c r="E55" s="111"/>
      <c r="F55" s="111" t="s">
        <v>35</v>
      </c>
      <c r="G55" s="541" t="str">
        <f t="shared" ref="G55:G57" si="50">+G54</f>
        <v>2396-593-600</v>
      </c>
      <c r="H55" s="111"/>
      <c r="I55" s="111" t="s">
        <v>33</v>
      </c>
      <c r="J55" s="113">
        <v>38.82</v>
      </c>
      <c r="K55" s="130">
        <v>60</v>
      </c>
      <c r="L55" s="101" t="s">
        <v>17</v>
      </c>
      <c r="M55" s="214">
        <v>42</v>
      </c>
      <c r="N55" s="214">
        <v>60</v>
      </c>
      <c r="O55" s="214">
        <v>60</v>
      </c>
      <c r="P55" s="214">
        <v>60</v>
      </c>
      <c r="Q55" s="214">
        <v>60</v>
      </c>
      <c r="R55" s="214">
        <v>60</v>
      </c>
      <c r="S55" s="214">
        <v>60</v>
      </c>
      <c r="T55" s="214">
        <v>60</v>
      </c>
      <c r="U55" s="214">
        <v>45</v>
      </c>
      <c r="V55" s="214"/>
      <c r="W55" s="214"/>
      <c r="X55" s="123">
        <f t="shared" ref="X55" si="51">+IF(H56="s",0,IF(AA55=0,0,IF(COUNTA(M55:W55)=AK57+0.25,SUMIF($C:$C,B55,$AA:$AA)/AK57,SUMIF($C:$C,B55,$AA:$AA)/(COUNTA(M55:W55)))))</f>
        <v>57.942857142857143</v>
      </c>
      <c r="Y55" s="466"/>
      <c r="Z55" s="534"/>
      <c r="AA55" s="134">
        <f t="shared" si="6"/>
        <v>507</v>
      </c>
      <c r="AB55" s="354">
        <f>+AA55+AC55</f>
        <v>712</v>
      </c>
      <c r="AC55" s="354">
        <v>205</v>
      </c>
      <c r="AD55" s="355">
        <f>+AB54-AB55</f>
        <v>788</v>
      </c>
      <c r="AE55" s="131">
        <f>+IF(((AA56+(AA57/2))*60)=0,"",(J55*AA55)/((AA56+(AA57/2))*60))</f>
        <v>0.85202337662337668</v>
      </c>
      <c r="AF55" s="347">
        <f>+AA56+AA57/2</f>
        <v>385</v>
      </c>
      <c r="AG55" s="347">
        <f t="shared" si="2"/>
        <v>385</v>
      </c>
      <c r="AH55" s="341">
        <f t="shared" si="3"/>
        <v>23100</v>
      </c>
      <c r="AI55" s="341">
        <f>+AA55*J55</f>
        <v>19681.740000000002</v>
      </c>
      <c r="AJ55" s="356">
        <f>+AA55-(AF55*K55/K57)</f>
        <v>-30.209302325581348</v>
      </c>
      <c r="AK55" s="348"/>
      <c r="AL55" s="349"/>
      <c r="AM55" s="341"/>
      <c r="AN55" s="341"/>
      <c r="AO55" s="341"/>
      <c r="AP55" s="341"/>
      <c r="AQ55" s="339">
        <f>-360+AA54</f>
        <v>0</v>
      </c>
      <c r="AR55" s="434">
        <v>1.5</v>
      </c>
      <c r="AT55" s="390">
        <v>935</v>
      </c>
      <c r="AV55" s="390">
        <f t="shared" ref="AV55" si="52">+AT55-AD55</f>
        <v>147</v>
      </c>
      <c r="AW55" s="535"/>
      <c r="AX55" s="535"/>
      <c r="AY55" s="535"/>
      <c r="AZ55" s="535"/>
      <c r="BA55" s="535"/>
      <c r="BB55" s="535"/>
      <c r="BC55" s="535"/>
      <c r="BD55" s="535"/>
      <c r="BE55" s="535"/>
      <c r="BF55" s="535"/>
    </row>
    <row r="56" spans="2:58" s="98" customFormat="1" ht="62.25" customHeight="1" x14ac:dyDescent="0.9">
      <c r="B56" s="357">
        <f>+B55</f>
        <v>11</v>
      </c>
      <c r="C56" s="408"/>
      <c r="D56" s="184"/>
      <c r="E56" s="111">
        <f>+B55</f>
        <v>11</v>
      </c>
      <c r="F56" s="412"/>
      <c r="G56" s="541" t="str">
        <f t="shared" si="50"/>
        <v>2396-593-600</v>
      </c>
      <c r="H56" s="411" t="s">
        <v>412</v>
      </c>
      <c r="I56" s="113">
        <f>+IFERROR(IF(K57=0,0,IF((LOOKUP(2,1/(M56:W56&lt;&gt;""),M56:W56)-K57)&lt;0,0,IF(K57=0,"",LOOKUP(2,1/(M56:W56&lt;&gt;""),M56:W56)-K57))),0)</f>
        <v>0</v>
      </c>
      <c r="J56" s="113">
        <v>1</v>
      </c>
      <c r="K56" s="114" t="s">
        <v>22</v>
      </c>
      <c r="L56" s="102" t="s">
        <v>18</v>
      </c>
      <c r="M56" s="448">
        <v>43</v>
      </c>
      <c r="N56" s="448">
        <v>43</v>
      </c>
      <c r="O56" s="448">
        <v>43</v>
      </c>
      <c r="P56" s="448">
        <v>43</v>
      </c>
      <c r="Q56" s="448">
        <v>43</v>
      </c>
      <c r="R56" s="448">
        <v>43</v>
      </c>
      <c r="S56" s="448">
        <v>43</v>
      </c>
      <c r="T56" s="448">
        <v>43</v>
      </c>
      <c r="U56" s="448">
        <v>43</v>
      </c>
      <c r="V56" s="448"/>
      <c r="W56" s="448"/>
      <c r="X56" s="160">
        <f t="shared" ref="X56" si="53">+IF(H56="l",IF(COUNTA(M55:W55)=AK57+0.25,AA55-K55*AK57,AA55-(K55*COUNTA(M55:W55))),IF(H56="s",0,IF(COUNTA(M55:W55)=AK57+0.25,SUMIF($C:$C,B55,$AA:$AA)-K55*AK57,SUMIF($C:$C,B55,$AA:$AA)-K55*COUNTA(M55:W55))))</f>
        <v>-18</v>
      </c>
      <c r="Y56" s="466"/>
      <c r="Z56" s="534"/>
      <c r="AA56" s="462">
        <f t="shared" si="11"/>
        <v>376.25</v>
      </c>
      <c r="AB56" s="360"/>
      <c r="AC56" s="360"/>
      <c r="AD56" s="362"/>
      <c r="AE56" s="363"/>
      <c r="AF56" s="346"/>
      <c r="AG56" s="347">
        <f t="shared" si="2"/>
        <v>0</v>
      </c>
      <c r="AH56" s="341">
        <f t="shared" si="3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376.25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11</v>
      </c>
      <c r="C57" s="410"/>
      <c r="D57" s="174" t="s">
        <v>418</v>
      </c>
      <c r="E57" s="175">
        <f>+E56+100</f>
        <v>111</v>
      </c>
      <c r="F57" s="175"/>
      <c r="G57" s="542" t="str">
        <f t="shared" si="50"/>
        <v>2396-593-600</v>
      </c>
      <c r="H57" s="117"/>
      <c r="I57" s="442"/>
      <c r="J57" s="165">
        <f>+IF(K57="","",IF(K55=0,"",(K55*J55)/(K57*60)))</f>
        <v>0.90279069767441855</v>
      </c>
      <c r="K57" s="118">
        <v>43</v>
      </c>
      <c r="L57" s="104" t="s">
        <v>422</v>
      </c>
      <c r="M57" s="216">
        <v>2</v>
      </c>
      <c r="N57" s="216">
        <v>2</v>
      </c>
      <c r="O57" s="216">
        <v>2</v>
      </c>
      <c r="P57" s="216">
        <v>2</v>
      </c>
      <c r="Q57" s="216">
        <v>2</v>
      </c>
      <c r="R57" s="216">
        <v>2</v>
      </c>
      <c r="S57" s="216">
        <v>2</v>
      </c>
      <c r="T57" s="216">
        <v>2</v>
      </c>
      <c r="U57" s="216">
        <v>2</v>
      </c>
      <c r="V57" s="216"/>
      <c r="W57" s="216"/>
      <c r="X57" s="173"/>
      <c r="Y57" s="467">
        <v>9.9539333333333335</v>
      </c>
      <c r="Z57" s="371">
        <f>+IF(COUNTA(M55:W55)=$AJ$4+0.25,$AJ$4-(AA55/K55),COUNTA(M55:W55)-(AA55/K55))+Y57</f>
        <v>10.253933333333334</v>
      </c>
      <c r="AA57" s="465">
        <f t="shared" si="11"/>
        <v>17.5</v>
      </c>
      <c r="AB57" s="367"/>
      <c r="AC57" s="367"/>
      <c r="AD57" s="368">
        <f>+IFERROR(AD55/(K55*$AQ$3),"")</f>
        <v>1.500952380952381</v>
      </c>
      <c r="AE57" s="369"/>
      <c r="AF57" s="347"/>
      <c r="AG57" s="347">
        <f t="shared" si="2"/>
        <v>0</v>
      </c>
      <c r="AH57" s="341">
        <f t="shared" si="3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17.5</v>
      </c>
      <c r="AM57" s="341">
        <f>+AL57-AA57</f>
        <v>0</v>
      </c>
      <c r="AN57" s="341"/>
      <c r="AO57" s="341"/>
      <c r="AP57" s="341"/>
      <c r="AQ57" s="369"/>
      <c r="AR57" s="434"/>
      <c r="AT57" s="390">
        <v>1.7809523809523808</v>
      </c>
      <c r="AV57" s="390"/>
    </row>
    <row r="58" spans="2:58" s="98" customFormat="1" ht="62.25" customHeight="1" thickTop="1" x14ac:dyDescent="0.9">
      <c r="B58" s="342">
        <f>+B59</f>
        <v>12</v>
      </c>
      <c r="C58" s="405"/>
      <c r="D58" s="106"/>
      <c r="E58" s="106"/>
      <c r="F58" s="106"/>
      <c r="G58" s="539"/>
      <c r="H58" s="106"/>
      <c r="I58" s="106"/>
      <c r="J58" s="107" t="s">
        <v>20</v>
      </c>
      <c r="K58" s="108" t="s">
        <v>23</v>
      </c>
      <c r="L58" s="100" t="s">
        <v>21</v>
      </c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47" t="str">
        <f t="shared" si="5"/>
        <v/>
      </c>
      <c r="Y58" s="466">
        <v>0</v>
      </c>
      <c r="Z58" s="533">
        <f>+X60</f>
        <v>0</v>
      </c>
      <c r="AA58" s="447">
        <f t="shared" si="6"/>
        <v>0</v>
      </c>
      <c r="AB58" s="343">
        <f>+AC58+AA58</f>
        <v>0</v>
      </c>
      <c r="AC58" s="343">
        <v>0</v>
      </c>
      <c r="AD58" s="344"/>
      <c r="AE58" s="345"/>
      <c r="AF58" s="346"/>
      <c r="AG58" s="347"/>
      <c r="AH58" s="341"/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0.9">
      <c r="B59" s="351">
        <v>12</v>
      </c>
      <c r="C59" s="406">
        <v>12</v>
      </c>
      <c r="D59" s="407"/>
      <c r="E59" s="111"/>
      <c r="F59" s="111"/>
      <c r="G59" s="539"/>
      <c r="H59" s="111"/>
      <c r="I59" s="111"/>
      <c r="J59" s="113"/>
      <c r="K59" s="130"/>
      <c r="L59" s="101" t="s">
        <v>17</v>
      </c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123">
        <f t="shared" ref="X59" si="54">+IF(H60="s",0,IF(AA59=0,0,IF(COUNTA(M59:W59)=AK61+0.25,SUMIF($C:$C,B59,$AA:$AA)/AK61,SUMIF($C:$C,B59,$AA:$AA)/(COUNTA(M59:W59)))))</f>
        <v>0</v>
      </c>
      <c r="Y59" s="466"/>
      <c r="Z59" s="534"/>
      <c r="AA59" s="134">
        <f t="shared" si="6"/>
        <v>0</v>
      </c>
      <c r="AB59" s="354">
        <f>+AA59+AC59</f>
        <v>0</v>
      </c>
      <c r="AC59" s="354">
        <v>0</v>
      </c>
      <c r="AD59" s="355">
        <f>+AB58-AB59</f>
        <v>0</v>
      </c>
      <c r="AE59" s="131" t="str">
        <f>+IF(((AA60+(AA61/2))*60)=0,"",(J59*AA59)/((AA60+(AA61/2))*60))</f>
        <v/>
      </c>
      <c r="AF59" s="347"/>
      <c r="AG59" s="347"/>
      <c r="AH59" s="341"/>
      <c r="AI59" s="341"/>
      <c r="AJ59" s="356"/>
      <c r="AK59" s="348"/>
      <c r="AL59" s="349"/>
      <c r="AM59" s="341"/>
      <c r="AN59" s="341"/>
      <c r="AO59" s="341"/>
      <c r="AP59" s="341"/>
      <c r="AQ59" s="339" t="str">
        <f t="shared" si="9"/>
        <v/>
      </c>
      <c r="AR59" s="434"/>
      <c r="AT59" s="390">
        <v>0</v>
      </c>
      <c r="AV59" s="390">
        <f t="shared" ref="AV59" si="55">+AT59-AD59</f>
        <v>0</v>
      </c>
    </row>
    <row r="60" spans="2:58" s="98" customFormat="1" ht="62.25" customHeight="1" x14ac:dyDescent="0.9">
      <c r="B60" s="357">
        <f>+B59</f>
        <v>12</v>
      </c>
      <c r="C60" s="408"/>
      <c r="D60" s="184"/>
      <c r="E60" s="111">
        <f>+B59</f>
        <v>12</v>
      </c>
      <c r="F60" s="409"/>
      <c r="G60" s="539"/>
      <c r="H60" s="411"/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160">
        <f t="shared" ref="X60" si="56">+IF(H60="l",IF(COUNTA(M59:W59)=AK61+0.25,AA59-K59*AK61,AA59-(K59*COUNTA(M59:W59))),IF(H60="s",0,IF(COUNTA(M59:W59)=AK61+0.25,SUMIF($C:$C,B59,$AA:$AA)-K59*AK61,SUMIF($C:$C,B59,$AA:$AA)-K59*COUNTA(M59:W59))))</f>
        <v>0</v>
      </c>
      <c r="Y60" s="466"/>
      <c r="Z60" s="534"/>
      <c r="AA60" s="462">
        <f t="shared" si="11"/>
        <v>0</v>
      </c>
      <c r="AB60" s="360"/>
      <c r="AC60" s="360"/>
      <c r="AD60" s="362"/>
      <c r="AE60" s="363"/>
      <c r="AF60" s="346"/>
      <c r="AG60" s="347"/>
      <c r="AH60" s="341"/>
      <c r="AI60" s="341"/>
      <c r="AJ60" s="341"/>
      <c r="AK60" s="348"/>
      <c r="AL60" s="349"/>
      <c r="AM60" s="341"/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12</v>
      </c>
      <c r="C61" s="410"/>
      <c r="D61" s="174"/>
      <c r="E61" s="175">
        <f>+E60+100</f>
        <v>112</v>
      </c>
      <c r="F61" s="175"/>
      <c r="G61" s="539"/>
      <c r="H61" s="117"/>
      <c r="I61" s="442"/>
      <c r="J61" s="165" t="str">
        <f>+IF(K61="","",IF(K59=0,"",(K59*J59)/(K61*60)))</f>
        <v/>
      </c>
      <c r="K61" s="118"/>
      <c r="L61" s="104" t="s">
        <v>19</v>
      </c>
      <c r="M61" s="455"/>
      <c r="N61" s="455"/>
      <c r="O61" s="455"/>
      <c r="P61" s="455"/>
      <c r="Q61" s="455"/>
      <c r="R61" s="455"/>
      <c r="S61" s="455"/>
      <c r="T61" s="455"/>
      <c r="U61" s="455"/>
      <c r="V61" s="455"/>
      <c r="W61" s="455"/>
      <c r="X61" s="173"/>
      <c r="Y61" s="467"/>
      <c r="Z61" s="371"/>
      <c r="AA61" s="465">
        <f t="shared" si="11"/>
        <v>0</v>
      </c>
      <c r="AB61" s="367"/>
      <c r="AC61" s="367"/>
      <c r="AD61" s="368" t="str">
        <f>+IFERROR(AD59/(K59*$AQ$3),"")</f>
        <v/>
      </c>
      <c r="AE61" s="369"/>
      <c r="AF61" s="347"/>
      <c r="AG61" s="347"/>
      <c r="AH61" s="341"/>
      <c r="AI61" s="341"/>
      <c r="AJ61" s="356"/>
      <c r="AK61" s="370">
        <f>+$AJ$4</f>
        <v>8.75</v>
      </c>
      <c r="AL61" s="349"/>
      <c r="AM61" s="341"/>
      <c r="AN61" s="341"/>
      <c r="AO61" s="341"/>
      <c r="AP61" s="341"/>
      <c r="AQ61" s="369"/>
      <c r="AR61" s="434"/>
      <c r="AT61" s="390" t="s">
        <v>416</v>
      </c>
      <c r="AV61" s="390"/>
    </row>
    <row r="62" spans="2:58" s="98" customFormat="1" ht="62.25" customHeight="1" thickTop="1" x14ac:dyDescent="0.9">
      <c r="B62" s="342">
        <f>+B63</f>
        <v>13</v>
      </c>
      <c r="C62" s="405"/>
      <c r="D62" s="106"/>
      <c r="E62" s="106"/>
      <c r="F62" s="106"/>
      <c r="G62" s="540" t="s">
        <v>432</v>
      </c>
      <c r="H62" s="106"/>
      <c r="I62" s="106"/>
      <c r="J62" s="107" t="s">
        <v>20</v>
      </c>
      <c r="K62" s="108" t="s">
        <v>23</v>
      </c>
      <c r="L62" s="100" t="s">
        <v>21</v>
      </c>
      <c r="M62" s="448"/>
      <c r="N62" s="448"/>
      <c r="O62" s="448"/>
      <c r="P62" s="448"/>
      <c r="Q62" s="448"/>
      <c r="R62" s="448"/>
      <c r="S62" s="448"/>
      <c r="T62" s="448"/>
      <c r="U62" s="448"/>
      <c r="V62" s="448"/>
      <c r="W62" s="448"/>
      <c r="X62" s="447" t="str">
        <f t="shared" si="5"/>
        <v/>
      </c>
      <c r="Y62" s="466">
        <v>-92</v>
      </c>
      <c r="Z62" s="533">
        <f>+X64</f>
        <v>-206</v>
      </c>
      <c r="AA62" s="447">
        <f t="shared" si="6"/>
        <v>0</v>
      </c>
      <c r="AB62" s="343">
        <f>+AC62+AA62</f>
        <v>5811</v>
      </c>
      <c r="AC62" s="343">
        <v>5811</v>
      </c>
      <c r="AD62" s="344"/>
      <c r="AE62" s="345"/>
      <c r="AF62" s="346"/>
      <c r="AG62" s="347">
        <f t="shared" si="2"/>
        <v>0</v>
      </c>
      <c r="AH62" s="341">
        <f t="shared" si="3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0.9">
      <c r="B63" s="351">
        <v>13</v>
      </c>
      <c r="C63" s="406">
        <f>+B63</f>
        <v>13</v>
      </c>
      <c r="D63" s="407" t="s">
        <v>431</v>
      </c>
      <c r="E63" s="111"/>
      <c r="F63" s="111" t="s">
        <v>35</v>
      </c>
      <c r="G63" s="541" t="str">
        <f t="shared" ref="G63:G65" si="57">+G62</f>
        <v>2158-755-712</v>
      </c>
      <c r="H63" s="111"/>
      <c r="I63" s="111" t="s">
        <v>33</v>
      </c>
      <c r="J63" s="113">
        <v>51.42</v>
      </c>
      <c r="K63" s="130">
        <v>52</v>
      </c>
      <c r="L63" s="101" t="s">
        <v>17</v>
      </c>
      <c r="M63" s="214">
        <v>40</v>
      </c>
      <c r="N63" s="214">
        <v>40</v>
      </c>
      <c r="O63" s="214">
        <v>40</v>
      </c>
      <c r="P63" s="214">
        <v>40</v>
      </c>
      <c r="Q63" s="214">
        <v>40</v>
      </c>
      <c r="R63" s="214">
        <v>38</v>
      </c>
      <c r="S63" s="214">
        <v>0</v>
      </c>
      <c r="T63" s="214">
        <v>11</v>
      </c>
      <c r="U63" s="214">
        <v>0</v>
      </c>
      <c r="V63" s="214"/>
      <c r="W63" s="214"/>
      <c r="X63" s="123">
        <f t="shared" ref="X63" si="58">+IF(H64="s",0,IF(AA63=0,0,IF(COUNTA(M63:W63)=AK65+0.25,SUMIF($C:$C,B63,$AA:$AA)/AK65,SUMIF($C:$C,B63,$AA:$AA)/(COUNTA(M63:W63)))))</f>
        <v>28.457142857142856</v>
      </c>
      <c r="Y63" s="466"/>
      <c r="Z63" s="534"/>
      <c r="AA63" s="134">
        <f t="shared" si="6"/>
        <v>249</v>
      </c>
      <c r="AB63" s="354">
        <f>+AA63+AC63</f>
        <v>5801</v>
      </c>
      <c r="AC63" s="354">
        <v>5552</v>
      </c>
      <c r="AD63" s="355">
        <f>+AB62-AB63</f>
        <v>10</v>
      </c>
      <c r="AE63" s="131">
        <f>+IF(((AA64+(AA65/2))*60)=0,"",(J63*AA63)/((AA64+(AA65/2))*60))</f>
        <v>0.92779565217391302</v>
      </c>
      <c r="AF63" s="347">
        <f>+AA64+AA65/2</f>
        <v>230</v>
      </c>
      <c r="AG63" s="347">
        <f t="shared" si="2"/>
        <v>230</v>
      </c>
      <c r="AH63" s="341">
        <f t="shared" si="3"/>
        <v>13800</v>
      </c>
      <c r="AI63" s="341">
        <f>+AA63*J63</f>
        <v>12803.58</v>
      </c>
      <c r="AJ63" s="356">
        <f>+AA63-(AF63*K63/K65)</f>
        <v>14.490196078431381</v>
      </c>
      <c r="AK63" s="348"/>
      <c r="AL63" s="349"/>
      <c r="AM63" s="341"/>
      <c r="AN63" s="341"/>
      <c r="AO63" s="341"/>
      <c r="AP63" s="341"/>
      <c r="AQ63" s="339" t="str">
        <f t="shared" si="9"/>
        <v/>
      </c>
      <c r="AR63" s="434"/>
      <c r="AT63" s="390">
        <v>259</v>
      </c>
      <c r="AV63" s="390">
        <f t="shared" ref="AV63" si="59">+AT63-AD63</f>
        <v>249</v>
      </c>
    </row>
    <row r="64" spans="2:58" s="98" customFormat="1" ht="62.25" customHeight="1" x14ac:dyDescent="0.9">
      <c r="B64" s="357">
        <f>+B63</f>
        <v>13</v>
      </c>
      <c r="C64" s="408"/>
      <c r="D64" s="184"/>
      <c r="E64" s="111">
        <f>+B63</f>
        <v>13</v>
      </c>
      <c r="F64" s="412"/>
      <c r="G64" s="541" t="str">
        <f t="shared" si="57"/>
        <v>2158-755-712</v>
      </c>
      <c r="H64" s="411"/>
      <c r="I64" s="113">
        <f>+IFERROR(IF(K65=0,0,IF((LOOKUP(2,1/(M64:W64&lt;&gt;""),M64:W64)-K65)&lt;0,0,IF(K65=0,"",LOOKUP(2,1/(M64:W64&lt;&gt;""),M64:W64)-K65))),0)</f>
        <v>0</v>
      </c>
      <c r="J64" s="113">
        <v>1</v>
      </c>
      <c r="K64" s="114" t="s">
        <v>22</v>
      </c>
      <c r="L64" s="102" t="s">
        <v>18</v>
      </c>
      <c r="M64" s="448">
        <v>40</v>
      </c>
      <c r="N64" s="448">
        <v>40</v>
      </c>
      <c r="O64" s="448">
        <v>40</v>
      </c>
      <c r="P64" s="448">
        <v>40</v>
      </c>
      <c r="Q64" s="448">
        <v>40</v>
      </c>
      <c r="R64" s="448">
        <v>8</v>
      </c>
      <c r="S64" s="448">
        <v>8</v>
      </c>
      <c r="T64" s="448">
        <v>8</v>
      </c>
      <c r="U64" s="448">
        <v>8</v>
      </c>
      <c r="V64" s="448"/>
      <c r="W64" s="448"/>
      <c r="X64" s="160">
        <f t="shared" ref="X64" si="60">+IF(H64="l",IF(COUNTA(M63:W63)=AK65+0.25,AA63-K63*AK65,AA63-(K63*COUNTA(M63:W63))),IF(H64="s",0,IF(COUNTA(M63:W63)=AK65+0.25,SUMIF($C:$C,B63,$AA:$AA)-K63*AK65,SUMIF($C:$C,B63,$AA:$AA)-K63*COUNTA(M63:W63))))</f>
        <v>-206</v>
      </c>
      <c r="Y64" s="466"/>
      <c r="Z64" s="534"/>
      <c r="AA64" s="462">
        <f t="shared" si="11"/>
        <v>230</v>
      </c>
      <c r="AB64" s="360"/>
      <c r="AC64" s="360"/>
      <c r="AD64" s="362"/>
      <c r="AE64" s="363"/>
      <c r="AF64" s="346"/>
      <c r="AG64" s="347">
        <f t="shared" si="2"/>
        <v>0</v>
      </c>
      <c r="AH64" s="341">
        <f t="shared" si="3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230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8" s="98" customFormat="1" ht="62.25" customHeight="1" thickBot="1" x14ac:dyDescent="0.95">
      <c r="B65" s="364">
        <f>+B63</f>
        <v>13</v>
      </c>
      <c r="C65" s="410"/>
      <c r="D65" s="174" t="s">
        <v>379</v>
      </c>
      <c r="E65" s="175">
        <f>+E64+100</f>
        <v>113</v>
      </c>
      <c r="F65" s="175"/>
      <c r="G65" s="542" t="str">
        <f t="shared" si="57"/>
        <v>2158-755-712</v>
      </c>
      <c r="H65" s="117"/>
      <c r="I65" s="442"/>
      <c r="J65" s="165">
        <f>+IF(K65="","",IF(K63=0,"",(K63*J63)/(K65*60)))</f>
        <v>0.87380392156862752</v>
      </c>
      <c r="K65" s="118">
        <v>51</v>
      </c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>
        <v>30.54</v>
      </c>
      <c r="Z65" s="365">
        <v>30.54</v>
      </c>
      <c r="AA65" s="465">
        <f t="shared" si="11"/>
        <v>0</v>
      </c>
      <c r="AB65" s="367"/>
      <c r="AC65" s="367"/>
      <c r="AD65" s="368">
        <f>+IFERROR(AD63/(K63*$AQ$3),"")</f>
        <v>2.197802197802198E-2</v>
      </c>
      <c r="AE65" s="369"/>
      <c r="AF65" s="347"/>
      <c r="AG65" s="347">
        <f t="shared" si="2"/>
        <v>0</v>
      </c>
      <c r="AH65" s="341">
        <f t="shared" si="3"/>
        <v>0</v>
      </c>
      <c r="AI65" s="341"/>
      <c r="AJ65" s="356"/>
      <c r="AK65" s="370">
        <f>+$AJ$4</f>
        <v>8.75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>
        <v>0.56923076923076921</v>
      </c>
      <c r="AV65" s="390"/>
    </row>
    <row r="66" spans="2:58" s="98" customFormat="1" ht="62.25" customHeight="1" thickTop="1" x14ac:dyDescent="0.9">
      <c r="B66" s="342">
        <f>+B67</f>
        <v>13</v>
      </c>
      <c r="C66" s="405"/>
      <c r="D66" s="106"/>
      <c r="E66" s="106"/>
      <c r="F66" s="106"/>
      <c r="G66" s="539" t="s">
        <v>476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60</v>
      </c>
      <c r="N66" s="448">
        <v>120</v>
      </c>
      <c r="O66" s="448">
        <v>60</v>
      </c>
      <c r="P66" s="448"/>
      <c r="Q66" s="448">
        <v>60</v>
      </c>
      <c r="R66" s="448"/>
      <c r="S66" s="448"/>
      <c r="T66" s="448"/>
      <c r="U66" s="448"/>
      <c r="V66" s="448"/>
      <c r="W66" s="448"/>
      <c r="X66" s="447">
        <f t="shared" si="5"/>
        <v>300</v>
      </c>
      <c r="Y66" s="466">
        <v>0</v>
      </c>
      <c r="Z66" s="533">
        <f>+X68</f>
        <v>-560</v>
      </c>
      <c r="AA66" s="447">
        <f t="shared" si="6"/>
        <v>300</v>
      </c>
      <c r="AB66" s="343">
        <f>+AC66+AA66</f>
        <v>720</v>
      </c>
      <c r="AC66" s="343">
        <v>420</v>
      </c>
      <c r="AD66" s="344"/>
      <c r="AE66" s="345"/>
      <c r="AF66" s="346"/>
      <c r="AG66" s="347">
        <f t="shared" si="2"/>
        <v>0</v>
      </c>
      <c r="AH66" s="341">
        <f t="shared" si="3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8" s="98" customFormat="1" ht="62.25" customHeight="1" x14ac:dyDescent="0.9">
      <c r="B67" s="351">
        <v>13</v>
      </c>
      <c r="C67" s="406">
        <f>+B67</f>
        <v>13</v>
      </c>
      <c r="D67" s="407" t="s">
        <v>474</v>
      </c>
      <c r="E67" s="111"/>
      <c r="F67" s="111" t="s">
        <v>475</v>
      </c>
      <c r="G67" s="539" t="str">
        <f t="shared" ref="G67:G69" si="61">+G66</f>
        <v>Cheristina-blanc</v>
      </c>
      <c r="H67" s="111"/>
      <c r="I67" s="111" t="s">
        <v>477</v>
      </c>
      <c r="J67" s="113">
        <v>21.04</v>
      </c>
      <c r="K67" s="130">
        <v>140</v>
      </c>
      <c r="L67" s="101" t="s">
        <v>17</v>
      </c>
      <c r="M67" s="214"/>
      <c r="N67" s="214"/>
      <c r="O67" s="214"/>
      <c r="P67" s="214"/>
      <c r="Q67" s="214"/>
      <c r="R67" s="214">
        <v>0</v>
      </c>
      <c r="S67" s="214">
        <v>0</v>
      </c>
      <c r="T67" s="214">
        <v>0</v>
      </c>
      <c r="U67" s="214">
        <v>0</v>
      </c>
      <c r="V67" s="214"/>
      <c r="W67" s="214"/>
      <c r="X67" s="123">
        <f t="shared" ref="X67" si="62">+IF(H68="s",0,IF(AA67=0,0,IF(COUNTA(M67:W67)=AK69+0.25,SUMIF($C:$C,B67,$AA:$AA)/AK69,SUMIF($C:$C,B67,$AA:$AA)/(COUNTA(M67:W67)))))</f>
        <v>0</v>
      </c>
      <c r="Y67" s="466"/>
      <c r="Z67" s="534"/>
      <c r="AA67" s="134">
        <f t="shared" si="6"/>
        <v>0</v>
      </c>
      <c r="AB67" s="354">
        <f>+AA67+AC67</f>
        <v>0</v>
      </c>
      <c r="AC67" s="354">
        <v>0</v>
      </c>
      <c r="AD67" s="355">
        <f>+AB66-AB67</f>
        <v>720</v>
      </c>
      <c r="AE67" s="131">
        <f>+IF(((AA68+(AA69/2))*60)=0,"",(J67*AA67)/((AA68+(AA69/2))*60))</f>
        <v>0</v>
      </c>
      <c r="AF67" s="347">
        <f>+AA68+AA69/2</f>
        <v>190</v>
      </c>
      <c r="AG67" s="347">
        <f t="shared" si="2"/>
        <v>190</v>
      </c>
      <c r="AH67" s="341">
        <f t="shared" si="3"/>
        <v>11400</v>
      </c>
      <c r="AI67" s="341">
        <f>+AA67*J67</f>
        <v>0</v>
      </c>
      <c r="AJ67" s="356">
        <f>+AA67-(AF67*K67/K69)</f>
        <v>-466.66666666666669</v>
      </c>
      <c r="AK67" s="348"/>
      <c r="AL67" s="349"/>
      <c r="AM67" s="341"/>
      <c r="AN67" s="341"/>
      <c r="AO67" s="341"/>
      <c r="AP67" s="341"/>
      <c r="AQ67" s="339">
        <f>-300+AA66</f>
        <v>0</v>
      </c>
      <c r="AR67" s="434">
        <v>1.5</v>
      </c>
      <c r="AT67" s="390">
        <v>420</v>
      </c>
      <c r="AV67" s="390">
        <f t="shared" ref="AV67" si="63">+AT67-AD67</f>
        <v>-300</v>
      </c>
    </row>
    <row r="68" spans="2:58" s="98" customFormat="1" ht="62.25" customHeight="1" x14ac:dyDescent="0.9">
      <c r="B68" s="357">
        <f>+B67</f>
        <v>13</v>
      </c>
      <c r="C68" s="408"/>
      <c r="D68" s="184"/>
      <c r="E68" s="111">
        <f>+B67</f>
        <v>13</v>
      </c>
      <c r="F68" s="409"/>
      <c r="G68" s="539" t="str">
        <f t="shared" si="61"/>
        <v>Cheristina-blanc</v>
      </c>
      <c r="H68" s="411" t="s">
        <v>413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48">
        <v>8</v>
      </c>
      <c r="N68" s="448">
        <v>8</v>
      </c>
      <c r="O68" s="448">
        <v>8</v>
      </c>
      <c r="P68" s="448">
        <v>8</v>
      </c>
      <c r="Q68" s="448">
        <v>8</v>
      </c>
      <c r="R68" s="448">
        <v>40</v>
      </c>
      <c r="S68" s="448">
        <v>40</v>
      </c>
      <c r="T68" s="448">
        <v>40</v>
      </c>
      <c r="U68" s="448">
        <v>40</v>
      </c>
      <c r="V68" s="448"/>
      <c r="W68" s="448"/>
      <c r="X68" s="160">
        <f t="shared" ref="X68" si="64">+IF(H68="l",IF(COUNTA(M67:W67)=AK69+0.25,AA67-K67*AK69,AA67-(K67*COUNTA(M67:W67))),IF(H68="s",0,IF(COUNTA(M67:W67)=AK69+0.25,SUMIF($C:$C,B67,$AA:$AA)-K67*AK69,SUMIF($C:$C,B67,$AA:$AA)-K67*COUNTA(M67:W67))))</f>
        <v>-560</v>
      </c>
      <c r="Y68" s="466"/>
      <c r="Z68" s="534"/>
      <c r="AA68" s="462">
        <f t="shared" si="11"/>
        <v>190</v>
      </c>
      <c r="AB68" s="360"/>
      <c r="AC68" s="360"/>
      <c r="AD68" s="362"/>
      <c r="AE68" s="363"/>
      <c r="AF68" s="346"/>
      <c r="AG68" s="347">
        <f t="shared" si="2"/>
        <v>0</v>
      </c>
      <c r="AH68" s="341">
        <f t="shared" si="3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190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8" s="98" customFormat="1" ht="62.25" customHeight="1" thickBot="1" x14ac:dyDescent="0.95">
      <c r="B69" s="364">
        <f>+B67</f>
        <v>13</v>
      </c>
      <c r="C69" s="410"/>
      <c r="D69" s="174" t="s">
        <v>379</v>
      </c>
      <c r="E69" s="175">
        <f>+E68+100</f>
        <v>113</v>
      </c>
      <c r="F69" s="175"/>
      <c r="G69" s="539" t="str">
        <f t="shared" si="61"/>
        <v>Cheristina-blanc</v>
      </c>
      <c r="H69" s="117"/>
      <c r="I69" s="442"/>
      <c r="J69" s="165">
        <f>+IF(K69="","",IF(K67=0,"",(K67*J67)/(K69*60)))</f>
        <v>0.86128654970760232</v>
      </c>
      <c r="K69" s="118">
        <v>57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>
        <v>0</v>
      </c>
      <c r="Z69" s="371">
        <f>+IF(COUNTA(M67:W67)=$AJ$4+0.25,$AJ$4-(AA67/K67),COUNTA(M67:W67)-(AA67/K67))+Y69</f>
        <v>4</v>
      </c>
      <c r="AA69" s="465">
        <f t="shared" si="11"/>
        <v>0</v>
      </c>
      <c r="AB69" s="367"/>
      <c r="AC69" s="367"/>
      <c r="AD69" s="368">
        <f>+IFERROR(AD67/(K67*$AQ$3),"")</f>
        <v>0.58775510204081638</v>
      </c>
      <c r="AE69" s="369"/>
      <c r="AF69" s="347"/>
      <c r="AG69" s="347">
        <f t="shared" si="2"/>
        <v>0</v>
      </c>
      <c r="AH69" s="341">
        <f t="shared" si="3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0.34285714285714286</v>
      </c>
      <c r="AV69" s="390"/>
    </row>
    <row r="70" spans="2:58" s="98" customFormat="1" ht="58.5" customHeight="1" thickTop="1" x14ac:dyDescent="0.9">
      <c r="B70" s="373">
        <f>+B71</f>
        <v>14</v>
      </c>
      <c r="C70" s="405"/>
      <c r="D70" s="106"/>
      <c r="E70" s="106"/>
      <c r="F70" s="106"/>
      <c r="G70" s="540" t="s">
        <v>429</v>
      </c>
      <c r="H70" s="106"/>
      <c r="I70" s="106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si="5"/>
        <v/>
      </c>
      <c r="Y70" s="466">
        <v>0</v>
      </c>
      <c r="Z70" s="533">
        <f>+X72</f>
        <v>0</v>
      </c>
      <c r="AA70" s="447">
        <f t="shared" si="6"/>
        <v>0</v>
      </c>
      <c r="AB70" s="343">
        <f>+AC70+AA70</f>
        <v>5850</v>
      </c>
      <c r="AC70" s="343">
        <v>5850</v>
      </c>
      <c r="AD70" s="344"/>
      <c r="AE70" s="345"/>
      <c r="AF70" s="346"/>
      <c r="AG70" s="347">
        <f t="shared" si="2"/>
        <v>0</v>
      </c>
      <c r="AH70" s="341">
        <f t="shared" si="3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8" s="98" customFormat="1" ht="58.5" customHeight="1" x14ac:dyDescent="0.9">
      <c r="B71" s="374">
        <v>14</v>
      </c>
      <c r="C71" s="406">
        <f>+B71</f>
        <v>14</v>
      </c>
      <c r="D71" s="407" t="s">
        <v>427</v>
      </c>
      <c r="E71" s="111"/>
      <c r="F71" s="111" t="s">
        <v>428</v>
      </c>
      <c r="G71" s="541" t="str">
        <f t="shared" ref="G71:G73" si="65">+G70</f>
        <v>NEGRONI-202942</v>
      </c>
      <c r="H71" s="111"/>
      <c r="I71" s="111" t="s">
        <v>430</v>
      </c>
      <c r="J71" s="113">
        <v>48.06</v>
      </c>
      <c r="K71" s="471">
        <v>44</v>
      </c>
      <c r="L71" s="101" t="s">
        <v>17</v>
      </c>
      <c r="M71" s="214"/>
      <c r="N71" s="214"/>
      <c r="O71" s="214">
        <v>27</v>
      </c>
      <c r="P71" s="214"/>
      <c r="Q71" s="214"/>
      <c r="R71" s="214">
        <v>15</v>
      </c>
      <c r="S71" s="214">
        <v>17</v>
      </c>
      <c r="T71" s="214">
        <v>11</v>
      </c>
      <c r="U71" s="214"/>
      <c r="V71" s="214"/>
      <c r="W71" s="214"/>
      <c r="X71" s="123">
        <f t="shared" ref="X71" si="66">+IF(H72="s",0,IF(AA71=0,0,IF(COUNTA(M71:W71)=AK73+0.25,SUMIF($C:$C,B71,$AA:$AA)/AK73,SUMIF($C:$C,B71,$AA:$AA)/(COUNTA(M71:W71)))))</f>
        <v>0</v>
      </c>
      <c r="Y71" s="466"/>
      <c r="Z71" s="534"/>
      <c r="AA71" s="134">
        <f t="shared" si="6"/>
        <v>70</v>
      </c>
      <c r="AB71" s="354">
        <f>+AA71+AC71</f>
        <v>5818</v>
      </c>
      <c r="AC71" s="354">
        <v>5748</v>
      </c>
      <c r="AD71" s="355">
        <f>+AB70-AB71</f>
        <v>32</v>
      </c>
      <c r="AE71" s="131">
        <f>+IF(((AA72+(AA73/2))*60)=0,"",(J71*AA71)/((AA72+(AA73/2))*60))</f>
        <v>14.017500000000002</v>
      </c>
      <c r="AF71" s="347">
        <f>+AA72+AA73/2</f>
        <v>4</v>
      </c>
      <c r="AG71" s="347">
        <f t="shared" si="2"/>
        <v>4</v>
      </c>
      <c r="AH71" s="341">
        <f t="shared" si="3"/>
        <v>240</v>
      </c>
      <c r="AI71" s="341">
        <f>+AA71*J71</f>
        <v>3364.2000000000003</v>
      </c>
      <c r="AJ71" s="356">
        <f>+AA71-(AF71*K71/K73)</f>
        <v>66</v>
      </c>
      <c r="AK71" s="348"/>
      <c r="AL71" s="349"/>
      <c r="AM71" s="341"/>
      <c r="AN71" s="341"/>
      <c r="AO71" s="341"/>
      <c r="AP71" s="341"/>
      <c r="AQ71" s="339"/>
      <c r="AR71" s="434">
        <v>1.5</v>
      </c>
      <c r="AT71" s="390">
        <v>102</v>
      </c>
      <c r="AV71" s="390">
        <f t="shared" ref="AV71" si="67">+AT71-AD71</f>
        <v>70</v>
      </c>
    </row>
    <row r="72" spans="2:58" s="98" customFormat="1" ht="58.5" customHeight="1" x14ac:dyDescent="0.9">
      <c r="B72" s="357">
        <f>+B71</f>
        <v>14</v>
      </c>
      <c r="C72" s="408"/>
      <c r="D72" s="184"/>
      <c r="E72" s="111">
        <f>+B71</f>
        <v>14</v>
      </c>
      <c r="F72" s="409"/>
      <c r="G72" s="541" t="str">
        <f t="shared" si="65"/>
        <v>NEGRONI-202942</v>
      </c>
      <c r="H72" s="411" t="s">
        <v>414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48"/>
      <c r="N72" s="448"/>
      <c r="O72" s="448">
        <v>1</v>
      </c>
      <c r="P72" s="448"/>
      <c r="Q72" s="448"/>
      <c r="R72" s="448">
        <v>1</v>
      </c>
      <c r="S72" s="448">
        <v>1</v>
      </c>
      <c r="T72" s="448">
        <v>1</v>
      </c>
      <c r="U72" s="448"/>
      <c r="V72" s="448"/>
      <c r="W72" s="448"/>
      <c r="X72" s="160">
        <f t="shared" ref="X72" si="68">+IF(H72="l",IF(COUNTA(M71:W71)=AK73+0.25,AA71-K71*AK73,AA71-(K71*COUNTA(M71:W71))),IF(H72="s",0,IF(COUNTA(M71:W71)=AK73+0.25,SUMIF($C:$C,B71,$AA:$AA)-K71*AK73,SUMIF($C:$C,B71,$AA:$AA)-K71*COUNTA(M71:W71))))</f>
        <v>0</v>
      </c>
      <c r="Y72" s="466"/>
      <c r="Z72" s="534"/>
      <c r="AA72" s="462">
        <f t="shared" si="11"/>
        <v>4</v>
      </c>
      <c r="AB72" s="360"/>
      <c r="AC72" s="360"/>
      <c r="AD72" s="362"/>
      <c r="AE72" s="363"/>
      <c r="AF72" s="346"/>
      <c r="AG72" s="347">
        <f t="shared" si="2"/>
        <v>0</v>
      </c>
      <c r="AH72" s="341">
        <f t="shared" si="3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4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8" s="98" customFormat="1" ht="58.5" customHeight="1" thickBot="1" x14ac:dyDescent="0.95">
      <c r="B73" s="364">
        <f>+B71</f>
        <v>14</v>
      </c>
      <c r="C73" s="410"/>
      <c r="D73" s="174" t="s">
        <v>112</v>
      </c>
      <c r="E73" s="175">
        <f>+E72+100</f>
        <v>114</v>
      </c>
      <c r="F73" s="175"/>
      <c r="G73" s="542" t="str">
        <f t="shared" si="65"/>
        <v>NEGRONI-202942</v>
      </c>
      <c r="H73" s="117"/>
      <c r="I73" s="442"/>
      <c r="J73" s="165">
        <f>+IF(K73="","",IF(K71=0,"",(K71*J71)/(K73*60)))</f>
        <v>0.80100000000000016</v>
      </c>
      <c r="K73" s="471">
        <v>44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>
        <v>43.52</v>
      </c>
      <c r="Z73" s="365">
        <v>43.52</v>
      </c>
      <c r="AA73" s="465">
        <f t="shared" si="11"/>
        <v>0</v>
      </c>
      <c r="AB73" s="367"/>
      <c r="AC73" s="367"/>
      <c r="AD73" s="368">
        <f>+IFERROR(AD71/(K71*$AQ$3),"")</f>
        <v>8.3116883116883117E-2</v>
      </c>
      <c r="AE73" s="369"/>
      <c r="AF73" s="347"/>
      <c r="AG73" s="347">
        <f t="shared" si="2"/>
        <v>0</v>
      </c>
      <c r="AH73" s="341">
        <f t="shared" si="3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0.26493506493506491</v>
      </c>
      <c r="AV73" s="390"/>
    </row>
    <row r="74" spans="2:58" s="98" customFormat="1" ht="58.5" customHeight="1" thickTop="1" x14ac:dyDescent="0.9">
      <c r="B74" s="373">
        <f>+B75</f>
        <v>14</v>
      </c>
      <c r="C74" s="405"/>
      <c r="D74" s="106"/>
      <c r="E74" s="106"/>
      <c r="F74" s="106"/>
      <c r="G74" s="540" t="s">
        <v>481</v>
      </c>
      <c r="H74" s="106"/>
      <c r="I74" s="106"/>
      <c r="J74" s="107" t="s">
        <v>20</v>
      </c>
      <c r="K74" s="108" t="s">
        <v>23</v>
      </c>
      <c r="L74" s="100" t="s">
        <v>21</v>
      </c>
      <c r="M74" s="448">
        <v>120</v>
      </c>
      <c r="N74" s="448">
        <v>120</v>
      </c>
      <c r="O74" s="448">
        <v>120</v>
      </c>
      <c r="P74" s="448"/>
      <c r="Q74" s="448"/>
      <c r="R74" s="448"/>
      <c r="S74" s="448"/>
      <c r="T74" s="448"/>
      <c r="U74" s="448"/>
      <c r="V74" s="448"/>
      <c r="W74" s="448"/>
      <c r="X74" s="447">
        <f t="shared" ref="X74:X94" si="69">IF(AQ75="","",SUM(M74:W74)-(-(AQ75-SUM(M74:W74))/$AQ$3)*SUM($M$2:$W$2))</f>
        <v>360</v>
      </c>
      <c r="Y74" s="466">
        <v>-275</v>
      </c>
      <c r="Z74" s="533">
        <f>+X76</f>
        <v>-155</v>
      </c>
      <c r="AA74" s="447">
        <f t="shared" ref="AA74:AA95" si="70">+SUM(L74:W74)</f>
        <v>360</v>
      </c>
      <c r="AB74" s="343">
        <f>+AC74+AA74</f>
        <v>1680</v>
      </c>
      <c r="AC74" s="343">
        <v>1320</v>
      </c>
      <c r="AD74" s="344"/>
      <c r="AE74" s="345"/>
      <c r="AF74" s="346"/>
      <c r="AG74" s="347">
        <f t="shared" si="2"/>
        <v>0</v>
      </c>
      <c r="AH74" s="341">
        <f t="shared" si="3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8" s="98" customFormat="1" ht="58.5" customHeight="1" x14ac:dyDescent="0.9">
      <c r="B75" s="374">
        <v>14</v>
      </c>
      <c r="C75" s="406">
        <f>+B75</f>
        <v>14</v>
      </c>
      <c r="D75" s="407" t="s">
        <v>480</v>
      </c>
      <c r="E75" s="111"/>
      <c r="F75" s="111" t="s">
        <v>35</v>
      </c>
      <c r="G75" s="541" t="str">
        <f t="shared" ref="G75:G77" si="71">+G74</f>
        <v>2396-593-600</v>
      </c>
      <c r="H75" s="111"/>
      <c r="I75" s="111" t="s">
        <v>33</v>
      </c>
      <c r="J75" s="113">
        <v>38.82</v>
      </c>
      <c r="K75" s="130">
        <v>60</v>
      </c>
      <c r="L75" s="101" t="s">
        <v>17</v>
      </c>
      <c r="M75" s="214">
        <v>30</v>
      </c>
      <c r="N75" s="214">
        <v>35</v>
      </c>
      <c r="O75" s="214">
        <v>40</v>
      </c>
      <c r="P75" s="214">
        <v>40</v>
      </c>
      <c r="Q75" s="214">
        <v>40</v>
      </c>
      <c r="R75" s="214">
        <v>45</v>
      </c>
      <c r="S75" s="214">
        <v>50</v>
      </c>
      <c r="T75" s="214">
        <v>50</v>
      </c>
      <c r="U75" s="214">
        <v>40</v>
      </c>
      <c r="V75" s="214"/>
      <c r="W75" s="214"/>
      <c r="X75" s="123">
        <f t="shared" ref="X75" si="72">+IF(H76="s",0,IF(AA75=0,0,IF(COUNTA(M75:W75)=AK77+0.25,SUMIF($C:$C,B75,$AA:$AA)/AK77,SUMIF($C:$C,B75,$AA:$AA)/(COUNTA(M75:W75)))))</f>
        <v>50.285714285714285</v>
      </c>
      <c r="Y75" s="466"/>
      <c r="Z75" s="534"/>
      <c r="AA75" s="134">
        <f t="shared" si="70"/>
        <v>370</v>
      </c>
      <c r="AB75" s="354">
        <f>+AA75+AC75</f>
        <v>530</v>
      </c>
      <c r="AC75" s="354">
        <v>160</v>
      </c>
      <c r="AD75" s="355">
        <f>+AB74-AB75</f>
        <v>1150</v>
      </c>
      <c r="AE75" s="131">
        <f>+IF(((AA76+(AA77/2))*60)=0,"",(J75*AA75)/((AA76+(AA77/2))*60))</f>
        <v>0.65073734284743456</v>
      </c>
      <c r="AF75" s="347">
        <f>+AA76+AA77/2</f>
        <v>367.875</v>
      </c>
      <c r="AG75" s="347">
        <f t="shared" si="2"/>
        <v>367.52499999999998</v>
      </c>
      <c r="AH75" s="341">
        <f t="shared" si="3"/>
        <v>22072.5</v>
      </c>
      <c r="AI75" s="341">
        <f>+AA75*J75</f>
        <v>14363.4</v>
      </c>
      <c r="AJ75" s="356">
        <f>+AA75-(AF75*K75/K77)</f>
        <v>-143.31395348837214</v>
      </c>
      <c r="AK75" s="348"/>
      <c r="AL75" s="349"/>
      <c r="AM75" s="341"/>
      <c r="AN75" s="341"/>
      <c r="AO75" s="341"/>
      <c r="AP75" s="341"/>
      <c r="AQ75" s="339">
        <f t="shared" ref="AQ75:AQ95" si="73">IF(AR75=0,"",AT75-(($AQ$3*K75)+($AQ$3*K75)*AR75)+AA74)</f>
        <v>207.5</v>
      </c>
      <c r="AR75" s="434">
        <v>1.5</v>
      </c>
      <c r="AT75" s="390">
        <v>1160</v>
      </c>
      <c r="AV75" s="390">
        <f t="shared" ref="AV75" si="74">+AT75-AD75</f>
        <v>10</v>
      </c>
    </row>
    <row r="76" spans="2:58" s="98" customFormat="1" ht="58.5" customHeight="1" x14ac:dyDescent="0.9">
      <c r="B76" s="357">
        <f>+B75</f>
        <v>14</v>
      </c>
      <c r="C76" s="408"/>
      <c r="D76" s="184"/>
      <c r="E76" s="111">
        <f>+B75</f>
        <v>14</v>
      </c>
      <c r="F76" s="409"/>
      <c r="G76" s="541" t="str">
        <f t="shared" si="71"/>
        <v>2396-593-600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48">
        <v>41</v>
      </c>
      <c r="N76" s="448">
        <v>41</v>
      </c>
      <c r="O76" s="448">
        <v>40</v>
      </c>
      <c r="P76" s="448">
        <v>41</v>
      </c>
      <c r="Q76" s="448">
        <v>41</v>
      </c>
      <c r="R76" s="448">
        <v>40</v>
      </c>
      <c r="S76" s="448">
        <v>40</v>
      </c>
      <c r="T76" s="448">
        <v>40</v>
      </c>
      <c r="U76" s="448">
        <v>41</v>
      </c>
      <c r="V76" s="448"/>
      <c r="W76" s="448"/>
      <c r="X76" s="160">
        <f t="shared" ref="X76" si="75">+IF(H76="l",IF(COUNTA(M75:W75)=AK77+0.25,AA75-K75*AK77,AA75-(K75*COUNTA(M75:W75))),IF(H76="s",0,IF(COUNTA(M75:W75)=AK77+0.25,SUMIF($C:$C,B75,$AA:$AA)-K75*AK77,SUMIF($C:$C,B75,$AA:$AA)-K75*COUNTA(M75:W75))))</f>
        <v>-155</v>
      </c>
      <c r="Y76" s="466"/>
      <c r="Z76" s="534"/>
      <c r="AA76" s="462">
        <f t="shared" ref="AA76:AA97" si="76">+SUM(M76:W76)-U76*0.25</f>
        <v>354.75</v>
      </c>
      <c r="AB76" s="360"/>
      <c r="AC76" s="360"/>
      <c r="AD76" s="362"/>
      <c r="AE76" s="363"/>
      <c r="AF76" s="346"/>
      <c r="AG76" s="347">
        <f t="shared" si="2"/>
        <v>0</v>
      </c>
      <c r="AH76" s="341">
        <f t="shared" si="3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354.75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8" s="98" customFormat="1" ht="58.5" customHeight="1" thickBot="1" x14ac:dyDescent="0.95">
      <c r="B77" s="364">
        <f>+B75</f>
        <v>14</v>
      </c>
      <c r="C77" s="410"/>
      <c r="D77" s="174" t="s">
        <v>112</v>
      </c>
      <c r="E77" s="175">
        <f>+E76+100</f>
        <v>114</v>
      </c>
      <c r="F77" s="175"/>
      <c r="G77" s="542" t="str">
        <f t="shared" si="71"/>
        <v>2396-593-600</v>
      </c>
      <c r="H77" s="117"/>
      <c r="I77" s="442"/>
      <c r="J77" s="165">
        <f>+IF(K77="","",IF(K75=0,"",(K75*J75)/(K77*60)))</f>
        <v>0.90279069767441855</v>
      </c>
      <c r="K77" s="118">
        <v>43</v>
      </c>
      <c r="L77" s="104" t="s">
        <v>19</v>
      </c>
      <c r="M77" s="216">
        <v>3</v>
      </c>
      <c r="N77" s="216">
        <v>3</v>
      </c>
      <c r="O77" s="216">
        <v>3</v>
      </c>
      <c r="P77" s="216">
        <v>3</v>
      </c>
      <c r="Q77" s="216">
        <v>3</v>
      </c>
      <c r="R77" s="216">
        <v>3</v>
      </c>
      <c r="S77" s="216">
        <v>3</v>
      </c>
      <c r="T77" s="216">
        <v>3</v>
      </c>
      <c r="U77" s="216">
        <v>3</v>
      </c>
      <c r="V77" s="216"/>
      <c r="W77" s="216"/>
      <c r="X77" s="173"/>
      <c r="Y77" s="467">
        <v>7.5833333333333339</v>
      </c>
      <c r="Z77" s="371">
        <f>+IF(COUNTA(M75:W75)=$AJ$4+0.25,$AJ$4-(AA75/K75),COUNTA(M75:W75)-(AA75/K75))+Y77</f>
        <v>10.166666666666668</v>
      </c>
      <c r="AA77" s="465">
        <f t="shared" si="76"/>
        <v>26.25</v>
      </c>
      <c r="AB77" s="367"/>
      <c r="AC77" s="367"/>
      <c r="AD77" s="368">
        <f>+IFERROR(AD75/(K75*$AQ$3),"")</f>
        <v>2.1904761904761907</v>
      </c>
      <c r="AE77" s="369"/>
      <c r="AF77" s="347"/>
      <c r="AG77" s="347">
        <f t="shared" si="2"/>
        <v>0</v>
      </c>
      <c r="AH77" s="341">
        <f t="shared" si="3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26.25</v>
      </c>
      <c r="AM77" s="341">
        <f>+AL77-AA77</f>
        <v>0</v>
      </c>
      <c r="AN77" s="341"/>
      <c r="AO77" s="341"/>
      <c r="AP77" s="341"/>
      <c r="AQ77" s="369"/>
      <c r="AR77" s="434"/>
      <c r="AT77" s="390">
        <v>2.2095238095238097</v>
      </c>
      <c r="AV77" s="390"/>
    </row>
    <row r="78" spans="2:58" s="98" customFormat="1" ht="62.25" customHeight="1" thickTop="1" x14ac:dyDescent="0.9">
      <c r="B78" s="342">
        <f>+B79</f>
        <v>15</v>
      </c>
      <c r="C78" s="405"/>
      <c r="D78" s="106"/>
      <c r="E78" s="106"/>
      <c r="F78" s="106"/>
      <c r="G78" s="540" t="s">
        <v>435</v>
      </c>
      <c r="H78" s="106"/>
      <c r="I78" s="106"/>
      <c r="J78" s="107" t="s">
        <v>20</v>
      </c>
      <c r="K78" s="108" t="s">
        <v>23</v>
      </c>
      <c r="L78" s="100" t="s">
        <v>21</v>
      </c>
      <c r="M78" s="448"/>
      <c r="N78" s="448"/>
      <c r="O78" s="448"/>
      <c r="P78" s="448"/>
      <c r="Q78" s="448"/>
      <c r="R78" s="448"/>
      <c r="S78" s="448"/>
      <c r="T78" s="448"/>
      <c r="U78" s="448"/>
      <c r="V78" s="448"/>
      <c r="W78" s="448"/>
      <c r="X78" s="447" t="str">
        <f t="shared" si="69"/>
        <v/>
      </c>
      <c r="Y78" s="466">
        <v>-182.5</v>
      </c>
      <c r="Z78" s="533">
        <f>+X80</f>
        <v>0</v>
      </c>
      <c r="AA78" s="447">
        <f t="shared" si="70"/>
        <v>0</v>
      </c>
      <c r="AB78" s="343">
        <f>+AC78+AA78</f>
        <v>4409</v>
      </c>
      <c r="AC78" s="343">
        <v>4409</v>
      </c>
      <c r="AD78" s="344"/>
      <c r="AE78" s="345"/>
      <c r="AF78" s="346"/>
      <c r="AG78" s="347">
        <f t="shared" si="2"/>
        <v>0</v>
      </c>
      <c r="AH78" s="341">
        <f t="shared" si="3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8" s="98" customFormat="1" ht="62.25" customHeight="1" x14ac:dyDescent="1.35">
      <c r="B79" s="351">
        <v>15</v>
      </c>
      <c r="C79" s="406">
        <f>+B79</f>
        <v>15</v>
      </c>
      <c r="D79" s="407" t="s">
        <v>436</v>
      </c>
      <c r="E79" s="111"/>
      <c r="F79" s="111" t="s">
        <v>35</v>
      </c>
      <c r="G79" s="541" t="str">
        <f t="shared" ref="G79:G81" si="77">+G78</f>
        <v>2076-780-803</v>
      </c>
      <c r="H79" s="111"/>
      <c r="I79" s="111" t="s">
        <v>38</v>
      </c>
      <c r="J79" s="113">
        <v>38.729999999999997</v>
      </c>
      <c r="K79" s="130">
        <v>58</v>
      </c>
      <c r="L79" s="101" t="s">
        <v>17</v>
      </c>
      <c r="M79" s="214">
        <v>50</v>
      </c>
      <c r="N79" s="214">
        <v>40</v>
      </c>
      <c r="O79" s="214">
        <v>30</v>
      </c>
      <c r="P79" s="214">
        <v>30</v>
      </c>
      <c r="Q79" s="214">
        <v>30</v>
      </c>
      <c r="R79" s="214">
        <v>31</v>
      </c>
      <c r="S79" s="214">
        <v>30</v>
      </c>
      <c r="T79" s="214">
        <v>30</v>
      </c>
      <c r="U79" s="214">
        <v>20</v>
      </c>
      <c r="V79" s="214"/>
      <c r="W79" s="214"/>
      <c r="X79" s="123">
        <f t="shared" ref="X79" si="78">+IF(H80="s",0,IF(AA79=0,0,IF(COUNTA(M79:W79)=AK81+0.25,SUMIF($C:$C,B79,$AA:$AA)/AK81,SUMIF($C:$C,B79,$AA:$AA)/(COUNTA(M79:W79)))))</f>
        <v>0</v>
      </c>
      <c r="Y79" s="466"/>
      <c r="Z79" s="534"/>
      <c r="AA79" s="134">
        <f t="shared" si="70"/>
        <v>291</v>
      </c>
      <c r="AB79" s="354">
        <f>+AA79+AC79</f>
        <v>4409</v>
      </c>
      <c r="AC79" s="354">
        <v>4118</v>
      </c>
      <c r="AD79" s="355">
        <f>+AB78-AB79</f>
        <v>0</v>
      </c>
      <c r="AE79" s="131">
        <f>+IF(((AA80+(AA81/2))*60)=0,"",(J79*AA79)/((AA80+(AA81/2))*60))</f>
        <v>3.7196138613861383</v>
      </c>
      <c r="AF79" s="347">
        <f>+AA80+AA81/2</f>
        <v>50.5</v>
      </c>
      <c r="AG79" s="347">
        <f t="shared" si="2"/>
        <v>50.3</v>
      </c>
      <c r="AH79" s="341">
        <f t="shared" si="3"/>
        <v>3030</v>
      </c>
      <c r="AI79" s="341">
        <f>+AA79*J79</f>
        <v>11270.429999999998</v>
      </c>
      <c r="AJ79" s="356">
        <f>+AA79-(AF79*K79/K81)</f>
        <v>221.26190476190476</v>
      </c>
      <c r="AK79" s="348"/>
      <c r="AL79" s="349"/>
      <c r="AM79" s="341"/>
      <c r="AN79" s="341"/>
      <c r="AO79" s="341"/>
      <c r="AP79" s="341"/>
      <c r="AQ79" s="339" t="str">
        <f t="shared" si="73"/>
        <v/>
      </c>
      <c r="AR79" s="434"/>
      <c r="AT79" s="390">
        <v>291</v>
      </c>
      <c r="AV79" s="390">
        <f t="shared" ref="AV79" si="79">+AT79-AD79</f>
        <v>291</v>
      </c>
      <c r="AW79" s="535"/>
      <c r="AX79" s="535"/>
      <c r="AY79" s="535"/>
      <c r="AZ79" s="535"/>
      <c r="BA79" s="535"/>
      <c r="BB79" s="535"/>
      <c r="BC79" s="535"/>
      <c r="BD79" s="535"/>
      <c r="BE79" s="535"/>
      <c r="BF79" s="535"/>
    </row>
    <row r="80" spans="2:58" s="98" customFormat="1" ht="62.25" customHeight="1" x14ac:dyDescent="0.9">
      <c r="B80" s="357">
        <f>+B79</f>
        <v>15</v>
      </c>
      <c r="C80" s="408"/>
      <c r="D80" s="184"/>
      <c r="E80" s="111">
        <f>+B79</f>
        <v>15</v>
      </c>
      <c r="F80" s="412"/>
      <c r="G80" s="541" t="str">
        <f t="shared" si="77"/>
        <v>2076-780-803</v>
      </c>
      <c r="H80" s="411" t="s">
        <v>414</v>
      </c>
      <c r="I80" s="113">
        <f>+IFERROR(IF(K81=0,0,IF((LOOKUP(2,1/(M80:W80&lt;&gt;""),M80:W80)-K81)&lt;0,0,IF(K81=0,"",LOOKUP(2,1/(M80:W80&lt;&gt;""),M80:W80)-K81))),0)</f>
        <v>0</v>
      </c>
      <c r="J80" s="113">
        <v>1</v>
      </c>
      <c r="K80" s="114" t="s">
        <v>22</v>
      </c>
      <c r="L80" s="102" t="s">
        <v>18</v>
      </c>
      <c r="M80" s="448">
        <v>10</v>
      </c>
      <c r="N80" s="448">
        <v>10</v>
      </c>
      <c r="O80" s="448">
        <v>8</v>
      </c>
      <c r="P80" s="448">
        <v>6</v>
      </c>
      <c r="Q80" s="448">
        <v>5</v>
      </c>
      <c r="R80" s="448">
        <v>5</v>
      </c>
      <c r="S80" s="448">
        <v>3</v>
      </c>
      <c r="T80" s="448">
        <v>2</v>
      </c>
      <c r="U80" s="448">
        <v>2</v>
      </c>
      <c r="V80" s="448"/>
      <c r="W80" s="448"/>
      <c r="X80" s="160">
        <f t="shared" ref="X80" si="80">+IF(H80="l",IF(COUNTA(M79:W79)=AK81+0.25,AA79-K79*AK81,AA79-(K79*COUNTA(M79:W79))),IF(H80="s",0,IF(COUNTA(M79:W79)=AK81+0.25,SUMIF($C:$C,B79,$AA:$AA)-K79*AK81,SUMIF($C:$C,B79,$AA:$AA)-K79*COUNTA(M79:W79))))</f>
        <v>0</v>
      </c>
      <c r="Y80" s="466"/>
      <c r="Z80" s="534"/>
      <c r="AA80" s="462">
        <f t="shared" si="76"/>
        <v>50.5</v>
      </c>
      <c r="AB80" s="360"/>
      <c r="AC80" s="360"/>
      <c r="AD80" s="362"/>
      <c r="AE80" s="363"/>
      <c r="AF80" s="346"/>
      <c r="AG80" s="347">
        <f t="shared" si="2"/>
        <v>0</v>
      </c>
      <c r="AH80" s="341">
        <f t="shared" si="3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50.5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59" s="98" customFormat="1" ht="62.25" customHeight="1" thickBot="1" x14ac:dyDescent="0.95">
      <c r="B81" s="364">
        <f>+B79</f>
        <v>15</v>
      </c>
      <c r="C81" s="410"/>
      <c r="D81" s="174" t="s">
        <v>93</v>
      </c>
      <c r="E81" s="175">
        <f>+E80+100</f>
        <v>115</v>
      </c>
      <c r="F81" s="175"/>
      <c r="G81" s="542" t="str">
        <f t="shared" si="77"/>
        <v>2076-780-803</v>
      </c>
      <c r="H81" s="117"/>
      <c r="I81" s="442"/>
      <c r="J81" s="165">
        <f>+IF(K81="","",IF(K79=0,"",(K79*J79)/(K81*60)))</f>
        <v>0.89140476190476181</v>
      </c>
      <c r="K81" s="118">
        <v>42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>
        <v>15.46</v>
      </c>
      <c r="Z81" s="365">
        <v>15.46</v>
      </c>
      <c r="AA81" s="465">
        <f t="shared" si="76"/>
        <v>0</v>
      </c>
      <c r="AB81" s="367"/>
      <c r="AC81" s="367"/>
      <c r="AD81" s="368">
        <f>+IFERROR(AD79/(K79*$AQ$3),"")</f>
        <v>0</v>
      </c>
      <c r="AE81" s="369"/>
      <c r="AF81" s="347"/>
      <c r="AG81" s="347">
        <f t="shared" si="2"/>
        <v>0</v>
      </c>
      <c r="AH81" s="341">
        <f t="shared" si="3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0.57339901477832511</v>
      </c>
      <c r="AV81" s="390"/>
    </row>
    <row r="82" spans="2:59" s="98" customFormat="1" ht="62.25" customHeight="1" thickTop="1" x14ac:dyDescent="0.9">
      <c r="B82" s="342">
        <f>+B83</f>
        <v>15</v>
      </c>
      <c r="C82" s="405"/>
      <c r="D82" s="106"/>
      <c r="E82" s="106"/>
      <c r="F82" s="106"/>
      <c r="G82" s="540" t="s">
        <v>486</v>
      </c>
      <c r="H82" s="106"/>
      <c r="I82" s="106"/>
      <c r="J82" s="107" t="s">
        <v>20</v>
      </c>
      <c r="K82" s="108" t="s">
        <v>23</v>
      </c>
      <c r="L82" s="100" t="s">
        <v>21</v>
      </c>
      <c r="M82" s="448">
        <v>70</v>
      </c>
      <c r="N82" s="448">
        <v>70</v>
      </c>
      <c r="O82" s="448">
        <v>140</v>
      </c>
      <c r="P82" s="448"/>
      <c r="Q82" s="448">
        <v>70</v>
      </c>
      <c r="R82" s="448">
        <v>70</v>
      </c>
      <c r="S82" s="448"/>
      <c r="T82" s="448"/>
      <c r="U82" s="448"/>
      <c r="V82" s="448"/>
      <c r="W82" s="448"/>
      <c r="X82" s="447">
        <f t="shared" si="69"/>
        <v>420</v>
      </c>
      <c r="Y82" s="466">
        <v>0</v>
      </c>
      <c r="Z82" s="533">
        <f>+X84</f>
        <v>0</v>
      </c>
      <c r="AA82" s="447">
        <f t="shared" si="70"/>
        <v>420</v>
      </c>
      <c r="AB82" s="343">
        <f>+AC82+AA82</f>
        <v>693</v>
      </c>
      <c r="AC82" s="343">
        <v>273</v>
      </c>
      <c r="AD82" s="344"/>
      <c r="AE82" s="345"/>
      <c r="AF82" s="346"/>
      <c r="AG82" s="347">
        <f t="shared" si="2"/>
        <v>0</v>
      </c>
      <c r="AH82" s="341">
        <f t="shared" si="3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59" s="98" customFormat="1" ht="62.25" customHeight="1" x14ac:dyDescent="1.35">
      <c r="B83" s="351">
        <v>15</v>
      </c>
      <c r="C83" s="406">
        <f>+B83</f>
        <v>15</v>
      </c>
      <c r="D83" s="407" t="s">
        <v>485</v>
      </c>
      <c r="E83" s="111"/>
      <c r="F83" s="111" t="s">
        <v>475</v>
      </c>
      <c r="G83" s="541" t="str">
        <f>+G82</f>
        <v>SARAH</v>
      </c>
      <c r="H83" s="111"/>
      <c r="I83" s="111" t="s">
        <v>487</v>
      </c>
      <c r="J83" s="113">
        <v>27.55</v>
      </c>
      <c r="K83" s="130">
        <v>100</v>
      </c>
      <c r="L83" s="101" t="s">
        <v>17</v>
      </c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123">
        <f t="shared" ref="X83" si="81">+IF(H84="s",0,IF(AA83=0,0,IF(COUNTA(M83:W83)=AK85+0.25,SUMIF($C:$C,B83,$AA:$AA)/AK85,SUMIF($C:$C,B83,$AA:$AA)/(COUNTA(M83:W83)))))</f>
        <v>0</v>
      </c>
      <c r="Y83" s="466"/>
      <c r="Z83" s="534"/>
      <c r="AA83" s="134">
        <f t="shared" si="70"/>
        <v>0</v>
      </c>
      <c r="AB83" s="354">
        <f>+AA83+AC83</f>
        <v>0</v>
      </c>
      <c r="AC83" s="354">
        <v>0</v>
      </c>
      <c r="AD83" s="355">
        <f>+AB82-AB83</f>
        <v>693</v>
      </c>
      <c r="AE83" s="131">
        <f>+IF(((AA84+(AA85/2))*60)=0,"",(J83*AA83)/((AA84+(AA85/2))*60))</f>
        <v>0</v>
      </c>
      <c r="AF83" s="347">
        <f>+AA84+AA85/2</f>
        <v>299.5</v>
      </c>
      <c r="AG83" s="347">
        <f t="shared" si="2"/>
        <v>299.3</v>
      </c>
      <c r="AH83" s="341">
        <f t="shared" si="3"/>
        <v>17970</v>
      </c>
      <c r="AI83" s="341">
        <f>+AA83*J83</f>
        <v>0</v>
      </c>
      <c r="AJ83" s="356">
        <f>+AA83-(AF83*K83/K85)</f>
        <v>-599</v>
      </c>
      <c r="AK83" s="348"/>
      <c r="AL83" s="349"/>
      <c r="AM83" s="341"/>
      <c r="AN83" s="341"/>
      <c r="AO83" s="341"/>
      <c r="AP83" s="341"/>
      <c r="AQ83" s="339">
        <f>-420+AA82</f>
        <v>0</v>
      </c>
      <c r="AR83" s="434">
        <v>1.5</v>
      </c>
      <c r="AT83" s="390">
        <v>273</v>
      </c>
      <c r="AV83" s="390">
        <f t="shared" ref="AV83" si="82">+AT83-AD83</f>
        <v>-420</v>
      </c>
      <c r="AW83" s="535"/>
      <c r="AX83" s="535"/>
      <c r="AY83" s="535"/>
      <c r="AZ83" s="535"/>
      <c r="BA83" s="535"/>
      <c r="BB83" s="535"/>
      <c r="BC83" s="535"/>
      <c r="BD83" s="535"/>
      <c r="BE83" s="535"/>
      <c r="BF83" s="535"/>
    </row>
    <row r="84" spans="2:59" s="98" customFormat="1" ht="62.25" customHeight="1" x14ac:dyDescent="0.9">
      <c r="B84" s="357">
        <f>+B83</f>
        <v>15</v>
      </c>
      <c r="C84" s="408"/>
      <c r="D84" s="184"/>
      <c r="E84" s="111">
        <f>+B83</f>
        <v>15</v>
      </c>
      <c r="F84" s="412"/>
      <c r="G84" s="541" t="str">
        <f>+G82</f>
        <v>SARAH</v>
      </c>
      <c r="H84" s="411" t="s">
        <v>412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48">
        <v>30</v>
      </c>
      <c r="N84" s="448">
        <v>30</v>
      </c>
      <c r="O84" s="448">
        <v>32</v>
      </c>
      <c r="P84" s="448">
        <v>34</v>
      </c>
      <c r="Q84" s="448">
        <v>35</v>
      </c>
      <c r="R84" s="448">
        <v>35</v>
      </c>
      <c r="S84" s="448">
        <v>37</v>
      </c>
      <c r="T84" s="448">
        <v>38</v>
      </c>
      <c r="U84" s="448">
        <v>38</v>
      </c>
      <c r="V84" s="448"/>
      <c r="W84" s="448"/>
      <c r="X84" s="160">
        <f t="shared" ref="X84" si="83">+IF(H84="l",IF(COUNTA(M83:W83)=AK85+0.25,AA83-K83*AK85,AA83-(K83*COUNTA(M83:W83))),IF(H84="s",0,IF(COUNTA(M83:W83)=AK85+0.25,SUMIF($C:$C,B83,$AA:$AA)-K83*AK85,SUMIF($C:$C,B83,$AA:$AA)-K83*COUNTA(M83:W83))))</f>
        <v>0</v>
      </c>
      <c r="Y84" s="466"/>
      <c r="Z84" s="534"/>
      <c r="AA84" s="462">
        <f t="shared" si="76"/>
        <v>299.5</v>
      </c>
      <c r="AB84" s="360"/>
      <c r="AC84" s="360"/>
      <c r="AD84" s="362"/>
      <c r="AE84" s="363"/>
      <c r="AF84" s="346"/>
      <c r="AG84" s="347">
        <f t="shared" si="2"/>
        <v>0</v>
      </c>
      <c r="AH84" s="341">
        <f t="shared" si="3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299.5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59" s="98" customFormat="1" ht="62.25" customHeight="1" thickBot="1" x14ac:dyDescent="0.95">
      <c r="B85" s="364">
        <f>+B83</f>
        <v>15</v>
      </c>
      <c r="C85" s="410"/>
      <c r="D85" s="174" t="s">
        <v>93</v>
      </c>
      <c r="E85" s="175">
        <f>+E84+100</f>
        <v>115</v>
      </c>
      <c r="F85" s="175"/>
      <c r="G85" s="542" t="str">
        <f>+G82</f>
        <v>SARAH</v>
      </c>
      <c r="H85" s="117"/>
      <c r="I85" s="442"/>
      <c r="J85" s="165">
        <f>+IF(K85="","",IF(K83=0,"",(K83*J83)/(K85*60)))</f>
        <v>0.91833333333333333</v>
      </c>
      <c r="K85" s="118">
        <v>50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>
        <v>0</v>
      </c>
      <c r="Z85" s="371">
        <f>+IF(COUNTA(M83:W83)=$AJ$4+0.25,$AJ$4-(AA83/K83),COUNTA(M83:W83)-(AA83/K83))+Y85</f>
        <v>0</v>
      </c>
      <c r="AA85" s="465">
        <f t="shared" si="76"/>
        <v>0</v>
      </c>
      <c r="AB85" s="367"/>
      <c r="AC85" s="367"/>
      <c r="AD85" s="368">
        <f>+IFERROR(AD83/(K83*$AQ$3),"")</f>
        <v>0.79200000000000004</v>
      </c>
      <c r="AE85" s="369"/>
      <c r="AF85" s="347"/>
      <c r="AG85" s="347">
        <f t="shared" si="2"/>
        <v>0</v>
      </c>
      <c r="AH85" s="341">
        <f t="shared" si="3"/>
        <v>0</v>
      </c>
      <c r="AI85" s="341"/>
      <c r="AJ85" s="356"/>
      <c r="AK85" s="370">
        <f>+$AJ$4</f>
        <v>8.75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0.312</v>
      </c>
      <c r="AV85" s="390"/>
    </row>
    <row r="86" spans="2:59" s="98" customFormat="1" ht="62.25" customHeight="1" thickTop="1" x14ac:dyDescent="0.9">
      <c r="B86" s="373">
        <f>+B87</f>
        <v>16</v>
      </c>
      <c r="C86" s="405"/>
      <c r="D86" s="106"/>
      <c r="E86" s="106"/>
      <c r="F86" s="106"/>
      <c r="G86" s="540" t="s">
        <v>476</v>
      </c>
      <c r="H86" s="106"/>
      <c r="I86" s="106"/>
      <c r="J86" s="107" t="s">
        <v>20</v>
      </c>
      <c r="K86" s="108" t="s">
        <v>23</v>
      </c>
      <c r="L86" s="100" t="s">
        <v>21</v>
      </c>
      <c r="M86" s="448">
        <v>120</v>
      </c>
      <c r="N86" s="448">
        <v>180</v>
      </c>
      <c r="O86" s="448">
        <v>120</v>
      </c>
      <c r="P86" s="448">
        <v>180</v>
      </c>
      <c r="Q86" s="448">
        <v>180</v>
      </c>
      <c r="R86" s="448"/>
      <c r="S86" s="448"/>
      <c r="T86" s="448"/>
      <c r="U86" s="448"/>
      <c r="V86" s="448"/>
      <c r="W86" s="448"/>
      <c r="X86" s="447">
        <f t="shared" si="69"/>
        <v>780</v>
      </c>
      <c r="Y86" s="466">
        <v>-432</v>
      </c>
      <c r="Z86" s="533">
        <f>+X88</f>
        <v>-512</v>
      </c>
      <c r="AA86" s="447">
        <f t="shared" si="70"/>
        <v>780</v>
      </c>
      <c r="AB86" s="343">
        <f>+AC86+AA86</f>
        <v>3600</v>
      </c>
      <c r="AC86" s="343">
        <v>2820</v>
      </c>
      <c r="AD86" s="344"/>
      <c r="AE86" s="345"/>
      <c r="AF86" s="346"/>
      <c r="AG86" s="347">
        <f t="shared" si="2"/>
        <v>0</v>
      </c>
      <c r="AH86" s="341">
        <f t="shared" si="3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59" s="98" customFormat="1" ht="62.25" customHeight="1" x14ac:dyDescent="0.9">
      <c r="B87" s="374">
        <v>16</v>
      </c>
      <c r="C87" s="406">
        <f>+B87</f>
        <v>16</v>
      </c>
      <c r="D87" s="407" t="s">
        <v>474</v>
      </c>
      <c r="E87" s="111"/>
      <c r="F87" s="111" t="s">
        <v>475</v>
      </c>
      <c r="G87" s="541" t="str">
        <f t="shared" ref="G87:G89" si="84">+G86</f>
        <v>Cheristina-blanc</v>
      </c>
      <c r="H87" s="111"/>
      <c r="I87" s="111" t="s">
        <v>477</v>
      </c>
      <c r="J87" s="113">
        <v>21.04</v>
      </c>
      <c r="K87" s="130">
        <v>140</v>
      </c>
      <c r="L87" s="101" t="s">
        <v>17</v>
      </c>
      <c r="M87" s="214">
        <v>80</v>
      </c>
      <c r="N87" s="214">
        <v>85</v>
      </c>
      <c r="O87" s="214">
        <v>80</v>
      </c>
      <c r="P87" s="214">
        <v>80</v>
      </c>
      <c r="Q87" s="214">
        <v>80</v>
      </c>
      <c r="R87" s="214">
        <v>85</v>
      </c>
      <c r="S87" s="214">
        <v>90</v>
      </c>
      <c r="T87" s="214">
        <v>90</v>
      </c>
      <c r="U87" s="214">
        <v>43</v>
      </c>
      <c r="V87" s="214"/>
      <c r="W87" s="214"/>
      <c r="X87" s="123">
        <f t="shared" ref="X87" si="85">+IF(H88="s",0,IF(AA87=0,0,IF(COUNTA(M87:W87)=AK89+0.25,SUMIF($C:$C,B87,$AA:$AA)/AK89,SUMIF($C:$C,B87,$AA:$AA)/(COUNTA(M87:W87)))))</f>
        <v>81.48571428571428</v>
      </c>
      <c r="Y87" s="466"/>
      <c r="Z87" s="534"/>
      <c r="AA87" s="134">
        <f t="shared" si="70"/>
        <v>713</v>
      </c>
      <c r="AB87" s="354">
        <f>+AA87+AC87</f>
        <v>2078</v>
      </c>
      <c r="AC87" s="354">
        <v>1365</v>
      </c>
      <c r="AD87" s="355">
        <f>+AB86-AB87</f>
        <v>1522</v>
      </c>
      <c r="AE87" s="131">
        <f>+IF(((AA88+(AA89/2))*60)=0,"",(J87*AA87)/((AA88+(AA89/2))*60))</f>
        <v>0.50715077755240023</v>
      </c>
      <c r="AF87" s="347">
        <f>+AA88+AA89/2</f>
        <v>493</v>
      </c>
      <c r="AG87" s="347">
        <f t="shared" si="2"/>
        <v>493</v>
      </c>
      <c r="AH87" s="341">
        <f t="shared" si="3"/>
        <v>29580</v>
      </c>
      <c r="AI87" s="341">
        <f>+AA87*J87</f>
        <v>15001.519999999999</v>
      </c>
      <c r="AJ87" s="356">
        <f>+AA87-(AF87*K87/K89)</f>
        <v>-497.87719298245611</v>
      </c>
      <c r="AK87" s="348"/>
      <c r="AL87" s="349"/>
      <c r="AM87" s="341"/>
      <c r="AN87" s="341"/>
      <c r="AO87" s="341"/>
      <c r="AP87" s="341"/>
      <c r="AQ87" s="339">
        <f>-780+AA86</f>
        <v>0</v>
      </c>
      <c r="AR87" s="434">
        <v>1.5</v>
      </c>
      <c r="AT87" s="390">
        <v>1455</v>
      </c>
      <c r="AV87" s="390">
        <f t="shared" ref="AV87" si="86">+AT87-AD87</f>
        <v>-67</v>
      </c>
      <c r="AW87" s="536"/>
      <c r="AX87" s="536"/>
      <c r="AY87" s="536"/>
      <c r="AZ87" s="536"/>
      <c r="BA87" s="536"/>
      <c r="BB87" s="536"/>
      <c r="BC87" s="536"/>
      <c r="BD87" s="536"/>
      <c r="BE87" s="536"/>
      <c r="BF87" s="536"/>
      <c r="BG87" s="536"/>
    </row>
    <row r="88" spans="2:59" s="98" customFormat="1" ht="62.25" customHeight="1" x14ac:dyDescent="0.9">
      <c r="B88" s="357">
        <f>+B87</f>
        <v>16</v>
      </c>
      <c r="C88" s="408"/>
      <c r="D88" s="184"/>
      <c r="E88" s="111">
        <f>+B87</f>
        <v>16</v>
      </c>
      <c r="F88" s="409"/>
      <c r="G88" s="541" t="str">
        <f t="shared" si="84"/>
        <v>Cheristina-blanc</v>
      </c>
      <c r="H88" s="411" t="s">
        <v>413</v>
      </c>
      <c r="I88" s="113">
        <f>+IFERROR(IF(K89=0,0,IF((LOOKUP(2,1/(M88:W88&lt;&gt;""),M88:W88)-K89)&lt;0,0,IF(K89=0,"",LOOKUP(2,1/(M88:W88&lt;&gt;""),M88:W88)-K89))),0)</f>
        <v>0</v>
      </c>
      <c r="J88" s="113"/>
      <c r="K88" s="114" t="s">
        <v>22</v>
      </c>
      <c r="L88" s="102" t="s">
        <v>18</v>
      </c>
      <c r="M88" s="448">
        <v>57</v>
      </c>
      <c r="N88" s="448">
        <v>57</v>
      </c>
      <c r="O88" s="448">
        <v>57</v>
      </c>
      <c r="P88" s="448">
        <v>56</v>
      </c>
      <c r="Q88" s="448">
        <v>56</v>
      </c>
      <c r="R88" s="448">
        <v>56</v>
      </c>
      <c r="S88" s="448">
        <v>56</v>
      </c>
      <c r="T88" s="448">
        <v>56</v>
      </c>
      <c r="U88" s="448">
        <v>56</v>
      </c>
      <c r="V88" s="448"/>
      <c r="W88" s="448"/>
      <c r="X88" s="160">
        <f t="shared" ref="X88" si="87">+IF(H88="l",IF(COUNTA(M87:W87)=AK89+0.25,AA87-K87*AK89,AA87-(K87*COUNTA(M87:W87))),IF(H88="s",0,IF(COUNTA(M87:W87)=AK89+0.25,SUMIF($C:$C,B87,$AA:$AA)-K87*AK89,SUMIF($C:$C,B87,$AA:$AA)-K87*COUNTA(M87:W87))))</f>
        <v>-512</v>
      </c>
      <c r="Y88" s="466"/>
      <c r="Z88" s="534"/>
      <c r="AA88" s="462">
        <f t="shared" si="76"/>
        <v>493</v>
      </c>
      <c r="AB88" s="360"/>
      <c r="AC88" s="360"/>
      <c r="AD88" s="362"/>
      <c r="AE88" s="363"/>
      <c r="AF88" s="346"/>
      <c r="AG88" s="347">
        <f t="shared" si="2"/>
        <v>0</v>
      </c>
      <c r="AH88" s="341">
        <f t="shared" si="3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493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59" s="98" customFormat="1" ht="62.25" customHeight="1" thickBot="1" x14ac:dyDescent="0.95">
      <c r="B89" s="375">
        <f>+B87</f>
        <v>16</v>
      </c>
      <c r="C89" s="410"/>
      <c r="D89" s="413" t="s">
        <v>152</v>
      </c>
      <c r="E89" s="175">
        <f>+E88+100</f>
        <v>116</v>
      </c>
      <c r="F89" s="175"/>
      <c r="G89" s="542" t="str">
        <f t="shared" si="84"/>
        <v>Cheristina-blanc</v>
      </c>
      <c r="H89" s="117"/>
      <c r="I89" s="442"/>
      <c r="J89" s="165">
        <f>+IF(K89="","",IF(K87=0,"",(K87*J87)/(K89*60)))</f>
        <v>0.86128654970760232</v>
      </c>
      <c r="K89" s="118">
        <v>57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32.502857142857138</v>
      </c>
      <c r="Z89" s="371">
        <f>+IF(COUNTA(M87:W87)=$AJ$4+0.25,$AJ$4-(AA87/K87),COUNTA(M87:W87)-(AA87/K87))+Y89</f>
        <v>36.159999999999997</v>
      </c>
      <c r="AA89" s="465">
        <f t="shared" si="76"/>
        <v>0</v>
      </c>
      <c r="AB89" s="367"/>
      <c r="AC89" s="367"/>
      <c r="AD89" s="368">
        <f>+IFERROR(AD87/(K87*$AQ$3),"")</f>
        <v>1.2424489795918368</v>
      </c>
      <c r="AE89" s="369"/>
      <c r="AF89" s="347"/>
      <c r="AG89" s="347">
        <f t="shared" si="2"/>
        <v>0</v>
      </c>
      <c r="AH89" s="341">
        <f t="shared" si="3"/>
        <v>0</v>
      </c>
      <c r="AI89" s="341"/>
      <c r="AJ89" s="356"/>
      <c r="AK89" s="370">
        <f>+$AJ$4</f>
        <v>8.75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1.1877551020408164</v>
      </c>
      <c r="AV89" s="390"/>
    </row>
    <row r="90" spans="2:59" s="98" customFormat="1" ht="62.25" customHeight="1" thickTop="1" x14ac:dyDescent="0.9">
      <c r="B90" s="342">
        <f>+B91</f>
        <v>17</v>
      </c>
      <c r="C90" s="405"/>
      <c r="D90" s="106"/>
      <c r="E90" s="106"/>
      <c r="F90" s="106"/>
      <c r="G90" s="539" t="s">
        <v>442</v>
      </c>
      <c r="H90" s="106"/>
      <c r="I90" s="111"/>
      <c r="J90" s="107" t="s">
        <v>20</v>
      </c>
      <c r="K90" s="108" t="s">
        <v>23</v>
      </c>
      <c r="L90" s="100" t="s">
        <v>21</v>
      </c>
      <c r="M90" s="448">
        <v>60</v>
      </c>
      <c r="N90" s="448">
        <v>60</v>
      </c>
      <c r="O90" s="448">
        <v>60</v>
      </c>
      <c r="P90" s="448">
        <v>60</v>
      </c>
      <c r="Q90" s="448">
        <v>60</v>
      </c>
      <c r="R90" s="448">
        <v>60</v>
      </c>
      <c r="S90" s="448"/>
      <c r="T90" s="448"/>
      <c r="U90" s="448"/>
      <c r="V90" s="448"/>
      <c r="W90" s="448"/>
      <c r="X90" s="447">
        <f t="shared" si="69"/>
        <v>360</v>
      </c>
      <c r="Y90" s="466">
        <v>-16.25</v>
      </c>
      <c r="Z90" s="533">
        <f>+X92</f>
        <v>-22.75</v>
      </c>
      <c r="AA90" s="447">
        <f t="shared" si="70"/>
        <v>360</v>
      </c>
      <c r="AB90" s="343">
        <f>+AC90+AA90</f>
        <v>2520</v>
      </c>
      <c r="AC90" s="343">
        <v>2160</v>
      </c>
      <c r="AD90" s="344"/>
      <c r="AE90" s="345"/>
      <c r="AF90" s="346"/>
      <c r="AG90" s="347">
        <f t="shared" ref="AG90:AG97" si="88">TRUNC(AF90)+(AF90-TRUNC(AF90))*60/100</f>
        <v>0</v>
      </c>
      <c r="AH90" s="341">
        <f t="shared" ref="AH90:AH97" si="89">+AF90*60</f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59" s="98" customFormat="1" ht="62.25" customHeight="1" x14ac:dyDescent="0.9">
      <c r="B91" s="351">
        <v>17</v>
      </c>
      <c r="C91" s="406">
        <f>+B91</f>
        <v>17</v>
      </c>
      <c r="D91" s="407" t="s">
        <v>441</v>
      </c>
      <c r="E91" s="111"/>
      <c r="F91" s="111" t="s">
        <v>35</v>
      </c>
      <c r="G91" s="539" t="str">
        <f t="shared" ref="G91:G93" si="90">+G90</f>
        <v>2259-600-730</v>
      </c>
      <c r="H91" s="111"/>
      <c r="I91" s="111" t="s">
        <v>33</v>
      </c>
      <c r="J91" s="113">
        <v>34.450000000000003</v>
      </c>
      <c r="K91" s="130">
        <v>61</v>
      </c>
      <c r="L91" s="101" t="s">
        <v>17</v>
      </c>
      <c r="M91" s="214">
        <v>61</v>
      </c>
      <c r="N91" s="214">
        <v>54</v>
      </c>
      <c r="O91" s="214">
        <v>60</v>
      </c>
      <c r="P91" s="214">
        <v>61</v>
      </c>
      <c r="Q91" s="214">
        <v>61</v>
      </c>
      <c r="R91" s="214">
        <v>61</v>
      </c>
      <c r="S91" s="214">
        <v>62</v>
      </c>
      <c r="T91" s="214">
        <v>61</v>
      </c>
      <c r="U91" s="214">
        <v>30</v>
      </c>
      <c r="V91" s="214"/>
      <c r="W91" s="214"/>
      <c r="X91" s="123">
        <f t="shared" ref="X91" si="91">+IF(H92="s",0,IF(AA91=0,0,IF(COUNTA(M91:W91)=AK93+0.25,SUMIF($C:$C,B91,$AA:$AA)/AK93,SUMIF($C:$C,B91,$AA:$AA)/(COUNTA(M91:W91)))))</f>
        <v>58.4</v>
      </c>
      <c r="Y91" s="466"/>
      <c r="Z91" s="534"/>
      <c r="AA91" s="134">
        <f t="shared" si="70"/>
        <v>511</v>
      </c>
      <c r="AB91" s="354">
        <f>+AA91+AC91</f>
        <v>1731</v>
      </c>
      <c r="AC91" s="354">
        <v>1220</v>
      </c>
      <c r="AD91" s="355">
        <f>+AB90-AB91</f>
        <v>789</v>
      </c>
      <c r="AE91" s="131">
        <f>+IF(((AA92+(AA93/2))*60)=0,"",(J91*AA91)/((AA92+(AA93/2))*60))</f>
        <v>0.85977777777777786</v>
      </c>
      <c r="AF91" s="347">
        <f>+AA92+AA93/2</f>
        <v>341.25</v>
      </c>
      <c r="AG91" s="347">
        <f t="shared" si="88"/>
        <v>341.15</v>
      </c>
      <c r="AH91" s="341">
        <f t="shared" si="89"/>
        <v>20475</v>
      </c>
      <c r="AI91" s="341">
        <f>+AA91*J91</f>
        <v>17603.95</v>
      </c>
      <c r="AJ91" s="356">
        <f>+AA91-(AF91*K91/K93)</f>
        <v>-36.796052631578959</v>
      </c>
      <c r="AK91" s="348"/>
      <c r="AL91" s="349"/>
      <c r="AM91" s="341"/>
      <c r="AN91" s="341"/>
      <c r="AO91" s="341"/>
      <c r="AP91" s="341"/>
      <c r="AQ91" s="339">
        <f>-360+AA90</f>
        <v>0</v>
      </c>
      <c r="AR91" s="434">
        <v>1.5</v>
      </c>
      <c r="AT91" s="390">
        <v>940</v>
      </c>
      <c r="AV91" s="390">
        <f t="shared" ref="AV91" si="92">+AT91-AD91</f>
        <v>151</v>
      </c>
    </row>
    <row r="92" spans="2:59" s="98" customFormat="1" ht="62.25" customHeight="1" x14ac:dyDescent="0.9">
      <c r="B92" s="357">
        <f>+B91</f>
        <v>17</v>
      </c>
      <c r="C92" s="408"/>
      <c r="D92" s="184"/>
      <c r="E92" s="111">
        <f>+B91</f>
        <v>17</v>
      </c>
      <c r="F92" s="409"/>
      <c r="G92" s="539" t="str">
        <f t="shared" si="90"/>
        <v>2259-600-730</v>
      </c>
      <c r="H92" s="411" t="s">
        <v>413</v>
      </c>
      <c r="I92" s="113">
        <f>+IFERROR(IF(K93=0,0,IF((LOOKUP(2,1/(M92:W92&lt;&gt;""),M92:W92)-K93)&lt;0,0,IF(K93=0,"",LOOKUP(2,1/(M92:W92&lt;&gt;""),M92:W92)-K93))),0)</f>
        <v>1</v>
      </c>
      <c r="J92" s="113">
        <v>0</v>
      </c>
      <c r="K92" s="114" t="s">
        <v>22</v>
      </c>
      <c r="L92" s="102" t="s">
        <v>18</v>
      </c>
      <c r="M92" s="448">
        <v>39</v>
      </c>
      <c r="N92" s="448">
        <v>39</v>
      </c>
      <c r="O92" s="448">
        <v>39</v>
      </c>
      <c r="P92" s="448">
        <v>39</v>
      </c>
      <c r="Q92" s="448">
        <v>39</v>
      </c>
      <c r="R92" s="448">
        <v>39</v>
      </c>
      <c r="S92" s="448">
        <v>39</v>
      </c>
      <c r="T92" s="448">
        <v>39</v>
      </c>
      <c r="U92" s="448">
        <v>39</v>
      </c>
      <c r="V92" s="448"/>
      <c r="W92" s="448"/>
      <c r="X92" s="160">
        <f t="shared" ref="X92" si="93">+IF(H92="l",IF(COUNTA(M91:W91)=AK93+0.25,AA91-K91*AK93,AA91-(K91*COUNTA(M91:W91))),IF(H92="s",0,IF(COUNTA(M91:W91)=AK93+0.25,SUMIF($C:$C,B91,$AA:$AA)-K91*AK93,SUMIF($C:$C,B91,$AA:$AA)-K91*COUNTA(M91:W91))))</f>
        <v>-22.75</v>
      </c>
      <c r="Y92" s="466"/>
      <c r="Z92" s="534"/>
      <c r="AA92" s="462">
        <f t="shared" si="76"/>
        <v>341.25</v>
      </c>
      <c r="AB92" s="360"/>
      <c r="AC92" s="360"/>
      <c r="AD92" s="362"/>
      <c r="AE92" s="363"/>
      <c r="AF92" s="346"/>
      <c r="AG92" s="347">
        <f t="shared" si="88"/>
        <v>0</v>
      </c>
      <c r="AH92" s="341">
        <f t="shared" si="89"/>
        <v>0</v>
      </c>
      <c r="AI92" s="341"/>
      <c r="AJ92" s="341"/>
      <c r="AK92" s="348"/>
      <c r="AL92" s="349">
        <f>+IF(AK93=7.75,SUM(M92:S92)+T92*0.75,IF(AK93=8,SUM(M92:T92),IF(AK93=7.25,SUM(M92:S92)+T92*0.25,IF(AK93=8.25,SUM(M92:T92)+U92*0.25,IF(AK93=8.75,SUM(M92:T92)+U92*0.75,0)))))</f>
        <v>341.25</v>
      </c>
      <c r="AM92" s="341">
        <f>+AL92-AA92</f>
        <v>0</v>
      </c>
      <c r="AN92" s="341"/>
      <c r="AO92" s="341"/>
      <c r="AP92" s="341"/>
      <c r="AQ92" s="438"/>
      <c r="AR92" s="434"/>
      <c r="AT92" s="390"/>
      <c r="AV92" s="390"/>
    </row>
    <row r="93" spans="2:59" s="98" customFormat="1" ht="62.25" customHeight="1" thickBot="1" x14ac:dyDescent="0.95">
      <c r="B93" s="364">
        <f>+B91</f>
        <v>17</v>
      </c>
      <c r="C93" s="410"/>
      <c r="D93" s="174" t="s">
        <v>379</v>
      </c>
      <c r="E93" s="175">
        <f>+E92+100</f>
        <v>117</v>
      </c>
      <c r="F93" s="175"/>
      <c r="G93" s="539" t="str">
        <f t="shared" si="90"/>
        <v>2259-600-730</v>
      </c>
      <c r="H93" s="117"/>
      <c r="I93" s="442"/>
      <c r="J93" s="165">
        <f>+IF(K93="","",IF(K91=0,"",(K91*J91)/(K93*60)))</f>
        <v>0.92168859649122814</v>
      </c>
      <c r="K93" s="118">
        <v>38</v>
      </c>
      <c r="L93" s="104" t="s">
        <v>19</v>
      </c>
      <c r="M93" s="216"/>
      <c r="N93" s="216"/>
      <c r="O93" s="216"/>
      <c r="P93" s="216"/>
      <c r="Q93" s="216"/>
      <c r="R93" s="216"/>
      <c r="S93" s="216"/>
      <c r="T93" s="216"/>
      <c r="U93" s="216"/>
      <c r="V93" s="216"/>
      <c r="W93" s="216"/>
      <c r="X93" s="173"/>
      <c r="Y93" s="467">
        <v>44.007498360655738</v>
      </c>
      <c r="Z93" s="371">
        <f>6.1167+IF(COUNTA(M91:W91)=$AJ$4+0.25,$AJ$4-(AA91/K91),COUNTA(M91:W91)-(AA91/K91))+Y93</f>
        <v>50.497149180327867</v>
      </c>
      <c r="AA93" s="465">
        <f t="shared" si="76"/>
        <v>0</v>
      </c>
      <c r="AB93" s="367"/>
      <c r="AC93" s="367"/>
      <c r="AD93" s="368">
        <f>+IFERROR(AD91/(K91*$AQ$3),"")</f>
        <v>1.4782201405152224</v>
      </c>
      <c r="AE93" s="369"/>
      <c r="AF93" s="347"/>
      <c r="AG93" s="347">
        <f t="shared" si="88"/>
        <v>0</v>
      </c>
      <c r="AH93" s="341">
        <f t="shared" si="89"/>
        <v>0</v>
      </c>
      <c r="AI93" s="341"/>
      <c r="AJ93" s="356"/>
      <c r="AK93" s="370">
        <f>+$AJ$4</f>
        <v>8.75</v>
      </c>
      <c r="AL93" s="349">
        <f>+IF(AK93=7.75,SUM(M93:S93)+T93*0.75,IF(AK93=8,SUM(M93:T93),IF(AK93=7.25,SUM(M93:S93)+T93*0.25,IF(AK93=8.25,SUM(M93:T93)+U93*0.25,IF(AK93=8.75,SUM(M93:T93)+U93*0.75,0)))))</f>
        <v>0</v>
      </c>
      <c r="AM93" s="341">
        <f>+AL93-AA93</f>
        <v>0</v>
      </c>
      <c r="AN93" s="341"/>
      <c r="AO93" s="341"/>
      <c r="AP93" s="341"/>
      <c r="AQ93" s="369"/>
      <c r="AR93" s="434"/>
      <c r="AT93" s="390">
        <v>1.7611241217798594</v>
      </c>
      <c r="AV93" s="390"/>
    </row>
    <row r="94" spans="2:59" s="98" customFormat="1" ht="62.25" customHeight="1" thickTop="1" x14ac:dyDescent="0.9">
      <c r="B94" s="373">
        <f>+B95</f>
        <v>18</v>
      </c>
      <c r="C94" s="405"/>
      <c r="D94" s="106"/>
      <c r="E94" s="106"/>
      <c r="F94" s="106"/>
      <c r="G94" s="540" t="s">
        <v>481</v>
      </c>
      <c r="H94" s="106"/>
      <c r="I94" s="106"/>
      <c r="J94" s="107" t="s">
        <v>20</v>
      </c>
      <c r="K94" s="108" t="s">
        <v>23</v>
      </c>
      <c r="L94" s="100" t="s">
        <v>21</v>
      </c>
      <c r="M94" s="448">
        <v>120</v>
      </c>
      <c r="N94" s="448">
        <v>60</v>
      </c>
      <c r="O94" s="448">
        <v>120</v>
      </c>
      <c r="P94" s="448"/>
      <c r="Q94" s="448"/>
      <c r="R94" s="448"/>
      <c r="S94" s="448"/>
      <c r="T94" s="448"/>
      <c r="U94" s="448"/>
      <c r="V94" s="448"/>
      <c r="W94" s="448"/>
      <c r="X94" s="447">
        <f t="shared" si="69"/>
        <v>300</v>
      </c>
      <c r="Y94" s="466">
        <v>-315</v>
      </c>
      <c r="Z94" s="533">
        <f>+X96</f>
        <v>-98</v>
      </c>
      <c r="AA94" s="447">
        <f t="shared" si="70"/>
        <v>300</v>
      </c>
      <c r="AB94" s="343">
        <f>+AC94+AA94</f>
        <v>1470</v>
      </c>
      <c r="AC94" s="343">
        <v>1170</v>
      </c>
      <c r="AD94" s="344"/>
      <c r="AE94" s="345"/>
      <c r="AF94" s="346"/>
      <c r="AG94" s="347">
        <f t="shared" si="88"/>
        <v>0</v>
      </c>
      <c r="AH94" s="341">
        <f t="shared" si="89"/>
        <v>0</v>
      </c>
      <c r="AI94" s="341"/>
      <c r="AJ94" s="341"/>
      <c r="AK94" s="348"/>
      <c r="AL94" s="349"/>
      <c r="AM94" s="341"/>
      <c r="AN94" s="341"/>
      <c r="AO94" s="341"/>
      <c r="AP94" s="341"/>
      <c r="AQ94" s="350"/>
      <c r="AR94" s="434"/>
      <c r="AT94" s="390"/>
      <c r="AV94" s="390"/>
    </row>
    <row r="95" spans="2:59" s="98" customFormat="1" ht="62.25" customHeight="1" x14ac:dyDescent="0.9">
      <c r="B95" s="374">
        <v>18</v>
      </c>
      <c r="C95" s="406">
        <f>+B95</f>
        <v>18</v>
      </c>
      <c r="D95" s="407" t="s">
        <v>480</v>
      </c>
      <c r="E95" s="111"/>
      <c r="F95" s="111" t="s">
        <v>35</v>
      </c>
      <c r="G95" s="541" t="str">
        <f t="shared" ref="G95:G97" si="94">+G94</f>
        <v>2396-593-600</v>
      </c>
      <c r="H95" s="111"/>
      <c r="I95" s="111" t="s">
        <v>33</v>
      </c>
      <c r="J95" s="113">
        <v>38.82</v>
      </c>
      <c r="K95" s="130">
        <v>60</v>
      </c>
      <c r="L95" s="101" t="s">
        <v>17</v>
      </c>
      <c r="M95" s="214">
        <v>47</v>
      </c>
      <c r="N95" s="214">
        <v>40</v>
      </c>
      <c r="O95" s="214">
        <v>50</v>
      </c>
      <c r="P95" s="214">
        <v>50</v>
      </c>
      <c r="Q95" s="214">
        <v>50</v>
      </c>
      <c r="R95" s="214">
        <v>50</v>
      </c>
      <c r="S95" s="214">
        <v>50</v>
      </c>
      <c r="T95" s="214">
        <v>50</v>
      </c>
      <c r="U95" s="214">
        <v>40</v>
      </c>
      <c r="V95" s="214"/>
      <c r="W95" s="214"/>
      <c r="X95" s="123">
        <f t="shared" ref="X95" si="95">+IF(H96="s",0,IF(AA95=0,0,IF(COUNTA(M95:W95)=AK97+0.25,SUMIF($C:$C,B95,$AA:$AA)/AK97,SUMIF($C:$C,B95,$AA:$AA)/(COUNTA(M95:W95)))))</f>
        <v>48.8</v>
      </c>
      <c r="Y95" s="466"/>
      <c r="Z95" s="534"/>
      <c r="AA95" s="134">
        <f t="shared" si="70"/>
        <v>427</v>
      </c>
      <c r="AB95" s="354">
        <f>+AA95+AC95</f>
        <v>547</v>
      </c>
      <c r="AC95" s="354">
        <v>120</v>
      </c>
      <c r="AD95" s="355">
        <f>+AB94-AB95</f>
        <v>923</v>
      </c>
      <c r="AE95" s="131">
        <f>+IF(((AA96+(AA97/2))*60)=0,"",(J95*AA95)/((AA96+(AA97/2))*60))</f>
        <v>0.72582988505747126</v>
      </c>
      <c r="AF95" s="347">
        <f>+AA96+AA97/2</f>
        <v>380.625</v>
      </c>
      <c r="AG95" s="347">
        <f t="shared" si="88"/>
        <v>380.375</v>
      </c>
      <c r="AH95" s="341">
        <f t="shared" si="89"/>
        <v>22837.5</v>
      </c>
      <c r="AI95" s="341">
        <f>+AA95*J95</f>
        <v>16576.14</v>
      </c>
      <c r="AJ95" s="356">
        <f>+AA95-(AF95*K95/K97)</f>
        <v>-104.10465116279067</v>
      </c>
      <c r="AK95" s="348"/>
      <c r="AL95" s="349"/>
      <c r="AM95" s="341"/>
      <c r="AN95" s="341"/>
      <c r="AO95" s="341"/>
      <c r="AP95" s="341"/>
      <c r="AQ95" s="339">
        <f t="shared" si="73"/>
        <v>37.5</v>
      </c>
      <c r="AR95" s="434">
        <v>1.5</v>
      </c>
      <c r="AT95" s="390">
        <v>1050</v>
      </c>
      <c r="AV95" s="390">
        <f t="shared" ref="AV95" si="96">+AT95-AD95</f>
        <v>127</v>
      </c>
    </row>
    <row r="96" spans="2:59" s="98" customFormat="1" ht="62.25" customHeight="1" x14ac:dyDescent="0.9">
      <c r="B96" s="357">
        <f>+B95</f>
        <v>18</v>
      </c>
      <c r="C96" s="408"/>
      <c r="D96" s="184"/>
      <c r="E96" s="111">
        <f>+B95</f>
        <v>18</v>
      </c>
      <c r="F96" s="409"/>
      <c r="G96" s="541" t="str">
        <f t="shared" si="94"/>
        <v>2396-593-600</v>
      </c>
      <c r="H96" s="411" t="s">
        <v>413</v>
      </c>
      <c r="I96" s="113">
        <f>+IFERROR(IF(K97=0,0,IF((LOOKUP(2,1/(M96:W96&lt;&gt;""),M96:W96)-K97)&lt;0,0,IF(K97=0,"",LOOKUP(2,1/(M96:W96&lt;&gt;""),M96:W96)-K97))),0)</f>
        <v>0</v>
      </c>
      <c r="J96" s="113">
        <v>1</v>
      </c>
      <c r="K96" s="114" t="s">
        <v>22</v>
      </c>
      <c r="L96" s="102" t="s">
        <v>18</v>
      </c>
      <c r="M96" s="448">
        <v>43</v>
      </c>
      <c r="N96" s="448">
        <v>43</v>
      </c>
      <c r="O96" s="448">
        <v>43</v>
      </c>
      <c r="P96" s="448">
        <v>43</v>
      </c>
      <c r="Q96" s="448">
        <v>43</v>
      </c>
      <c r="R96" s="448">
        <v>43</v>
      </c>
      <c r="S96" s="448">
        <v>43</v>
      </c>
      <c r="T96" s="448">
        <v>43</v>
      </c>
      <c r="U96" s="448">
        <v>43</v>
      </c>
      <c r="V96" s="448"/>
      <c r="W96" s="448"/>
      <c r="X96" s="160">
        <f t="shared" ref="X96" si="97">+IF(H96="l",IF(COUNTA(M95:W95)=AK97+0.25,AA95-K95*AK97,AA95-(K95*COUNTA(M95:W95))),IF(H96="s",0,IF(COUNTA(M95:W95)=AK97+0.25,SUMIF($C:$C,B95,$AA:$AA)-K95*AK97,SUMIF($C:$C,B95,$AA:$AA)-K95*COUNTA(M95:W95))))</f>
        <v>-98</v>
      </c>
      <c r="Y96" s="466"/>
      <c r="Z96" s="534"/>
      <c r="AA96" s="462">
        <f t="shared" si="76"/>
        <v>376.25</v>
      </c>
      <c r="AB96" s="361"/>
      <c r="AC96" s="361"/>
      <c r="AD96" s="362"/>
      <c r="AE96" s="363"/>
      <c r="AF96" s="346"/>
      <c r="AG96" s="347">
        <f t="shared" si="88"/>
        <v>0</v>
      </c>
      <c r="AH96" s="341">
        <f t="shared" si="89"/>
        <v>0</v>
      </c>
      <c r="AI96" s="341"/>
      <c r="AJ96" s="341"/>
      <c r="AK96" s="348"/>
      <c r="AL96" s="349" t="e">
        <f>+IF(AK97=7.75,SUM(M96:S96)+U96*0.75,IF(AK97=8,SUM(M96:U96),IF(AK97=7.25,SUM(M96:S96)+U96*0.25,IF(AK97=8.25,SUM(M96:U96)+#REF!*0.25,IF(AK97=8.75,SUM(M96:U96)+#REF!*0.75,0)))))</f>
        <v>#REF!</v>
      </c>
      <c r="AM96" s="341" t="e">
        <f>+AL96-AA96</f>
        <v>#REF!</v>
      </c>
      <c r="AN96" s="341"/>
      <c r="AO96" s="341"/>
      <c r="AP96" s="341"/>
      <c r="AQ96" s="438"/>
      <c r="AR96" s="434"/>
      <c r="AT96" s="390"/>
      <c r="AV96" s="390"/>
    </row>
    <row r="97" spans="2:48" s="98" customFormat="1" ht="62.25" customHeight="1" thickBot="1" x14ac:dyDescent="0.95">
      <c r="B97" s="375">
        <f>+B95</f>
        <v>18</v>
      </c>
      <c r="C97" s="410"/>
      <c r="D97" s="413" t="s">
        <v>308</v>
      </c>
      <c r="E97" s="175">
        <f>+E96+100</f>
        <v>118</v>
      </c>
      <c r="F97" s="175"/>
      <c r="G97" s="542" t="str">
        <f t="shared" si="94"/>
        <v>2396-593-600</v>
      </c>
      <c r="H97" s="117"/>
      <c r="I97" s="442"/>
      <c r="J97" s="165">
        <f>+IF(K97="","",IF(K95=0,"",(K95*J95)/(K97*60)))</f>
        <v>0.90279069767441855</v>
      </c>
      <c r="K97" s="118">
        <v>43</v>
      </c>
      <c r="L97" s="104" t="s">
        <v>19</v>
      </c>
      <c r="M97" s="216">
        <v>1</v>
      </c>
      <c r="N97" s="216">
        <v>1</v>
      </c>
      <c r="O97" s="216">
        <v>1</v>
      </c>
      <c r="P97" s="216">
        <v>1</v>
      </c>
      <c r="Q97" s="216">
        <v>1</v>
      </c>
      <c r="R97" s="216">
        <v>1</v>
      </c>
      <c r="S97" s="216">
        <v>1</v>
      </c>
      <c r="T97" s="216">
        <v>1</v>
      </c>
      <c r="U97" s="216">
        <v>1</v>
      </c>
      <c r="V97" s="216"/>
      <c r="W97" s="216"/>
      <c r="X97" s="173"/>
      <c r="Y97" s="467">
        <v>10.827</v>
      </c>
      <c r="Z97" s="371">
        <f>+IF(COUNTA(M95:W95)=$AJ$4+0.25,$AJ$4-(AA95/K95),COUNTA(M95:W95)-(AA95/K95))+Y97</f>
        <v>12.460333333333335</v>
      </c>
      <c r="AA97" s="465">
        <f t="shared" si="76"/>
        <v>8.75</v>
      </c>
      <c r="AB97" s="367"/>
      <c r="AC97" s="367"/>
      <c r="AD97" s="368">
        <f>+IFERROR(AD95/(K95*$AQ$3),"")</f>
        <v>1.7580952380952382</v>
      </c>
      <c r="AE97" s="369"/>
      <c r="AF97" s="347"/>
      <c r="AG97" s="347">
        <f t="shared" si="88"/>
        <v>0</v>
      </c>
      <c r="AH97" s="341">
        <f t="shared" si="89"/>
        <v>0</v>
      </c>
      <c r="AI97" s="341"/>
      <c r="AJ97" s="356"/>
      <c r="AK97" s="370">
        <f>+$AJ$4</f>
        <v>8.75</v>
      </c>
      <c r="AL97" s="349">
        <f>+IF(AK97=7.75,SUM(M97:S97)+T97*0.75,IF(AK97=8,SUM(M97:T97),IF(AK97=7.25,SUM(M97:S97)+T97*0.25,IF(AK97=8.25,SUM(M97:T97)+U97*0.25,IF(AK97=8.75,SUM(M97:T97)+U97*0.75,0)))))</f>
        <v>8.75</v>
      </c>
      <c r="AM97" s="341">
        <f>+AL97-AA97</f>
        <v>0</v>
      </c>
      <c r="AN97" s="341"/>
      <c r="AO97" s="341"/>
      <c r="AP97" s="341"/>
      <c r="AQ97" s="369"/>
      <c r="AR97" s="434"/>
      <c r="AT97" s="390">
        <v>2</v>
      </c>
      <c r="AV97" s="390"/>
    </row>
    <row r="98" spans="2:48" s="419" customFormat="1" ht="91.5" customHeight="1" thickTop="1" thickBot="1" x14ac:dyDescent="0.95">
      <c r="B98" s="414"/>
      <c r="C98" s="414"/>
      <c r="D98" s="415"/>
      <c r="E98" s="415"/>
      <c r="F98" s="415"/>
      <c r="G98" s="415"/>
      <c r="H98" s="415"/>
      <c r="I98" s="415"/>
      <c r="J98" s="415"/>
      <c r="K98" s="415"/>
      <c r="L98" s="416"/>
      <c r="M98" s="416"/>
      <c r="N98" s="416"/>
      <c r="O98" s="416"/>
      <c r="P98" s="416"/>
      <c r="Q98" s="416"/>
      <c r="R98" s="416"/>
      <c r="S98" s="416"/>
      <c r="T98" s="416"/>
      <c r="U98" s="416"/>
      <c r="V98" s="416"/>
      <c r="W98" s="416"/>
      <c r="X98" s="415"/>
      <c r="Y98" s="415"/>
      <c r="Z98" s="415"/>
      <c r="AA98" s="415"/>
      <c r="AB98" s="415"/>
      <c r="AC98" s="415"/>
      <c r="AD98" s="415"/>
      <c r="AE98" s="417"/>
      <c r="AF98" s="418"/>
      <c r="AG98" s="418"/>
      <c r="AK98" s="420"/>
      <c r="AL98" s="421"/>
      <c r="AR98" s="435"/>
    </row>
    <row r="99" spans="2:48" s="419" customFormat="1" ht="91.5" customHeight="1" thickTop="1" thickBot="1" x14ac:dyDescent="0.95">
      <c r="B99" s="414"/>
      <c r="C99" s="414"/>
      <c r="D99" s="415"/>
      <c r="E99" s="415"/>
      <c r="F99" s="415"/>
      <c r="G99" s="415"/>
      <c r="H99" s="415"/>
      <c r="I99" s="415"/>
      <c r="J99" s="415"/>
      <c r="K99" s="415"/>
      <c r="L99" s="378" t="s">
        <v>21</v>
      </c>
      <c r="M99" s="379">
        <f t="shared" ref="M99:W99" si="98">+SUMIF($L$6:$L$98,$L$99,M6:M98)</f>
        <v>1388</v>
      </c>
      <c r="N99" s="379">
        <f t="shared" si="98"/>
        <v>1507</v>
      </c>
      <c r="O99" s="379">
        <f t="shared" si="98"/>
        <v>1200</v>
      </c>
      <c r="P99" s="379">
        <f t="shared" si="98"/>
        <v>420</v>
      </c>
      <c r="Q99" s="379">
        <f t="shared" si="98"/>
        <v>868</v>
      </c>
      <c r="R99" s="379">
        <f t="shared" si="98"/>
        <v>650</v>
      </c>
      <c r="S99" s="379">
        <f t="shared" si="98"/>
        <v>300</v>
      </c>
      <c r="T99" s="379">
        <f t="shared" si="98"/>
        <v>120</v>
      </c>
      <c r="U99" s="379">
        <f t="shared" si="98"/>
        <v>60</v>
      </c>
      <c r="V99" s="379">
        <f t="shared" si="98"/>
        <v>0</v>
      </c>
      <c r="W99" s="379">
        <f t="shared" si="98"/>
        <v>0</v>
      </c>
      <c r="X99" s="332"/>
      <c r="Y99" s="332"/>
      <c r="Z99" s="537">
        <f>+SUM(M99:W99)</f>
        <v>6513</v>
      </c>
      <c r="AA99" s="538"/>
      <c r="AB99" s="415"/>
      <c r="AC99" s="415"/>
      <c r="AD99" s="415"/>
      <c r="AE99" s="417"/>
      <c r="AF99" s="418"/>
      <c r="AG99" s="418"/>
      <c r="AK99" s="420"/>
      <c r="AR99" s="435"/>
    </row>
    <row r="100" spans="2:48" s="419" customFormat="1" ht="91.5" customHeight="1" thickTop="1" thickBot="1" x14ac:dyDescent="0.95">
      <c r="B100" s="414"/>
      <c r="C100" s="414"/>
      <c r="D100" s="415"/>
      <c r="E100" s="415"/>
      <c r="F100" s="415"/>
      <c r="G100" s="415"/>
      <c r="H100" s="415"/>
      <c r="I100" s="415"/>
      <c r="J100" s="415"/>
      <c r="K100" s="415"/>
      <c r="L100" s="380"/>
      <c r="M100" s="376"/>
      <c r="N100" s="376"/>
      <c r="O100" s="376"/>
      <c r="P100" s="376"/>
      <c r="Q100" s="376"/>
      <c r="R100" s="376"/>
      <c r="S100" s="376"/>
      <c r="T100" s="376"/>
      <c r="U100" s="376"/>
      <c r="V100" s="376"/>
      <c r="W100" s="376"/>
      <c r="X100" s="332"/>
      <c r="Y100" s="332"/>
      <c r="Z100" s="332"/>
      <c r="AA100" s="332"/>
      <c r="AB100" s="415"/>
      <c r="AC100" s="415"/>
      <c r="AD100" s="415"/>
      <c r="AE100" s="417"/>
      <c r="AF100" s="418"/>
      <c r="AG100" s="418"/>
      <c r="AK100" s="420"/>
      <c r="AR100" s="435"/>
    </row>
    <row r="101" spans="2:48" s="419" customFormat="1" ht="91.5" customHeight="1" thickTop="1" thickBot="1" x14ac:dyDescent="0.95">
      <c r="B101" s="414"/>
      <c r="C101" s="414"/>
      <c r="D101" s="415"/>
      <c r="E101" s="415"/>
      <c r="F101" s="415"/>
      <c r="G101" s="415"/>
      <c r="H101" s="415"/>
      <c r="I101" s="415"/>
      <c r="J101" s="415"/>
      <c r="K101" s="415"/>
      <c r="L101" s="378" t="s">
        <v>17</v>
      </c>
      <c r="M101" s="379">
        <f t="shared" ref="M101:W101" si="99">+SUMIF($L$6:$L$98,$L$101,M6:M98)</f>
        <v>702</v>
      </c>
      <c r="N101" s="379">
        <f t="shared" si="99"/>
        <v>705</v>
      </c>
      <c r="O101" s="379">
        <f t="shared" si="99"/>
        <v>778</v>
      </c>
      <c r="P101" s="379">
        <f t="shared" si="99"/>
        <v>727</v>
      </c>
      <c r="Q101" s="379">
        <f t="shared" si="99"/>
        <v>741</v>
      </c>
      <c r="R101" s="379">
        <f t="shared" si="99"/>
        <v>768</v>
      </c>
      <c r="S101" s="379">
        <f t="shared" si="99"/>
        <v>730</v>
      </c>
      <c r="T101" s="379">
        <f t="shared" si="99"/>
        <v>713</v>
      </c>
      <c r="U101" s="379">
        <f t="shared" si="99"/>
        <v>484</v>
      </c>
      <c r="V101" s="379">
        <f t="shared" si="99"/>
        <v>0</v>
      </c>
      <c r="W101" s="379">
        <f t="shared" si="99"/>
        <v>0</v>
      </c>
      <c r="X101" s="332"/>
      <c r="Y101" s="332"/>
      <c r="Z101" s="537">
        <f>+SUM(M101:W101)</f>
        <v>6348</v>
      </c>
      <c r="AA101" s="538"/>
      <c r="AB101" s="415"/>
      <c r="AC101" s="415"/>
      <c r="AD101" s="415"/>
      <c r="AE101" s="417"/>
      <c r="AF101" s="418"/>
      <c r="AG101" s="418"/>
      <c r="AK101" s="420"/>
      <c r="AR101" s="435"/>
    </row>
    <row r="102" spans="2:48" s="419" customFormat="1" ht="91.5" customHeight="1" thickTop="1" thickBot="1" x14ac:dyDescent="0.95">
      <c r="B102" s="414"/>
      <c r="C102" s="414"/>
      <c r="D102" s="415"/>
      <c r="E102" s="415"/>
      <c r="F102" s="415"/>
      <c r="G102" s="415"/>
      <c r="H102" s="415"/>
      <c r="I102" s="415"/>
      <c r="J102" s="415"/>
      <c r="K102" s="415"/>
      <c r="L102" s="380"/>
      <c r="M102" s="376"/>
      <c r="N102" s="376"/>
      <c r="O102" s="376"/>
      <c r="P102" s="376"/>
      <c r="Q102" s="376"/>
      <c r="R102" s="376"/>
      <c r="S102" s="376"/>
      <c r="T102" s="376"/>
      <c r="U102" s="376"/>
      <c r="V102" s="376"/>
      <c r="W102" s="376"/>
      <c r="X102" s="332"/>
      <c r="Y102" s="332"/>
      <c r="Z102" s="332"/>
      <c r="AA102" s="332"/>
      <c r="AB102" s="415"/>
      <c r="AC102" s="415"/>
      <c r="AD102" s="415"/>
      <c r="AE102" s="417"/>
      <c r="AF102" s="418"/>
      <c r="AG102" s="418"/>
      <c r="AK102" s="420"/>
      <c r="AR102" s="435"/>
    </row>
    <row r="103" spans="2:48" s="419" customFormat="1" ht="91.5" customHeight="1" thickTop="1" thickBot="1" x14ac:dyDescent="0.95">
      <c r="B103" s="414"/>
      <c r="C103" s="414"/>
      <c r="D103" s="422"/>
      <c r="E103" s="422"/>
      <c r="F103" s="422"/>
      <c r="G103" s="422"/>
      <c r="H103" s="422"/>
      <c r="I103" s="422"/>
      <c r="J103" s="423"/>
      <c r="K103" s="422"/>
      <c r="L103" s="378" t="s">
        <v>19</v>
      </c>
      <c r="M103" s="379">
        <f t="shared" ref="M103:W103" si="100">+SUMIF($L$6:$L$98,$L$103,M6:M98)</f>
        <v>6</v>
      </c>
      <c r="N103" s="379">
        <f t="shared" si="100"/>
        <v>6</v>
      </c>
      <c r="O103" s="379">
        <f t="shared" si="100"/>
        <v>6</v>
      </c>
      <c r="P103" s="379">
        <f t="shared" si="100"/>
        <v>6</v>
      </c>
      <c r="Q103" s="379">
        <f t="shared" si="100"/>
        <v>6</v>
      </c>
      <c r="R103" s="379">
        <f t="shared" si="100"/>
        <v>6</v>
      </c>
      <c r="S103" s="379">
        <f t="shared" si="100"/>
        <v>6</v>
      </c>
      <c r="T103" s="379">
        <f t="shared" si="100"/>
        <v>6</v>
      </c>
      <c r="U103" s="379">
        <f t="shared" si="100"/>
        <v>6</v>
      </c>
      <c r="V103" s="379">
        <f t="shared" si="100"/>
        <v>0</v>
      </c>
      <c r="W103" s="379">
        <f t="shared" si="100"/>
        <v>0</v>
      </c>
      <c r="X103" s="381"/>
      <c r="Y103" s="381"/>
      <c r="Z103" s="332"/>
      <c r="AA103" s="332"/>
      <c r="AB103" s="415"/>
      <c r="AC103" s="415"/>
      <c r="AD103" s="415"/>
      <c r="AE103" s="417"/>
      <c r="AF103" s="418"/>
      <c r="AG103" s="418"/>
      <c r="AK103" s="420"/>
      <c r="AR103" s="435"/>
    </row>
    <row r="104" spans="2:48" s="419" customFormat="1" ht="62.25" customHeight="1" thickTop="1" x14ac:dyDescent="0.9">
      <c r="B104" s="414"/>
      <c r="C104" s="414"/>
      <c r="D104" s="422"/>
      <c r="E104" s="422"/>
      <c r="F104" s="422"/>
      <c r="G104" s="422"/>
      <c r="H104" s="422"/>
      <c r="I104" s="424"/>
      <c r="J104" s="423"/>
      <c r="K104" s="422"/>
      <c r="L104" s="380"/>
      <c r="M104" s="382"/>
      <c r="N104" s="377"/>
      <c r="O104" s="377"/>
      <c r="P104" s="377"/>
      <c r="Q104" s="377"/>
      <c r="R104" s="377"/>
      <c r="S104" s="377"/>
      <c r="T104" s="377"/>
      <c r="U104" s="377"/>
      <c r="V104" s="377"/>
      <c r="W104" s="377"/>
      <c r="X104" s="332"/>
      <c r="Y104" s="332"/>
      <c r="Z104" s="332"/>
      <c r="AA104" s="332"/>
      <c r="AB104" s="415"/>
      <c r="AC104" s="415"/>
      <c r="AD104" s="425"/>
      <c r="AE104" s="417"/>
      <c r="AF104" s="418"/>
      <c r="AG104" s="418"/>
      <c r="AK104" s="420"/>
      <c r="AR104" s="435"/>
    </row>
    <row r="105" spans="2:48" s="98" customFormat="1" ht="62.25" customHeight="1" thickBot="1" x14ac:dyDescent="0.95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384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91"/>
      <c r="AC105" s="91"/>
      <c r="AD105" s="91"/>
      <c r="AE105" s="95"/>
      <c r="AF105" s="158"/>
      <c r="AG105" s="158"/>
      <c r="AK105" s="183"/>
      <c r="AR105" s="434"/>
    </row>
    <row r="106" spans="2:48" s="98" customFormat="1" ht="88.5" customHeight="1" thickTop="1" thickBot="1" x14ac:dyDescent="0.95">
      <c r="B106" s="94"/>
      <c r="C106" s="94"/>
      <c r="D106" s="92"/>
      <c r="E106" s="92"/>
      <c r="F106" s="92"/>
      <c r="G106" s="92"/>
      <c r="H106" s="92"/>
      <c r="I106" s="91"/>
      <c r="J106" s="93"/>
      <c r="K106" s="212" t="s">
        <v>18</v>
      </c>
      <c r="L106" s="385" t="s">
        <v>180</v>
      </c>
      <c r="M106" s="379">
        <f t="shared" ref="M106:W106" si="101">+IF(M109=0,0,SUMIFS($J$6:$J$98,$L$6:$L$98,$K$106))</f>
        <v>11</v>
      </c>
      <c r="N106" s="379">
        <f t="shared" si="101"/>
        <v>11</v>
      </c>
      <c r="O106" s="379">
        <f t="shared" si="101"/>
        <v>11</v>
      </c>
      <c r="P106" s="379">
        <f t="shared" si="101"/>
        <v>11</v>
      </c>
      <c r="Q106" s="379">
        <f t="shared" si="101"/>
        <v>11</v>
      </c>
      <c r="R106" s="379">
        <f t="shared" si="101"/>
        <v>11</v>
      </c>
      <c r="S106" s="379">
        <f t="shared" si="101"/>
        <v>11</v>
      </c>
      <c r="T106" s="379">
        <f t="shared" si="101"/>
        <v>11</v>
      </c>
      <c r="U106" s="379">
        <f t="shared" si="101"/>
        <v>11</v>
      </c>
      <c r="V106" s="379">
        <f t="shared" si="101"/>
        <v>0</v>
      </c>
      <c r="W106" s="379">
        <f t="shared" si="101"/>
        <v>0</v>
      </c>
      <c r="X106" s="383"/>
      <c r="Y106" s="383"/>
      <c r="Z106" s="340"/>
      <c r="AA106" s="340"/>
      <c r="AB106" s="91"/>
      <c r="AC106" s="91"/>
      <c r="AD106" s="91"/>
      <c r="AE106" s="95"/>
      <c r="AF106" s="158"/>
      <c r="AG106" s="158"/>
      <c r="AK106" s="183"/>
      <c r="AR106" s="434"/>
    </row>
    <row r="107" spans="2:48" s="98" customFormat="1" ht="62.25" customHeight="1" thickTop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84"/>
      <c r="M107" s="386"/>
      <c r="N107" s="386"/>
      <c r="O107" s="386"/>
      <c r="P107" s="386"/>
      <c r="Q107" s="386"/>
      <c r="R107" s="386"/>
      <c r="S107" s="386"/>
      <c r="T107" s="386"/>
      <c r="U107" s="386"/>
      <c r="V107" s="386"/>
      <c r="W107" s="386"/>
      <c r="X107" s="340"/>
      <c r="Y107" s="340"/>
      <c r="Z107" s="340"/>
      <c r="AA107" s="340"/>
      <c r="AB107" s="91"/>
      <c r="AC107" s="91"/>
      <c r="AD107" s="91"/>
      <c r="AE107" s="95"/>
      <c r="AF107" s="158"/>
      <c r="AG107" s="158"/>
      <c r="AK107" s="183"/>
      <c r="AR107" s="434"/>
    </row>
    <row r="108" spans="2:48" s="98" customFormat="1" ht="62.25" customHeight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212"/>
      <c r="L108" s="384"/>
      <c r="M108" s="340"/>
      <c r="N108" s="340"/>
      <c r="O108" s="340"/>
      <c r="P108" s="340"/>
      <c r="Q108" s="387"/>
      <c r="R108" s="387"/>
      <c r="S108" s="387"/>
      <c r="T108" s="387"/>
      <c r="U108" s="387"/>
      <c r="V108" s="387"/>
      <c r="W108" s="387"/>
      <c r="X108" s="340"/>
      <c r="Y108" s="340"/>
      <c r="Z108" s="340"/>
      <c r="AA108" s="340"/>
      <c r="AB108" s="91"/>
      <c r="AC108" s="91"/>
      <c r="AD108" s="91"/>
      <c r="AE108" s="95"/>
      <c r="AF108" s="158"/>
      <c r="AG108" s="158"/>
      <c r="AK108" s="183"/>
      <c r="AR108" s="434"/>
    </row>
    <row r="109" spans="2:48" s="98" customFormat="1" ht="98.25" customHeight="1" thickTop="1" thickBot="1" x14ac:dyDescent="0.95">
      <c r="B109" s="94"/>
      <c r="C109" s="94"/>
      <c r="D109" s="92"/>
      <c r="E109" s="92"/>
      <c r="F109" s="92"/>
      <c r="G109" s="92"/>
      <c r="H109" s="92"/>
      <c r="I109" s="92"/>
      <c r="J109" s="93"/>
      <c r="K109" s="212"/>
      <c r="L109" s="385" t="s">
        <v>18</v>
      </c>
      <c r="M109" s="379">
        <f t="shared" ref="M109:W109" si="102">+SUMIF($L$6:$L$98,$L$109,M6:M98)</f>
        <v>628</v>
      </c>
      <c r="N109" s="379">
        <f t="shared" si="102"/>
        <v>628</v>
      </c>
      <c r="O109" s="379">
        <f t="shared" si="102"/>
        <v>628</v>
      </c>
      <c r="P109" s="379">
        <f t="shared" si="102"/>
        <v>627</v>
      </c>
      <c r="Q109" s="379">
        <f t="shared" si="102"/>
        <v>629</v>
      </c>
      <c r="R109" s="379">
        <f t="shared" si="102"/>
        <v>629</v>
      </c>
      <c r="S109" s="379">
        <f t="shared" si="102"/>
        <v>629</v>
      </c>
      <c r="T109" s="379">
        <f t="shared" si="102"/>
        <v>629</v>
      </c>
      <c r="U109" s="379">
        <f t="shared" si="102"/>
        <v>629</v>
      </c>
      <c r="V109" s="379">
        <f t="shared" si="102"/>
        <v>0</v>
      </c>
      <c r="W109" s="379">
        <f t="shared" si="102"/>
        <v>0</v>
      </c>
      <c r="X109" s="340"/>
      <c r="Y109" s="340"/>
      <c r="Z109" s="340"/>
      <c r="AA109" s="340"/>
      <c r="AB109" s="91"/>
      <c r="AC109" s="91"/>
      <c r="AD109" s="91"/>
      <c r="AE109" s="95"/>
      <c r="AF109" s="158"/>
      <c r="AG109" s="158"/>
      <c r="AK109" s="183"/>
      <c r="AR109" s="434"/>
    </row>
    <row r="110" spans="2:48" s="98" customFormat="1" ht="62.25" customHeight="1" thickTop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212"/>
      <c r="L110" s="384"/>
      <c r="M110" s="388"/>
      <c r="N110" s="388"/>
      <c r="O110" s="388"/>
      <c r="P110" s="388"/>
      <c r="Q110" s="388"/>
      <c r="R110" s="388"/>
      <c r="S110" s="388"/>
      <c r="T110" s="388"/>
      <c r="U110" s="388"/>
      <c r="V110" s="388"/>
      <c r="W110" s="388"/>
      <c r="X110" s="340"/>
      <c r="Y110" s="340"/>
      <c r="Z110" s="340"/>
      <c r="AA110" s="340"/>
      <c r="AB110" s="91"/>
      <c r="AC110" s="91"/>
      <c r="AD110" s="91"/>
      <c r="AE110" s="95"/>
      <c r="AF110" s="158"/>
      <c r="AG110" s="158"/>
      <c r="AK110" s="183"/>
      <c r="AR110" s="434"/>
    </row>
    <row r="111" spans="2:48" s="98" customFormat="1" ht="62.25" customHeight="1" thickBot="1" x14ac:dyDescent="0.95">
      <c r="B111" s="94"/>
      <c r="C111" s="94"/>
      <c r="D111" s="92"/>
      <c r="E111" s="92"/>
      <c r="F111" s="92"/>
      <c r="G111" s="92"/>
      <c r="H111" s="92"/>
      <c r="I111" s="92"/>
      <c r="J111" s="93"/>
      <c r="K111" s="212"/>
      <c r="L111" s="384"/>
      <c r="M111" s="340"/>
      <c r="N111" s="340"/>
      <c r="O111" s="340"/>
      <c r="P111" s="340"/>
      <c r="Q111" s="387"/>
      <c r="R111" s="387"/>
      <c r="S111" s="387"/>
      <c r="T111" s="387"/>
      <c r="U111" s="387"/>
      <c r="V111" s="387"/>
      <c r="W111" s="387"/>
      <c r="X111" s="340"/>
      <c r="Y111" s="340"/>
      <c r="Z111" s="340"/>
      <c r="AA111" s="340"/>
      <c r="AB111" s="91"/>
      <c r="AC111" s="91"/>
      <c r="AD111" s="91"/>
      <c r="AE111" s="95"/>
      <c r="AF111" s="158"/>
      <c r="AG111" s="158"/>
      <c r="AK111" s="183"/>
      <c r="AR111" s="434"/>
    </row>
    <row r="112" spans="2:48" s="98" customFormat="1" ht="94.5" customHeight="1" thickTop="1" thickBot="1" x14ac:dyDescent="0.95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385" t="s">
        <v>13</v>
      </c>
      <c r="M112" s="379">
        <f>+M109+M106+M103</f>
        <v>645</v>
      </c>
      <c r="N112" s="379">
        <f t="shared" ref="N112:W112" si="103">+N109+N106+N103</f>
        <v>645</v>
      </c>
      <c r="O112" s="379">
        <f t="shared" si="103"/>
        <v>645</v>
      </c>
      <c r="P112" s="379">
        <f t="shared" si="103"/>
        <v>644</v>
      </c>
      <c r="Q112" s="379">
        <f t="shared" si="103"/>
        <v>646</v>
      </c>
      <c r="R112" s="379">
        <f t="shared" si="103"/>
        <v>646</v>
      </c>
      <c r="S112" s="379">
        <f t="shared" si="103"/>
        <v>646</v>
      </c>
      <c r="T112" s="379">
        <f t="shared" si="103"/>
        <v>646</v>
      </c>
      <c r="U112" s="379">
        <f t="shared" si="103"/>
        <v>646</v>
      </c>
      <c r="V112" s="379">
        <f t="shared" si="103"/>
        <v>0</v>
      </c>
      <c r="W112" s="379">
        <f t="shared" si="103"/>
        <v>0</v>
      </c>
      <c r="X112" s="340"/>
      <c r="Y112" s="340"/>
      <c r="Z112" s="340"/>
      <c r="AA112" s="340"/>
      <c r="AB112" s="91"/>
      <c r="AC112" s="91"/>
      <c r="AD112" s="91"/>
      <c r="AE112" s="95"/>
      <c r="AF112" s="155"/>
      <c r="AG112" s="155"/>
      <c r="AK112" s="183"/>
      <c r="AR112" s="434"/>
    </row>
    <row r="113" spans="2:44" s="98" customFormat="1" ht="62.25" thickTop="1" x14ac:dyDescent="0.9">
      <c r="B113" s="94"/>
      <c r="C113" s="94"/>
      <c r="D113" s="92"/>
      <c r="E113" s="92"/>
      <c r="F113" s="92"/>
      <c r="G113" s="92"/>
      <c r="H113" s="92"/>
      <c r="I113" s="92"/>
      <c r="J113" s="93"/>
      <c r="K113" s="92"/>
      <c r="L113" s="389"/>
      <c r="M113" s="340"/>
      <c r="N113" s="340"/>
      <c r="O113" s="340"/>
      <c r="P113" s="340"/>
      <c r="Q113" s="340"/>
      <c r="R113" s="340"/>
      <c r="S113" s="340"/>
      <c r="T113" s="340"/>
      <c r="U113" s="340"/>
      <c r="V113" s="340"/>
      <c r="W113" s="340"/>
      <c r="X113" s="340"/>
      <c r="Y113" s="340"/>
      <c r="Z113" s="340"/>
      <c r="AA113" s="340"/>
      <c r="AB113" s="91"/>
      <c r="AC113" s="91"/>
      <c r="AD113" s="91"/>
      <c r="AE113" s="95"/>
      <c r="AF113" s="158"/>
      <c r="AG113" s="158"/>
      <c r="AK113" s="183"/>
      <c r="AR113" s="434"/>
    </row>
    <row r="114" spans="2:44" x14ac:dyDescent="0.9">
      <c r="J114" s="91"/>
      <c r="K114" s="91"/>
      <c r="T114" s="515"/>
      <c r="U114" s="515"/>
      <c r="V114" s="515"/>
      <c r="AF114" s="158"/>
      <c r="AG114" s="158"/>
    </row>
    <row r="115" spans="2:44" ht="105" customHeight="1" x14ac:dyDescent="0.9">
      <c r="B115" s="426"/>
      <c r="AF115" s="158"/>
      <c r="AG115" s="158"/>
    </row>
    <row r="116" spans="2:44" s="98" customFormat="1" x14ac:dyDescent="0.9">
      <c r="B116" s="94"/>
      <c r="C116" s="94"/>
      <c r="D116" s="92"/>
      <c r="E116" s="92"/>
      <c r="F116" s="92"/>
      <c r="G116" s="92"/>
      <c r="H116" s="92"/>
      <c r="I116" s="92"/>
      <c r="J116" s="93"/>
      <c r="K116" s="92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/>
      <c r="AF116" s="158"/>
      <c r="AG116" s="158"/>
      <c r="AK116" s="183"/>
      <c r="AR116" s="434"/>
    </row>
    <row r="117" spans="2:44" s="98" customFormat="1" x14ac:dyDescent="0.9">
      <c r="B117" s="94"/>
      <c r="C117" s="94"/>
      <c r="D117" s="92"/>
      <c r="E117" s="92"/>
      <c r="F117" s="92"/>
      <c r="G117" s="92"/>
      <c r="H117" s="92"/>
      <c r="I117" s="91"/>
      <c r="J117" s="93"/>
      <c r="K117" s="92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8"/>
      <c r="AG117" s="158"/>
      <c r="AK117" s="183"/>
      <c r="AR117" s="434"/>
    </row>
    <row r="118" spans="2:44" s="98" customFormat="1" x14ac:dyDescent="0.9">
      <c r="B118" s="94"/>
      <c r="C118" s="94"/>
      <c r="D118" s="92"/>
      <c r="E118" s="92"/>
      <c r="F118" s="92"/>
      <c r="G118" s="92"/>
      <c r="H118" s="92"/>
      <c r="I118" s="92"/>
      <c r="J118" s="93"/>
      <c r="K118" s="92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8"/>
      <c r="AG118" s="158"/>
      <c r="AK118" s="183"/>
      <c r="AR118" s="434"/>
    </row>
    <row r="119" spans="2:44" s="98" customFormat="1" ht="66" customHeight="1" x14ac:dyDescent="0.9">
      <c r="B119" s="94"/>
      <c r="C119" s="94"/>
      <c r="D119" s="92"/>
      <c r="E119" s="92"/>
      <c r="F119" s="92"/>
      <c r="G119" s="92"/>
      <c r="H119" s="92"/>
      <c r="I119" s="92"/>
      <c r="J119" s="93"/>
      <c r="K119" s="92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8"/>
      <c r="AG119" s="158"/>
      <c r="AK119" s="183"/>
      <c r="AR119" s="434"/>
    </row>
    <row r="121" spans="2:44" s="92" customFormat="1" x14ac:dyDescent="0.7">
      <c r="B121" s="94"/>
      <c r="C121" s="94"/>
      <c r="D121" s="92">
        <v>2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22" spans="2:44" s="92" customFormat="1" x14ac:dyDescent="0.7">
      <c r="B122" s="94"/>
      <c r="C122" s="94"/>
      <c r="H122" s="92">
        <v>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5"/>
      <c r="AG122" s="155"/>
      <c r="AH122" s="98"/>
      <c r="AI122" s="98"/>
      <c r="AJ122" s="98"/>
      <c r="AK122" s="183"/>
      <c r="AL122" s="91"/>
      <c r="AM122" s="91"/>
      <c r="AR122" s="243"/>
    </row>
    <row r="123" spans="2:44" s="92" customFormat="1" x14ac:dyDescent="0.7">
      <c r="B123" s="94"/>
      <c r="C123" s="94"/>
      <c r="H123" s="92">
        <v>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5"/>
      <c r="AG123" s="155"/>
      <c r="AH123" s="98"/>
      <c r="AI123" s="98"/>
      <c r="AJ123" s="98"/>
      <c r="AK123" s="183"/>
      <c r="AL123" s="91"/>
      <c r="AM123" s="91"/>
      <c r="AR123" s="243"/>
    </row>
    <row r="124" spans="2:44" s="92" customFormat="1" x14ac:dyDescent="0.7">
      <c r="B124" s="94"/>
      <c r="C124" s="94"/>
      <c r="H124" s="92">
        <v>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/>
      <c r="AF124" s="155"/>
      <c r="AG124" s="155"/>
      <c r="AH124" s="98"/>
      <c r="AI124" s="98"/>
      <c r="AJ124" s="98"/>
      <c r="AK124" s="183"/>
      <c r="AL124" s="91"/>
      <c r="AM124" s="91"/>
      <c r="AR124" s="243"/>
    </row>
    <row r="125" spans="2:44" s="92" customFormat="1" x14ac:dyDescent="0.7">
      <c r="B125" s="94"/>
      <c r="C125" s="94"/>
      <c r="H125" s="92">
        <v>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6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7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8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30" spans="2:44" s="92" customFormat="1" x14ac:dyDescent="0.7">
      <c r="B130" s="94"/>
      <c r="C130" s="94"/>
      <c r="H130" s="92">
        <v>11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/>
      <c r="AF130" s="155"/>
      <c r="AG130" s="155"/>
      <c r="AH130" s="98"/>
      <c r="AI130" s="98"/>
      <c r="AJ130" s="98"/>
      <c r="AK130" s="183"/>
      <c r="AL130" s="91"/>
      <c r="AM130" s="91"/>
      <c r="AR130" s="243"/>
    </row>
    <row r="131" spans="2:44" s="92" customFormat="1" x14ac:dyDescent="0.7">
      <c r="B131" s="94"/>
      <c r="C131" s="94"/>
      <c r="H131" s="92">
        <v>12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/>
      <c r="AF131" s="155"/>
      <c r="AG131" s="155"/>
      <c r="AH131" s="98"/>
      <c r="AI131" s="98"/>
      <c r="AJ131" s="98"/>
      <c r="AK131" s="183"/>
      <c r="AL131" s="91"/>
      <c r="AM131" s="91"/>
      <c r="AR131" s="243"/>
    </row>
    <row r="132" spans="2:44" s="92" customFormat="1" x14ac:dyDescent="0.7">
      <c r="B132" s="94"/>
      <c r="C132" s="94"/>
      <c r="H132" s="92">
        <v>13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5"/>
      <c r="AF132" s="155"/>
      <c r="AG132" s="155"/>
      <c r="AH132" s="98"/>
      <c r="AI132" s="98"/>
      <c r="AJ132" s="98"/>
      <c r="AK132" s="183"/>
      <c r="AL132" s="91"/>
      <c r="AM132" s="91"/>
      <c r="AR132" s="243"/>
    </row>
    <row r="133" spans="2:44" s="92" customFormat="1" x14ac:dyDescent="0.7">
      <c r="B133" s="94"/>
      <c r="C133" s="94"/>
      <c r="H133" s="92">
        <v>14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5"/>
      <c r="AG133" s="155"/>
      <c r="AH133" s="98"/>
      <c r="AI133" s="98"/>
      <c r="AJ133" s="98"/>
      <c r="AK133" s="183"/>
      <c r="AL133" s="91"/>
      <c r="AM133" s="91"/>
      <c r="AR133" s="243"/>
    </row>
    <row r="134" spans="2:44" s="92" customFormat="1" x14ac:dyDescent="0.7">
      <c r="B134" s="94"/>
      <c r="C134" s="94"/>
      <c r="H134" s="92">
        <v>15</v>
      </c>
      <c r="J134" s="93"/>
      <c r="L134" s="99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  <c r="AC134" s="91"/>
      <c r="AD134" s="91"/>
      <c r="AE134" s="95"/>
      <c r="AF134" s="155"/>
      <c r="AG134" s="155"/>
      <c r="AH134" s="98"/>
      <c r="AI134" s="98"/>
      <c r="AJ134" s="98"/>
      <c r="AK134" s="183"/>
      <c r="AL134" s="91"/>
      <c r="AM134" s="91"/>
      <c r="AR134" s="243"/>
    </row>
    <row r="135" spans="2:44" s="92" customFormat="1" x14ac:dyDescent="0.7">
      <c r="B135" s="94"/>
      <c r="C135" s="94"/>
      <c r="H135" s="92">
        <v>17</v>
      </c>
      <c r="J135" s="93"/>
      <c r="L135" s="99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  <c r="AC135" s="91"/>
      <c r="AD135" s="91"/>
      <c r="AE135" s="95"/>
      <c r="AF135" s="155"/>
      <c r="AG135" s="155"/>
      <c r="AH135" s="98"/>
      <c r="AI135" s="98"/>
      <c r="AJ135" s="98"/>
      <c r="AK135" s="183"/>
      <c r="AL135" s="91"/>
      <c r="AM135" s="91"/>
      <c r="AR135" s="243"/>
    </row>
    <row r="136" spans="2:44" s="92" customFormat="1" x14ac:dyDescent="0.7">
      <c r="B136" s="94"/>
      <c r="C136" s="94"/>
      <c r="H136" s="92">
        <v>18</v>
      </c>
      <c r="J136" s="93"/>
      <c r="L136" s="99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  <c r="AC136" s="91"/>
      <c r="AD136" s="91"/>
      <c r="AE136" s="95"/>
      <c r="AF136" s="155"/>
      <c r="AG136" s="155"/>
      <c r="AH136" s="98"/>
      <c r="AI136" s="98"/>
      <c r="AJ136" s="98"/>
      <c r="AK136" s="183"/>
      <c r="AL136" s="91"/>
      <c r="AM136" s="91"/>
      <c r="AR136" s="243"/>
    </row>
    <row r="137" spans="2:44" s="92" customFormat="1" x14ac:dyDescent="0.7">
      <c r="B137" s="94"/>
      <c r="C137" s="94"/>
      <c r="H137" s="92">
        <v>19</v>
      </c>
      <c r="J137" s="93"/>
      <c r="L137" s="99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  <c r="AC137" s="91"/>
      <c r="AD137" s="91"/>
      <c r="AE137" s="95"/>
      <c r="AF137" s="155"/>
      <c r="AG137" s="155"/>
      <c r="AH137" s="98"/>
      <c r="AI137" s="98"/>
      <c r="AJ137" s="98"/>
      <c r="AK137" s="183"/>
      <c r="AL137" s="91"/>
      <c r="AM137" s="91"/>
      <c r="AR137" s="243"/>
    </row>
    <row r="193" spans="2:44" s="92" customFormat="1" x14ac:dyDescent="0.7">
      <c r="B193" s="94"/>
      <c r="C193" s="94"/>
      <c r="G193" s="92">
        <v>1</v>
      </c>
      <c r="J193" s="93"/>
      <c r="L193" s="99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  <c r="AC193" s="91"/>
      <c r="AD193" s="91"/>
      <c r="AE193" s="95"/>
      <c r="AF193" s="155"/>
      <c r="AG193" s="155"/>
      <c r="AH193" s="98"/>
      <c r="AI193" s="98"/>
      <c r="AJ193" s="98"/>
      <c r="AK193" s="183"/>
      <c r="AL193" s="91"/>
      <c r="AM193" s="91"/>
      <c r="AR193" s="243"/>
    </row>
  </sheetData>
  <sheetProtection algorithmName="SHA-512" hashValue="nYJf/Cw2SbZxaSr6SOZNAZxxqI09eE9+L8oWFlrl6zhM3A+2VTwYIJm6ECeIEycpDGwt9NzsX7uWZn6Ig9X+6Q==" saltValue="C9avNUOpN6WEgXjUmbR56A==" spinCount="100000" sheet="1" autoFilter="0"/>
  <autoFilter ref="A5:CR97">
    <filterColumn colId="9" showButton="0"/>
  </autoFilter>
  <mergeCells count="67">
    <mergeCell ref="T114:V114"/>
    <mergeCell ref="G90:G93"/>
    <mergeCell ref="Z90:Z92"/>
    <mergeCell ref="G94:G97"/>
    <mergeCell ref="Z94:Z96"/>
    <mergeCell ref="Z99:AA99"/>
    <mergeCell ref="Z101:AA101"/>
    <mergeCell ref="AW79:BF79"/>
    <mergeCell ref="G82:G85"/>
    <mergeCell ref="Z82:Z84"/>
    <mergeCell ref="AW83:BF83"/>
    <mergeCell ref="G86:G89"/>
    <mergeCell ref="Z86:Z88"/>
    <mergeCell ref="AW87:BG87"/>
    <mergeCell ref="G70:G73"/>
    <mergeCell ref="Z70:Z72"/>
    <mergeCell ref="G74:G77"/>
    <mergeCell ref="Z74:Z76"/>
    <mergeCell ref="G78:G81"/>
    <mergeCell ref="Z78:Z80"/>
    <mergeCell ref="G58:G61"/>
    <mergeCell ref="Z58:Z60"/>
    <mergeCell ref="G62:G65"/>
    <mergeCell ref="Z62:Z64"/>
    <mergeCell ref="G66:G69"/>
    <mergeCell ref="Z66:Z68"/>
    <mergeCell ref="G50:G53"/>
    <mergeCell ref="Z50:Z52"/>
    <mergeCell ref="AW51:BF51"/>
    <mergeCell ref="G54:G57"/>
    <mergeCell ref="Z54:Z56"/>
    <mergeCell ref="AW55:BF55"/>
    <mergeCell ref="G42:G45"/>
    <mergeCell ref="Z42:Z44"/>
    <mergeCell ref="AW43:BF43"/>
    <mergeCell ref="G46:G49"/>
    <mergeCell ref="Z46:Z48"/>
    <mergeCell ref="G34:G37"/>
    <mergeCell ref="Z34:Z36"/>
    <mergeCell ref="G38:G41"/>
    <mergeCell ref="Z38:Z40"/>
    <mergeCell ref="G22:G25"/>
    <mergeCell ref="Z22:Z24"/>
    <mergeCell ref="G26:G29"/>
    <mergeCell ref="Z26:Z28"/>
    <mergeCell ref="G30:G33"/>
    <mergeCell ref="Z30:Z32"/>
    <mergeCell ref="G14:G17"/>
    <mergeCell ref="Z14:Z16"/>
    <mergeCell ref="AW15:BF15"/>
    <mergeCell ref="G18:G21"/>
    <mergeCell ref="Z18:Z20"/>
    <mergeCell ref="AW19:BF19"/>
    <mergeCell ref="J5:K5"/>
    <mergeCell ref="G6:G9"/>
    <mergeCell ref="Z6:Z8"/>
    <mergeCell ref="AW7:BF7"/>
    <mergeCell ref="G10:G13"/>
    <mergeCell ref="Z10:Z12"/>
    <mergeCell ref="AW11:BF11"/>
    <mergeCell ref="AD1:AE1"/>
    <mergeCell ref="AD2:AE3"/>
    <mergeCell ref="H3:I3"/>
    <mergeCell ref="K3:L3"/>
    <mergeCell ref="B4:G4"/>
    <mergeCell ref="K4:L4"/>
    <mergeCell ref="AD4:AE4"/>
  </mergeCells>
  <conditionalFormatting sqref="AD2:AE3">
    <cfRule type="cellIs" dxfId="9051" priority="1021" operator="lessThan">
      <formula>0.85</formula>
    </cfRule>
  </conditionalFormatting>
  <conditionalFormatting sqref="AM1:AM5 AM98:AM1048576">
    <cfRule type="cellIs" dxfId="9050" priority="1020" operator="notEqual">
      <formula>0</formula>
    </cfRule>
  </conditionalFormatting>
  <conditionalFormatting sqref="AQ98:AQ100">
    <cfRule type="cellIs" dxfId="9049" priority="1019" operator="lessThan">
      <formula>0</formula>
    </cfRule>
  </conditionalFormatting>
  <conditionalFormatting sqref="X98:Y98">
    <cfRule type="cellIs" dxfId="9048" priority="1018" operator="lessThan">
      <formula>0</formula>
    </cfRule>
  </conditionalFormatting>
  <conditionalFormatting sqref="AM22:AM25">
    <cfRule type="cellIs" dxfId="9047" priority="1016" operator="notEqual">
      <formula>0</formula>
    </cfRule>
  </conditionalFormatting>
  <conditionalFormatting sqref="I24">
    <cfRule type="cellIs" dxfId="9046" priority="1015" operator="greaterThan">
      <formula>0</formula>
    </cfRule>
  </conditionalFormatting>
  <conditionalFormatting sqref="J24">
    <cfRule type="cellIs" dxfId="9045" priority="1014" operator="greaterThan">
      <formula>0</formula>
    </cfRule>
  </conditionalFormatting>
  <conditionalFormatting sqref="AM70:AM73">
    <cfRule type="cellIs" dxfId="9044" priority="1012" operator="notEqual">
      <formula>0</formula>
    </cfRule>
  </conditionalFormatting>
  <conditionalFormatting sqref="I72">
    <cfRule type="cellIs" dxfId="9043" priority="1011" operator="greaterThan">
      <formula>0</formula>
    </cfRule>
  </conditionalFormatting>
  <conditionalFormatting sqref="AM18:AM21">
    <cfRule type="cellIs" dxfId="9042" priority="1009" operator="notEqual">
      <formula>0</formula>
    </cfRule>
  </conditionalFormatting>
  <conditionalFormatting sqref="I20">
    <cfRule type="cellIs" dxfId="9041" priority="1008" operator="greaterThan">
      <formula>0</formula>
    </cfRule>
  </conditionalFormatting>
  <conditionalFormatting sqref="J20">
    <cfRule type="cellIs" dxfId="9040" priority="1007" operator="greaterThan">
      <formula>0</formula>
    </cfRule>
  </conditionalFormatting>
  <conditionalFormatting sqref="AM10:AM13">
    <cfRule type="cellIs" dxfId="9039" priority="1005" operator="notEqual">
      <formula>0</formula>
    </cfRule>
  </conditionalFormatting>
  <conditionalFormatting sqref="I12">
    <cfRule type="cellIs" dxfId="9038" priority="1004" operator="greaterThan">
      <formula>0</formula>
    </cfRule>
  </conditionalFormatting>
  <conditionalFormatting sqref="AM58:AM61">
    <cfRule type="cellIs" dxfId="9037" priority="1002" operator="notEqual">
      <formula>0</formula>
    </cfRule>
  </conditionalFormatting>
  <conditionalFormatting sqref="I60">
    <cfRule type="cellIs" dxfId="9036" priority="1001" operator="greaterThan">
      <formula>0</formula>
    </cfRule>
  </conditionalFormatting>
  <conditionalFormatting sqref="J60">
    <cfRule type="cellIs" dxfId="9035" priority="1000" operator="greaterThan">
      <formula>0</formula>
    </cfRule>
  </conditionalFormatting>
  <conditionalFormatting sqref="AM62:AM65">
    <cfRule type="cellIs" dxfId="9034" priority="998" operator="notEqual">
      <formula>0</formula>
    </cfRule>
  </conditionalFormatting>
  <conditionalFormatting sqref="I64">
    <cfRule type="cellIs" dxfId="9033" priority="997" operator="greaterThan">
      <formula>0</formula>
    </cfRule>
  </conditionalFormatting>
  <conditionalFormatting sqref="J64">
    <cfRule type="cellIs" dxfId="9032" priority="996" operator="greaterThan">
      <formula>0</formula>
    </cfRule>
  </conditionalFormatting>
  <conditionalFormatting sqref="AM78:AM81">
    <cfRule type="cellIs" dxfId="9031" priority="994" operator="notEqual">
      <formula>0</formula>
    </cfRule>
  </conditionalFormatting>
  <conditionalFormatting sqref="I80">
    <cfRule type="cellIs" dxfId="9030" priority="993" operator="greaterThan">
      <formula>0</formula>
    </cfRule>
  </conditionalFormatting>
  <conditionalFormatting sqref="J80">
    <cfRule type="cellIs" dxfId="9029" priority="992" operator="greaterThan">
      <formula>0</formula>
    </cfRule>
  </conditionalFormatting>
  <conditionalFormatting sqref="AM30:AM33">
    <cfRule type="cellIs" dxfId="9028" priority="990" operator="notEqual">
      <formula>0</formula>
    </cfRule>
  </conditionalFormatting>
  <conditionalFormatting sqref="I32">
    <cfRule type="cellIs" dxfId="9027" priority="989" operator="greaterThan">
      <formula>0</formula>
    </cfRule>
  </conditionalFormatting>
  <conditionalFormatting sqref="J32">
    <cfRule type="cellIs" dxfId="9026" priority="988" operator="greaterThan">
      <formula>0</formula>
    </cfRule>
  </conditionalFormatting>
  <conditionalFormatting sqref="J12">
    <cfRule type="cellIs" dxfId="9025" priority="987" operator="greaterThan">
      <formula>0</formula>
    </cfRule>
  </conditionalFormatting>
  <conditionalFormatting sqref="AM50:AM53">
    <cfRule type="cellIs" dxfId="9024" priority="985" operator="notEqual">
      <formula>0</formula>
    </cfRule>
  </conditionalFormatting>
  <conditionalFormatting sqref="I52">
    <cfRule type="cellIs" dxfId="9023" priority="984" operator="greaterThan">
      <formula>0</formula>
    </cfRule>
  </conditionalFormatting>
  <conditionalFormatting sqref="J52">
    <cfRule type="cellIs" dxfId="9022" priority="983" operator="greaterThan">
      <formula>0</formula>
    </cfRule>
  </conditionalFormatting>
  <conditionalFormatting sqref="J72">
    <cfRule type="cellIs" dxfId="9021" priority="979" operator="greaterThan">
      <formula>0</formula>
    </cfRule>
  </conditionalFormatting>
  <conditionalFormatting sqref="AM46:AM49">
    <cfRule type="cellIs" dxfId="9020" priority="977" operator="notEqual">
      <formula>0</formula>
    </cfRule>
  </conditionalFormatting>
  <conditionalFormatting sqref="I48">
    <cfRule type="cellIs" dxfId="9019" priority="976" operator="greaterThan">
      <formula>0</formula>
    </cfRule>
  </conditionalFormatting>
  <conditionalFormatting sqref="J48">
    <cfRule type="cellIs" dxfId="9018" priority="975" operator="greaterThan">
      <formula>0</formula>
    </cfRule>
  </conditionalFormatting>
  <conditionalFormatting sqref="AM26:AM29">
    <cfRule type="cellIs" dxfId="9017" priority="932" operator="notEqual">
      <formula>0</formula>
    </cfRule>
  </conditionalFormatting>
  <conditionalFormatting sqref="I28">
    <cfRule type="cellIs" dxfId="9016" priority="931" operator="greaterThan">
      <formula>0</formula>
    </cfRule>
  </conditionalFormatting>
  <conditionalFormatting sqref="J28">
    <cfRule type="cellIs" dxfId="9015" priority="930" operator="greaterThan">
      <formula>0</formula>
    </cfRule>
  </conditionalFormatting>
  <conditionalFormatting sqref="AM90:AM93">
    <cfRule type="cellIs" dxfId="9014" priority="887" operator="notEqual">
      <formula>0</formula>
    </cfRule>
  </conditionalFormatting>
  <conditionalFormatting sqref="I92">
    <cfRule type="cellIs" dxfId="9013" priority="886" operator="greaterThan">
      <formula>0</formula>
    </cfRule>
  </conditionalFormatting>
  <conditionalFormatting sqref="AM86:AM89">
    <cfRule type="cellIs" dxfId="9012" priority="843" operator="notEqual">
      <formula>0</formula>
    </cfRule>
  </conditionalFormatting>
  <conditionalFormatting sqref="I88">
    <cfRule type="cellIs" dxfId="9011" priority="842" operator="greaterThan">
      <formula>0</formula>
    </cfRule>
  </conditionalFormatting>
  <conditionalFormatting sqref="J88">
    <cfRule type="cellIs" dxfId="9010" priority="841" operator="greaterThan">
      <formula>0</formula>
    </cfRule>
  </conditionalFormatting>
  <conditionalFormatting sqref="Y12 Y20 Y24 Y28 Y32 Y48 Y52 Y60 Y64 Y72 Y80 Y88 Y92">
    <cfRule type="cellIs" dxfId="9009" priority="799" operator="lessThan">
      <formula>0</formula>
    </cfRule>
  </conditionalFormatting>
  <conditionalFormatting sqref="Y10:Y12 Y18:Y20 Y22:Y24 Y26:Y28 Y30:Y32 Y46:Y48 Y50:Y52 Y58:Y60 Y62:Y64 Y70:Y72 Y78:Y80 Y86:Y88 Y90:Y92">
    <cfRule type="cellIs" dxfId="9008" priority="798" operator="lessThan">
      <formula>0</formula>
    </cfRule>
  </conditionalFormatting>
  <conditionalFormatting sqref="Y13 Y21 Y25 Y29 Y33 Y49 Y53 Y61 Y65 Y81 Y89 Y93">
    <cfRule type="cellIs" dxfId="9007" priority="797" operator="lessThan">
      <formula>0</formula>
    </cfRule>
  </conditionalFormatting>
  <conditionalFormatting sqref="AM38:AM41">
    <cfRule type="cellIs" dxfId="9006" priority="794" operator="notEqual">
      <formula>0</formula>
    </cfRule>
  </conditionalFormatting>
  <conditionalFormatting sqref="I40">
    <cfRule type="cellIs" dxfId="9005" priority="793" operator="greaterThan">
      <formula>0</formula>
    </cfRule>
  </conditionalFormatting>
  <conditionalFormatting sqref="Y39">
    <cfRule type="iconSet" priority="751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9004" priority="750" operator="lessThan">
      <formula>0</formula>
    </cfRule>
  </conditionalFormatting>
  <conditionalFormatting sqref="Y38:Y40">
    <cfRule type="cellIs" dxfId="9003" priority="749" operator="lessThan">
      <formula>0</formula>
    </cfRule>
  </conditionalFormatting>
  <conditionalFormatting sqref="Y41">
    <cfRule type="cellIs" dxfId="9002" priority="748" operator="lessThan">
      <formula>0</formula>
    </cfRule>
  </conditionalFormatting>
  <conditionalFormatting sqref="AM42:AM45">
    <cfRule type="cellIs" dxfId="9001" priority="746" operator="notEqual">
      <formula>0</formula>
    </cfRule>
  </conditionalFormatting>
  <conditionalFormatting sqref="I44">
    <cfRule type="cellIs" dxfId="9000" priority="745" operator="greaterThan">
      <formula>0</formula>
    </cfRule>
  </conditionalFormatting>
  <conditionalFormatting sqref="Y43">
    <cfRule type="iconSet" priority="703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8999" priority="702" operator="lessThan">
      <formula>0</formula>
    </cfRule>
  </conditionalFormatting>
  <conditionalFormatting sqref="Y42:Y44">
    <cfRule type="cellIs" dxfId="8998" priority="701" operator="lessThan">
      <formula>0</formula>
    </cfRule>
  </conditionalFormatting>
  <conditionalFormatting sqref="Y45">
    <cfRule type="cellIs" dxfId="8997" priority="700" operator="lessThan">
      <formula>0</formula>
    </cfRule>
  </conditionalFormatting>
  <conditionalFormatting sqref="AM74:AM77">
    <cfRule type="cellIs" dxfId="8996" priority="698" operator="notEqual">
      <formula>0</formula>
    </cfRule>
  </conditionalFormatting>
  <conditionalFormatting sqref="I76">
    <cfRule type="cellIs" dxfId="8995" priority="697" operator="greaterThan">
      <formula>0</formula>
    </cfRule>
  </conditionalFormatting>
  <conditionalFormatting sqref="Y75">
    <cfRule type="iconSet" priority="655">
      <iconSet>
        <cfvo type="percent" val="0"/>
        <cfvo type="percent" val="&quot;$I$6&quot;"/>
        <cfvo type="percent" val="#REF!"/>
      </iconSet>
    </cfRule>
  </conditionalFormatting>
  <conditionalFormatting sqref="Y76">
    <cfRule type="cellIs" dxfId="8994" priority="654" operator="lessThan">
      <formula>0</formula>
    </cfRule>
  </conditionalFormatting>
  <conditionalFormatting sqref="Y74:Y76">
    <cfRule type="cellIs" dxfId="8993" priority="653" operator="lessThan">
      <formula>0</formula>
    </cfRule>
  </conditionalFormatting>
  <conditionalFormatting sqref="Y77">
    <cfRule type="cellIs" dxfId="8992" priority="652" operator="lessThan">
      <formula>0</formula>
    </cfRule>
  </conditionalFormatting>
  <conditionalFormatting sqref="AM14:AM17">
    <cfRule type="cellIs" dxfId="8991" priority="650" operator="notEqual">
      <formula>0</formula>
    </cfRule>
  </conditionalFormatting>
  <conditionalFormatting sqref="I16">
    <cfRule type="cellIs" dxfId="8990" priority="649" operator="greaterThan">
      <formula>0</formula>
    </cfRule>
  </conditionalFormatting>
  <conditionalFormatting sqref="Y15">
    <cfRule type="iconSet" priority="607">
      <iconSet>
        <cfvo type="percent" val="0"/>
        <cfvo type="percent" val="&quot;$I$6&quot;"/>
        <cfvo type="percent" val="#REF!"/>
      </iconSet>
    </cfRule>
  </conditionalFormatting>
  <conditionalFormatting sqref="Y16">
    <cfRule type="cellIs" dxfId="8989" priority="606" operator="lessThan">
      <formula>0</formula>
    </cfRule>
  </conditionalFormatting>
  <conditionalFormatting sqref="Y14:Y16">
    <cfRule type="cellIs" dxfId="8988" priority="605" operator="lessThan">
      <formula>0</formula>
    </cfRule>
  </conditionalFormatting>
  <conditionalFormatting sqref="Y17">
    <cfRule type="cellIs" dxfId="8987" priority="604" operator="lessThan">
      <formula>0</formula>
    </cfRule>
  </conditionalFormatting>
  <conditionalFormatting sqref="AM94:AM97">
    <cfRule type="cellIs" dxfId="8986" priority="570" operator="notEqual">
      <formula>0</formula>
    </cfRule>
  </conditionalFormatting>
  <conditionalFormatting sqref="I96">
    <cfRule type="cellIs" dxfId="8985" priority="569" operator="greaterThan">
      <formula>0</formula>
    </cfRule>
  </conditionalFormatting>
  <conditionalFormatting sqref="Y95">
    <cfRule type="iconSet" priority="527">
      <iconSet>
        <cfvo type="percent" val="0"/>
        <cfvo type="percent" val="&quot;$I$6&quot;"/>
        <cfvo type="percent" val="#REF!"/>
      </iconSet>
    </cfRule>
  </conditionalFormatting>
  <conditionalFormatting sqref="Y96">
    <cfRule type="cellIs" dxfId="8984" priority="526" operator="lessThan">
      <formula>0</formula>
    </cfRule>
  </conditionalFormatting>
  <conditionalFormatting sqref="Y94:Y96">
    <cfRule type="cellIs" dxfId="8983" priority="525" operator="lessThan">
      <formula>0</formula>
    </cfRule>
  </conditionalFormatting>
  <conditionalFormatting sqref="Y97">
    <cfRule type="cellIs" dxfId="8982" priority="524" operator="lessThan">
      <formula>0</formula>
    </cfRule>
  </conditionalFormatting>
  <conditionalFormatting sqref="AM54:AM57">
    <cfRule type="cellIs" dxfId="8981" priority="521" operator="notEqual">
      <formula>0</formula>
    </cfRule>
  </conditionalFormatting>
  <conditionalFormatting sqref="I56">
    <cfRule type="cellIs" dxfId="8980" priority="520" operator="greaterThan">
      <formula>0</formula>
    </cfRule>
  </conditionalFormatting>
  <conditionalFormatting sqref="Y55">
    <cfRule type="iconSet" priority="478">
      <iconSet>
        <cfvo type="percent" val="0"/>
        <cfvo type="percent" val="&quot;$I$6&quot;"/>
        <cfvo type="percent" val="#REF!"/>
      </iconSet>
    </cfRule>
  </conditionalFormatting>
  <conditionalFormatting sqref="Y56">
    <cfRule type="cellIs" dxfId="8979" priority="477" operator="lessThan">
      <formula>0</formula>
    </cfRule>
  </conditionalFormatting>
  <conditionalFormatting sqref="Y54:Y56">
    <cfRule type="cellIs" dxfId="8978" priority="476" operator="lessThan">
      <formula>0</formula>
    </cfRule>
  </conditionalFormatting>
  <conditionalFormatting sqref="Y57">
    <cfRule type="cellIs" dxfId="8977" priority="475" operator="lessThan">
      <formula>0</formula>
    </cfRule>
  </conditionalFormatting>
  <conditionalFormatting sqref="AQ6">
    <cfRule type="cellIs" dxfId="8976" priority="442" operator="lessThan">
      <formula>0</formula>
    </cfRule>
  </conditionalFormatting>
  <conditionalFormatting sqref="AQ6">
    <cfRule type="cellIs" dxfId="8975" priority="441" operator="lessThan">
      <formula>0</formula>
    </cfRule>
  </conditionalFormatting>
  <conditionalFormatting sqref="AQ8:AQ9">
    <cfRule type="cellIs" dxfId="8974" priority="440" operator="lessThan">
      <formula>0</formula>
    </cfRule>
  </conditionalFormatting>
  <conditionalFormatting sqref="AQ8:AQ9">
    <cfRule type="cellIs" dxfId="8973" priority="439" operator="lessThan">
      <formula>0</formula>
    </cfRule>
  </conditionalFormatting>
  <conditionalFormatting sqref="AQ8:AQ9">
    <cfRule type="cellIs" dxfId="8972" priority="438" operator="lessThan">
      <formula>0</formula>
    </cfRule>
  </conditionalFormatting>
  <conditionalFormatting sqref="AQ8:AQ9">
    <cfRule type="cellIs" dxfId="8971" priority="437" operator="lessThan">
      <formula>0</formula>
    </cfRule>
  </conditionalFormatting>
  <conditionalFormatting sqref="AQ8:AQ9">
    <cfRule type="cellIs" dxfId="8970" priority="436" operator="lessThan">
      <formula>0</formula>
    </cfRule>
  </conditionalFormatting>
  <conditionalFormatting sqref="AQ8:AQ9">
    <cfRule type="cellIs" dxfId="8969" priority="435" operator="lessThan">
      <formula>0</formula>
    </cfRule>
  </conditionalFormatting>
  <conditionalFormatting sqref="AQ8:AQ9">
    <cfRule type="cellIs" dxfId="8968" priority="434" operator="lessThan">
      <formula>0</formula>
    </cfRule>
  </conditionalFormatting>
  <conditionalFormatting sqref="AQ8:AQ9">
    <cfRule type="cellIs" dxfId="8967" priority="433" operator="lessThan">
      <formula>0</formula>
    </cfRule>
  </conditionalFormatting>
  <conditionalFormatting sqref="AQ6">
    <cfRule type="cellIs" dxfId="8966" priority="432" operator="lessThan">
      <formula>0</formula>
    </cfRule>
  </conditionalFormatting>
  <conditionalFormatting sqref="AQ6 AQ8:AQ9">
    <cfRule type="cellIs" dxfId="8965" priority="431" operator="lessThan">
      <formula>0</formula>
    </cfRule>
  </conditionalFormatting>
  <conditionalFormatting sqref="AM6:AM9">
    <cfRule type="cellIs" dxfId="8964" priority="430" operator="notEqual">
      <formula>0</formula>
    </cfRule>
  </conditionalFormatting>
  <conditionalFormatting sqref="I8">
    <cfRule type="cellIs" dxfId="8963" priority="429" operator="greaterThan">
      <formula>0</formula>
    </cfRule>
  </conditionalFormatting>
  <conditionalFormatting sqref="AQ6 AQ8:AQ9">
    <cfRule type="cellIs" dxfId="8962" priority="428" operator="lessThan">
      <formula>0</formula>
    </cfRule>
  </conditionalFormatting>
  <conditionalFormatting sqref="AQ6 AQ8:AQ9">
    <cfRule type="cellIs" dxfId="8961" priority="427" operator="lessThan">
      <formula>0</formula>
    </cfRule>
  </conditionalFormatting>
  <conditionalFormatting sqref="AQ6 AQ8:AQ9">
    <cfRule type="cellIs" dxfId="8960" priority="426" operator="lessThan">
      <formula>0</formula>
    </cfRule>
  </conditionalFormatting>
  <conditionalFormatting sqref="J8">
    <cfRule type="cellIs" dxfId="8959" priority="425" operator="greaterThan">
      <formula>0</formula>
    </cfRule>
  </conditionalFormatting>
  <conditionalFormatting sqref="AQ8:AQ9">
    <cfRule type="cellIs" dxfId="8958" priority="424" operator="lessThan">
      <formula>0</formula>
    </cfRule>
  </conditionalFormatting>
  <conditionalFormatting sqref="AQ8:AQ9">
    <cfRule type="cellIs" dxfId="8957" priority="423" operator="lessThan">
      <formula>0</formula>
    </cfRule>
  </conditionalFormatting>
  <conditionalFormatting sqref="AQ8:AQ9">
    <cfRule type="cellIs" dxfId="8956" priority="422" operator="lessThan">
      <formula>0</formula>
    </cfRule>
  </conditionalFormatting>
  <conditionalFormatting sqref="AQ8:AQ9">
    <cfRule type="cellIs" dxfId="8955" priority="421" operator="lessThan">
      <formula>0</formula>
    </cfRule>
  </conditionalFormatting>
  <conditionalFormatting sqref="Y7">
    <cfRule type="iconSet" priority="419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8954" priority="418" operator="lessThan">
      <formula>0</formula>
    </cfRule>
  </conditionalFormatting>
  <conditionalFormatting sqref="Y6:Y8">
    <cfRule type="cellIs" dxfId="8953" priority="417" operator="lessThan">
      <formula>0</formula>
    </cfRule>
  </conditionalFormatting>
  <conditionalFormatting sqref="Y9">
    <cfRule type="cellIs" dxfId="8952" priority="416" operator="lessThan">
      <formula>0</formula>
    </cfRule>
  </conditionalFormatting>
  <conditionalFormatting sqref="J40">
    <cfRule type="cellIs" dxfId="8951" priority="415" operator="greaterThan">
      <formula>0</formula>
    </cfRule>
  </conditionalFormatting>
  <conditionalFormatting sqref="J44">
    <cfRule type="cellIs" dxfId="8950" priority="414" operator="greaterThan">
      <formula>0</formula>
    </cfRule>
  </conditionalFormatting>
  <conditionalFormatting sqref="J92">
    <cfRule type="cellIs" dxfId="8949" priority="413" operator="greaterThan">
      <formula>0</formula>
    </cfRule>
  </conditionalFormatting>
  <conditionalFormatting sqref="AM66:AM69">
    <cfRule type="cellIs" dxfId="8948" priority="411" operator="notEqual">
      <formula>0</formula>
    </cfRule>
  </conditionalFormatting>
  <conditionalFormatting sqref="Y67">
    <cfRule type="iconSet" priority="369">
      <iconSet>
        <cfvo type="percent" val="0"/>
        <cfvo type="percent" val="&quot;$I$6&quot;"/>
        <cfvo type="percent" val="#REF!"/>
      </iconSet>
    </cfRule>
  </conditionalFormatting>
  <conditionalFormatting sqref="Y68">
    <cfRule type="cellIs" dxfId="8947" priority="368" operator="lessThan">
      <formula>0</formula>
    </cfRule>
  </conditionalFormatting>
  <conditionalFormatting sqref="Y66:Y68">
    <cfRule type="cellIs" dxfId="8946" priority="367" operator="lessThan">
      <formula>0</formula>
    </cfRule>
  </conditionalFormatting>
  <conditionalFormatting sqref="Y69">
    <cfRule type="cellIs" dxfId="8945" priority="366" operator="lessThan">
      <formula>0</formula>
    </cfRule>
  </conditionalFormatting>
  <conditionalFormatting sqref="I68">
    <cfRule type="cellIs" dxfId="8944" priority="365" operator="greaterThan">
      <formula>0</formula>
    </cfRule>
  </conditionalFormatting>
  <conditionalFormatting sqref="AM34:AM37">
    <cfRule type="cellIs" dxfId="8943" priority="363" operator="notEqual">
      <formula>0</formula>
    </cfRule>
  </conditionalFormatting>
  <conditionalFormatting sqref="I36">
    <cfRule type="cellIs" dxfId="8942" priority="362" operator="greaterThan">
      <formula>0</formula>
    </cfRule>
  </conditionalFormatting>
  <conditionalFormatting sqref="Y35">
    <cfRule type="iconSet" priority="351">
      <iconSet>
        <cfvo type="percent" val="0"/>
        <cfvo type="percent" val="&quot;$I$6&quot;"/>
        <cfvo type="percent" val="#REF!"/>
      </iconSet>
    </cfRule>
  </conditionalFormatting>
  <conditionalFormatting sqref="Y36">
    <cfRule type="cellIs" dxfId="8941" priority="350" operator="lessThan">
      <formula>0</formula>
    </cfRule>
  </conditionalFormatting>
  <conditionalFormatting sqref="Y34:Y36">
    <cfRule type="cellIs" dxfId="8940" priority="349" operator="lessThan">
      <formula>0</formula>
    </cfRule>
  </conditionalFormatting>
  <conditionalFormatting sqref="Y37">
    <cfRule type="cellIs" dxfId="8939" priority="348" operator="lessThan">
      <formula>0</formula>
    </cfRule>
  </conditionalFormatting>
  <conditionalFormatting sqref="Y73">
    <cfRule type="cellIs" dxfId="8938" priority="283" operator="lessThan">
      <formula>0</formula>
    </cfRule>
  </conditionalFormatting>
  <conditionalFormatting sqref="J56">
    <cfRule type="cellIs" dxfId="8937" priority="282" operator="greaterThan">
      <formula>0</formula>
    </cfRule>
  </conditionalFormatting>
  <conditionalFormatting sqref="Z29">
    <cfRule type="cellIs" dxfId="8936" priority="276" operator="lessThan">
      <formula>0</formula>
    </cfRule>
  </conditionalFormatting>
  <conditionalFormatting sqref="Y91 Y51 Y11 Y19 Y23 Y27 Y31 Y47 Y59 Y63 Y71 Y79 Y87">
    <cfRule type="iconSet" priority="1022">
      <iconSet>
        <cfvo type="percent" val="0"/>
        <cfvo type="percent" val="&quot;$I$6&quot;"/>
        <cfvo type="percent" val="#REF!"/>
      </iconSet>
    </cfRule>
  </conditionalFormatting>
  <conditionalFormatting sqref="J76">
    <cfRule type="cellIs" dxfId="8935" priority="275" operator="greaterThan">
      <formula>0</formula>
    </cfRule>
  </conditionalFormatting>
  <conditionalFormatting sqref="J16">
    <cfRule type="cellIs" dxfId="8934" priority="274" operator="greaterThan">
      <formula>0</formula>
    </cfRule>
  </conditionalFormatting>
  <conditionalFormatting sqref="J96">
    <cfRule type="cellIs" dxfId="8933" priority="273" operator="greaterThan">
      <formula>0</formula>
    </cfRule>
  </conditionalFormatting>
  <conditionalFormatting sqref="AQ7">
    <cfRule type="cellIs" dxfId="8932" priority="272" operator="lessThan">
      <formula>0</formula>
    </cfRule>
  </conditionalFormatting>
  <conditionalFormatting sqref="AQ7">
    <cfRule type="cellIs" dxfId="8931" priority="271" operator="lessThan">
      <formula>0</formula>
    </cfRule>
  </conditionalFormatting>
  <conditionalFormatting sqref="AQ7">
    <cfRule type="cellIs" dxfId="8930" priority="270" operator="lessThan">
      <formula>0</formula>
    </cfRule>
  </conditionalFormatting>
  <conditionalFormatting sqref="AQ7">
    <cfRule type="cellIs" dxfId="8929" priority="269" operator="lessThan">
      <formula>0</formula>
    </cfRule>
  </conditionalFormatting>
  <conditionalFormatting sqref="AQ7">
    <cfRule type="cellIs" dxfId="8928" priority="268" operator="lessThan">
      <formula>0</formula>
    </cfRule>
  </conditionalFormatting>
  <conditionalFormatting sqref="AQ7">
    <cfRule type="cellIs" dxfId="8927" priority="267" operator="lessThan">
      <formula>0</formula>
    </cfRule>
  </conditionalFormatting>
  <conditionalFormatting sqref="AQ7">
    <cfRule type="cellIs" dxfId="8926" priority="266" operator="lessThan">
      <formula>0</formula>
    </cfRule>
  </conditionalFormatting>
  <conditionalFormatting sqref="AQ7">
    <cfRule type="cellIs" dxfId="8925" priority="265" operator="lessThan">
      <formula>0</formula>
    </cfRule>
  </conditionalFormatting>
  <conditionalFormatting sqref="AQ7">
    <cfRule type="cellIs" dxfId="8924" priority="264" operator="lessThan">
      <formula>0</formula>
    </cfRule>
  </conditionalFormatting>
  <conditionalFormatting sqref="AQ7">
    <cfRule type="cellIs" dxfId="8923" priority="263" operator="lessThan">
      <formula>0</formula>
    </cfRule>
  </conditionalFormatting>
  <conditionalFormatting sqref="AQ7">
    <cfRule type="cellIs" dxfId="8922" priority="262" operator="lessThan">
      <formula>0</formula>
    </cfRule>
  </conditionalFormatting>
  <conditionalFormatting sqref="AQ7">
    <cfRule type="cellIs" dxfId="8921" priority="261" operator="lessThan">
      <formula>0</formula>
    </cfRule>
  </conditionalFormatting>
  <conditionalFormatting sqref="AQ7">
    <cfRule type="cellIs" dxfId="8920" priority="260" operator="lessThan">
      <formula>0</formula>
    </cfRule>
  </conditionalFormatting>
  <conditionalFormatting sqref="AQ7">
    <cfRule type="cellIs" dxfId="8919" priority="259" operator="lessThan">
      <formula>0</formula>
    </cfRule>
  </conditionalFormatting>
  <conditionalFormatting sqref="AQ7">
    <cfRule type="cellIs" dxfId="8918" priority="258" operator="lessThan">
      <formula>0</formula>
    </cfRule>
  </conditionalFormatting>
  <conditionalFormatting sqref="AQ7">
    <cfRule type="cellIs" dxfId="8917" priority="257" operator="lessThan">
      <formula>0</formula>
    </cfRule>
  </conditionalFormatting>
  <conditionalFormatting sqref="AQ7">
    <cfRule type="cellIs" dxfId="8916" priority="256" operator="lessThan">
      <formula>0</formula>
    </cfRule>
  </conditionalFormatting>
  <conditionalFormatting sqref="AQ7">
    <cfRule type="cellIs" dxfId="8915" priority="255" operator="lessThan">
      <formula>0</formula>
    </cfRule>
  </conditionalFormatting>
  <conditionalFormatting sqref="AQ7">
    <cfRule type="cellIs" dxfId="8914" priority="254" operator="lessThan">
      <formula>0</formula>
    </cfRule>
  </conditionalFormatting>
  <conditionalFormatting sqref="AQ7">
    <cfRule type="cellIs" dxfId="8913" priority="253" operator="lessThan">
      <formula>0</formula>
    </cfRule>
  </conditionalFormatting>
  <conditionalFormatting sqref="AQ7">
    <cfRule type="cellIs" dxfId="8912" priority="252" operator="lessThan">
      <formula>0</formula>
    </cfRule>
  </conditionalFormatting>
  <conditionalFormatting sqref="AQ7">
    <cfRule type="cellIs" dxfId="8911" priority="251" operator="lessThan">
      <formula>0</formula>
    </cfRule>
  </conditionalFormatting>
  <conditionalFormatting sqref="AQ7">
    <cfRule type="cellIs" dxfId="8910" priority="250" operator="lessThan">
      <formula>0</formula>
    </cfRule>
  </conditionalFormatting>
  <conditionalFormatting sqref="AQ7">
    <cfRule type="cellIs" dxfId="8909" priority="249" operator="lessThan">
      <formula>0</formula>
    </cfRule>
  </conditionalFormatting>
  <conditionalFormatting sqref="AQ7">
    <cfRule type="cellIs" dxfId="8908" priority="248" operator="lessThan">
      <formula>0</formula>
    </cfRule>
  </conditionalFormatting>
  <conditionalFormatting sqref="AQ7">
    <cfRule type="cellIs" dxfId="8907" priority="247" operator="lessThan">
      <formula>0</formula>
    </cfRule>
  </conditionalFormatting>
  <conditionalFormatting sqref="AQ7">
    <cfRule type="cellIs" dxfId="8906" priority="246" operator="lessThan">
      <formula>0</formula>
    </cfRule>
  </conditionalFormatting>
  <conditionalFormatting sqref="AQ7">
    <cfRule type="cellIs" dxfId="8905" priority="245" operator="lessThan">
      <formula>0</formula>
    </cfRule>
  </conditionalFormatting>
  <conditionalFormatting sqref="AQ7">
    <cfRule type="cellIs" dxfId="8904" priority="244" operator="lessThan">
      <formula>0</formula>
    </cfRule>
  </conditionalFormatting>
  <conditionalFormatting sqref="AQ7">
    <cfRule type="cellIs" dxfId="8903" priority="243" operator="lessThan">
      <formula>0</formula>
    </cfRule>
  </conditionalFormatting>
  <conditionalFormatting sqref="AQ7">
    <cfRule type="cellIs" dxfId="8902" priority="242" operator="lessThan">
      <formula>0</formula>
    </cfRule>
  </conditionalFormatting>
  <conditionalFormatting sqref="AQ7">
    <cfRule type="cellIs" dxfId="8901" priority="241" operator="lessThan">
      <formula>0</formula>
    </cfRule>
  </conditionalFormatting>
  <conditionalFormatting sqref="AQ7">
    <cfRule type="cellIs" dxfId="8900" priority="240" operator="lessThan">
      <formula>0</formula>
    </cfRule>
  </conditionalFormatting>
  <conditionalFormatting sqref="AQ7">
    <cfRule type="cellIs" dxfId="8899" priority="239" operator="lessThan">
      <formula>0</formula>
    </cfRule>
  </conditionalFormatting>
  <conditionalFormatting sqref="AQ7">
    <cfRule type="cellIs" dxfId="8898" priority="238" operator="lessThan">
      <formula>0</formula>
    </cfRule>
  </conditionalFormatting>
  <conditionalFormatting sqref="AQ7">
    <cfRule type="cellIs" dxfId="8897" priority="237" operator="lessThan">
      <formula>0</formula>
    </cfRule>
  </conditionalFormatting>
  <conditionalFormatting sqref="AQ7">
    <cfRule type="cellIs" dxfId="8896" priority="236" operator="lessThan">
      <formula>0</formula>
    </cfRule>
  </conditionalFormatting>
  <conditionalFormatting sqref="AQ7">
    <cfRule type="cellIs" dxfId="8895" priority="235" operator="lessThan">
      <formula>0</formula>
    </cfRule>
  </conditionalFormatting>
  <conditionalFormatting sqref="AQ7">
    <cfRule type="cellIs" dxfId="8894" priority="234" operator="lessThan">
      <formula>0</formula>
    </cfRule>
  </conditionalFormatting>
  <conditionalFormatting sqref="AQ7">
    <cfRule type="cellIs" dxfId="8893" priority="233" operator="lessThan">
      <formula>0</formula>
    </cfRule>
  </conditionalFormatting>
  <conditionalFormatting sqref="AQ7">
    <cfRule type="cellIs" dxfId="8892" priority="232" operator="lessThan">
      <formula>0</formula>
    </cfRule>
  </conditionalFormatting>
  <conditionalFormatting sqref="AQ7">
    <cfRule type="cellIs" dxfId="8891" priority="231" operator="lessThan">
      <formula>0</formula>
    </cfRule>
  </conditionalFormatting>
  <conditionalFormatting sqref="AQ7">
    <cfRule type="cellIs" dxfId="8890" priority="230" operator="lessThan">
      <formula>0</formula>
    </cfRule>
  </conditionalFormatting>
  <conditionalFormatting sqref="AQ7">
    <cfRule type="cellIs" dxfId="8889" priority="229" operator="lessThan">
      <formula>0</formula>
    </cfRule>
  </conditionalFormatting>
  <conditionalFormatting sqref="AQ7">
    <cfRule type="cellIs" dxfId="8888" priority="228" operator="lessThan">
      <formula>0</formula>
    </cfRule>
  </conditionalFormatting>
  <conditionalFormatting sqref="AQ7">
    <cfRule type="cellIs" dxfId="8887" priority="227" operator="lessThan">
      <formula>0</formula>
    </cfRule>
  </conditionalFormatting>
  <conditionalFormatting sqref="AQ7">
    <cfRule type="cellIs" dxfId="8886" priority="226" operator="lessThan">
      <formula>0</formula>
    </cfRule>
  </conditionalFormatting>
  <conditionalFormatting sqref="AQ7">
    <cfRule type="cellIs" dxfId="8885" priority="225" operator="lessThan">
      <formula>0</formula>
    </cfRule>
  </conditionalFormatting>
  <conditionalFormatting sqref="AQ7">
    <cfRule type="cellIs" dxfId="8884" priority="224" operator="lessThan">
      <formula>0</formula>
    </cfRule>
  </conditionalFormatting>
  <conditionalFormatting sqref="AQ7">
    <cfRule type="cellIs" dxfId="8883" priority="223" operator="lessThan">
      <formula>0</formula>
    </cfRule>
  </conditionalFormatting>
  <conditionalFormatting sqref="AQ7">
    <cfRule type="cellIs" dxfId="8882" priority="222" operator="lessThan">
      <formula>0</formula>
    </cfRule>
  </conditionalFormatting>
  <conditionalFormatting sqref="AQ7">
    <cfRule type="cellIs" dxfId="8881" priority="221" operator="lessThan">
      <formula>0</formula>
    </cfRule>
  </conditionalFormatting>
  <conditionalFormatting sqref="AQ7">
    <cfRule type="cellIs" dxfId="8880" priority="220" operator="lessThan">
      <formula>0</formula>
    </cfRule>
  </conditionalFormatting>
  <conditionalFormatting sqref="AQ7">
    <cfRule type="cellIs" dxfId="8879" priority="219" operator="lessThan">
      <formula>0</formula>
    </cfRule>
  </conditionalFormatting>
  <conditionalFormatting sqref="AQ7">
    <cfRule type="cellIs" dxfId="8878" priority="218" operator="lessThan">
      <formula>0</formula>
    </cfRule>
  </conditionalFormatting>
  <conditionalFormatting sqref="AQ7">
    <cfRule type="cellIs" dxfId="8877" priority="217" operator="lessThan">
      <formula>0</formula>
    </cfRule>
  </conditionalFormatting>
  <conditionalFormatting sqref="AQ7">
    <cfRule type="cellIs" dxfId="8876" priority="216" operator="lessThan">
      <formula>0</formula>
    </cfRule>
  </conditionalFormatting>
  <conditionalFormatting sqref="AQ7">
    <cfRule type="cellIs" dxfId="8875" priority="215" operator="lessThan">
      <formula>0</formula>
    </cfRule>
  </conditionalFormatting>
  <conditionalFormatting sqref="AQ7">
    <cfRule type="cellIs" dxfId="8874" priority="214" operator="lessThan">
      <formula>0</formula>
    </cfRule>
  </conditionalFormatting>
  <conditionalFormatting sqref="AQ7">
    <cfRule type="cellIs" dxfId="8873" priority="213" operator="lessThan">
      <formula>0</formula>
    </cfRule>
  </conditionalFormatting>
  <conditionalFormatting sqref="AQ7">
    <cfRule type="cellIs" dxfId="8872" priority="212" operator="lessThan">
      <formula>0</formula>
    </cfRule>
  </conditionalFormatting>
  <conditionalFormatting sqref="AQ7">
    <cfRule type="cellIs" dxfId="8871" priority="211" operator="lessThan">
      <formula>0</formula>
    </cfRule>
  </conditionalFormatting>
  <conditionalFormatting sqref="AQ7">
    <cfRule type="cellIs" dxfId="8870" priority="210" operator="lessThan">
      <formula>0</formula>
    </cfRule>
  </conditionalFormatting>
  <conditionalFormatting sqref="AQ7">
    <cfRule type="cellIs" dxfId="8869" priority="209" operator="lessThan">
      <formula>0</formula>
    </cfRule>
  </conditionalFormatting>
  <conditionalFormatting sqref="AQ7">
    <cfRule type="cellIs" dxfId="8868" priority="208" operator="lessThan">
      <formula>0</formula>
    </cfRule>
  </conditionalFormatting>
  <conditionalFormatting sqref="AQ7">
    <cfRule type="cellIs" dxfId="8867" priority="207" operator="lessThan">
      <formula>0</formula>
    </cfRule>
  </conditionalFormatting>
  <conditionalFormatting sqref="AQ7">
    <cfRule type="cellIs" dxfId="8866" priority="206" operator="lessThan">
      <formula>0</formula>
    </cfRule>
  </conditionalFormatting>
  <conditionalFormatting sqref="AQ7">
    <cfRule type="cellIs" dxfId="8865" priority="205" operator="lessThan">
      <formula>0</formula>
    </cfRule>
  </conditionalFormatting>
  <conditionalFormatting sqref="AQ7">
    <cfRule type="cellIs" dxfId="8864" priority="204" operator="lessThan">
      <formula>0</formula>
    </cfRule>
  </conditionalFormatting>
  <conditionalFormatting sqref="AQ7">
    <cfRule type="cellIs" dxfId="8863" priority="203" operator="lessThan">
      <formula>0</formula>
    </cfRule>
  </conditionalFormatting>
  <conditionalFormatting sqref="AQ7">
    <cfRule type="cellIs" dxfId="8862" priority="202" operator="lessThan">
      <formula>0</formula>
    </cfRule>
  </conditionalFormatting>
  <conditionalFormatting sqref="AQ7">
    <cfRule type="cellIs" dxfId="8861" priority="201" operator="lessThan">
      <formula>0</formula>
    </cfRule>
  </conditionalFormatting>
  <conditionalFormatting sqref="AQ7">
    <cfRule type="cellIs" dxfId="8860" priority="200" operator="lessThan">
      <formula>0</formula>
    </cfRule>
  </conditionalFormatting>
  <conditionalFormatting sqref="AQ7">
    <cfRule type="cellIs" dxfId="8859" priority="199" operator="lessThan">
      <formula>0</formula>
    </cfRule>
  </conditionalFormatting>
  <conditionalFormatting sqref="AQ7">
    <cfRule type="cellIs" dxfId="8858" priority="198" operator="lessThan">
      <formula>0</formula>
    </cfRule>
  </conditionalFormatting>
  <conditionalFormatting sqref="AQ7">
    <cfRule type="cellIs" dxfId="8857" priority="197" operator="lessThan">
      <formula>0</formula>
    </cfRule>
  </conditionalFormatting>
  <conditionalFormatting sqref="AQ7">
    <cfRule type="cellIs" dxfId="8856" priority="196" operator="lessThan">
      <formula>0</formula>
    </cfRule>
  </conditionalFormatting>
  <conditionalFormatting sqref="AQ7">
    <cfRule type="cellIs" dxfId="8855" priority="195" operator="lessThan">
      <formula>0</formula>
    </cfRule>
  </conditionalFormatting>
  <conditionalFormatting sqref="AQ7">
    <cfRule type="cellIs" dxfId="8854" priority="194" operator="lessThan">
      <formula>0</formula>
    </cfRule>
  </conditionalFormatting>
  <conditionalFormatting sqref="AQ7">
    <cfRule type="cellIs" dxfId="8853" priority="193" operator="lessThan">
      <formula>0</formula>
    </cfRule>
  </conditionalFormatting>
  <conditionalFormatting sqref="AQ7">
    <cfRule type="cellIs" dxfId="8852" priority="177" operator="lessThan">
      <formula>0</formula>
    </cfRule>
  </conditionalFormatting>
  <conditionalFormatting sqref="AQ7">
    <cfRule type="cellIs" dxfId="8851" priority="192" operator="lessThan">
      <formula>0</formula>
    </cfRule>
  </conditionalFormatting>
  <conditionalFormatting sqref="AQ7">
    <cfRule type="cellIs" dxfId="8850" priority="191" operator="lessThan">
      <formula>0</formula>
    </cfRule>
  </conditionalFormatting>
  <conditionalFormatting sqref="AQ7">
    <cfRule type="cellIs" dxfId="8849" priority="190" operator="lessThan">
      <formula>0</formula>
    </cfRule>
  </conditionalFormatting>
  <conditionalFormatting sqref="AQ7">
    <cfRule type="cellIs" dxfId="8848" priority="189" operator="lessThan">
      <formula>0</formula>
    </cfRule>
  </conditionalFormatting>
  <conditionalFormatting sqref="AQ7">
    <cfRule type="cellIs" dxfId="8847" priority="188" operator="lessThan">
      <formula>0</formula>
    </cfRule>
  </conditionalFormatting>
  <conditionalFormatting sqref="AQ7">
    <cfRule type="cellIs" dxfId="8846" priority="187" operator="lessThan">
      <formula>0</formula>
    </cfRule>
  </conditionalFormatting>
  <conditionalFormatting sqref="AQ7">
    <cfRule type="cellIs" dxfId="8845" priority="186" operator="lessThan">
      <formula>0</formula>
    </cfRule>
  </conditionalFormatting>
  <conditionalFormatting sqref="AQ7">
    <cfRule type="cellIs" dxfId="8844" priority="185" operator="lessThan">
      <formula>0</formula>
    </cfRule>
  </conditionalFormatting>
  <conditionalFormatting sqref="AQ7">
    <cfRule type="cellIs" dxfId="8843" priority="184" operator="lessThan">
      <formula>0</formula>
    </cfRule>
  </conditionalFormatting>
  <conditionalFormatting sqref="AQ7">
    <cfRule type="cellIs" dxfId="8842" priority="183" operator="lessThan">
      <formula>0</formula>
    </cfRule>
  </conditionalFormatting>
  <conditionalFormatting sqref="AQ7">
    <cfRule type="cellIs" dxfId="8841" priority="182" operator="lessThan">
      <formula>0</formula>
    </cfRule>
  </conditionalFormatting>
  <conditionalFormatting sqref="AQ7">
    <cfRule type="cellIs" dxfId="8840" priority="181" operator="lessThan">
      <formula>0</formula>
    </cfRule>
  </conditionalFormatting>
  <conditionalFormatting sqref="AQ7">
    <cfRule type="cellIs" dxfId="8839" priority="180" operator="lessThan">
      <formula>0</formula>
    </cfRule>
  </conditionalFormatting>
  <conditionalFormatting sqref="AQ7">
    <cfRule type="cellIs" dxfId="8838" priority="179" operator="lessThan">
      <formula>0</formula>
    </cfRule>
  </conditionalFormatting>
  <conditionalFormatting sqref="AQ7">
    <cfRule type="cellIs" dxfId="8837" priority="178" operator="lessThan">
      <formula>0</formula>
    </cfRule>
  </conditionalFormatting>
  <conditionalFormatting sqref="J68">
    <cfRule type="cellIs" dxfId="8836" priority="176" operator="greaterThan">
      <formula>0</formula>
    </cfRule>
  </conditionalFormatting>
  <conditionalFormatting sqref="AM82:AM85">
    <cfRule type="cellIs" dxfId="8835" priority="172" operator="notEqual">
      <formula>0</formula>
    </cfRule>
  </conditionalFormatting>
  <conditionalFormatting sqref="I84">
    <cfRule type="cellIs" dxfId="8834" priority="171" operator="greaterThan">
      <formula>0</formula>
    </cfRule>
  </conditionalFormatting>
  <conditionalFormatting sqref="J84">
    <cfRule type="cellIs" dxfId="8833" priority="170" operator="greaterThan">
      <formula>0</formula>
    </cfRule>
  </conditionalFormatting>
  <conditionalFormatting sqref="Y84">
    <cfRule type="cellIs" dxfId="8832" priority="128" operator="lessThan">
      <formula>0</formula>
    </cfRule>
  </conditionalFormatting>
  <conditionalFormatting sqref="Y82:Y84">
    <cfRule type="cellIs" dxfId="8831" priority="127" operator="lessThan">
      <formula>0</formula>
    </cfRule>
  </conditionalFormatting>
  <conditionalFormatting sqref="Y85">
    <cfRule type="cellIs" dxfId="8830" priority="126" operator="lessThan">
      <formula>0</formula>
    </cfRule>
  </conditionalFormatting>
  <conditionalFormatting sqref="Y83">
    <cfRule type="iconSet" priority="175">
      <iconSet>
        <cfvo type="percent" val="0"/>
        <cfvo type="percent" val="&quot;$I$6&quot;"/>
        <cfvo type="percent" val="#REF!"/>
      </iconSet>
    </cfRule>
  </conditionalFormatting>
  <conditionalFormatting sqref="X7">
    <cfRule type="iconSet" priority="123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8829" priority="122" operator="lessThan">
      <formula>0</formula>
    </cfRule>
  </conditionalFormatting>
  <conditionalFormatting sqref="X6:X9">
    <cfRule type="cellIs" dxfId="8828" priority="121" operator="lessThan">
      <formula>0</formula>
    </cfRule>
  </conditionalFormatting>
  <conditionalFormatting sqref="X11 X15 X19 X23 X27 X31 X35 X39 X43 X47 X51 X55 X59 X63 X67 X71 X75 X79 X83 X87 X91 X95">
    <cfRule type="iconSet" priority="120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 X96">
    <cfRule type="cellIs" dxfId="8827" priority="119" operator="lessThan">
      <formula>0</formula>
    </cfRule>
  </conditionalFormatting>
  <conditionalFormatting sqref="X10:X97">
    <cfRule type="cellIs" dxfId="8826" priority="118" operator="lessThan">
      <formula>0</formula>
    </cfRule>
  </conditionalFormatting>
  <conditionalFormatting sqref="AQ10 AQ14 AQ18 AQ22 AQ26 AQ30 AQ34 AQ38 AQ42 AQ46 AQ50 AQ54 AQ58 AQ62 AQ66 AQ70 AQ74 AQ78 AQ82 AQ86 AQ90 AQ94">
    <cfRule type="cellIs" dxfId="8825" priority="117" operator="lessThan">
      <formula>0</formula>
    </cfRule>
  </conditionalFormatting>
  <conditionalFormatting sqref="AQ10 AQ14 AQ18 AQ22 AQ26 AQ30 AQ34 AQ38 AQ42 AQ46 AQ50 AQ54 AQ58 AQ62 AQ66 AQ70 AQ74 AQ78 AQ82 AQ86 AQ90 AQ94">
    <cfRule type="cellIs" dxfId="8824" priority="116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23" priority="115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22" priority="114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21" priority="113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20" priority="112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19" priority="111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18" priority="110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17" priority="109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16" priority="108" operator="lessThan">
      <formula>0</formula>
    </cfRule>
  </conditionalFormatting>
  <conditionalFormatting sqref="AQ10 AQ14 AQ18 AQ22 AQ26 AQ30 AQ34 AQ38 AQ42 AQ46 AQ50 AQ54 AQ58 AQ62 AQ66 AQ70 AQ74 AQ78 AQ82 AQ86 AQ90 AQ94">
    <cfRule type="cellIs" dxfId="8815" priority="107" operator="lessThan">
      <formula>0</formula>
    </cfRule>
  </conditionalFormatting>
  <conditionalFormatting sqref="AQ10 AQ12:AQ14 AQ16:AQ18 AQ20:AQ22 AQ24:AQ26 AQ28:AQ30 AQ32:AQ34 AQ36:AQ38 AQ40:AQ42 AQ44:AQ46 AQ48:AQ50 AQ52:AQ54 AQ56:AQ58 AQ60:AQ62 AQ64:AQ66 AQ68:AQ70 AQ72:AQ74 AQ76:AQ78 AQ80:AQ82 AQ84:AQ86 AQ88:AQ90 AQ92:AQ94 AQ96:AQ97">
    <cfRule type="cellIs" dxfId="8814" priority="106" operator="lessThan">
      <formula>0</formula>
    </cfRule>
  </conditionalFormatting>
  <conditionalFormatting sqref="AQ10 AQ12:AQ14 AQ16:AQ18 AQ20:AQ22 AQ24:AQ26 AQ28:AQ30 AQ32:AQ34 AQ36:AQ38 AQ40:AQ42 AQ44:AQ46 AQ48:AQ50 AQ52:AQ54 AQ56:AQ58 AQ60:AQ62 AQ64:AQ66 AQ68:AQ70 AQ72:AQ74 AQ76:AQ78 AQ80:AQ82 AQ84:AQ86 AQ88:AQ90 AQ92:AQ94 AQ96:AQ97">
    <cfRule type="cellIs" dxfId="8813" priority="105" operator="lessThan">
      <formula>0</formula>
    </cfRule>
  </conditionalFormatting>
  <conditionalFormatting sqref="AQ10 AQ12:AQ14 AQ16:AQ18 AQ20:AQ22 AQ24:AQ26 AQ28:AQ30 AQ32:AQ34 AQ36:AQ38 AQ40:AQ42 AQ44:AQ46 AQ48:AQ50 AQ52:AQ54 AQ56:AQ58 AQ60:AQ62 AQ64:AQ66 AQ68:AQ70 AQ72:AQ74 AQ76:AQ78 AQ80:AQ82 AQ84:AQ86 AQ88:AQ90 AQ92:AQ94 AQ96:AQ97">
    <cfRule type="cellIs" dxfId="8812" priority="104" operator="lessThan">
      <formula>0</formula>
    </cfRule>
  </conditionalFormatting>
  <conditionalFormatting sqref="AQ10 AQ12:AQ14 AQ16:AQ18 AQ20:AQ22 AQ24:AQ26 AQ28:AQ30 AQ32:AQ34 AQ36:AQ38 AQ40:AQ42 AQ44:AQ46 AQ48:AQ50 AQ52:AQ54 AQ56:AQ58 AQ60:AQ62 AQ64:AQ66 AQ68:AQ70 AQ72:AQ74 AQ76:AQ78 AQ80:AQ82 AQ84:AQ86 AQ88:AQ90 AQ92:AQ94 AQ96:AQ97">
    <cfRule type="cellIs" dxfId="8811" priority="103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10" priority="102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09" priority="101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08" priority="100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 AQ96:AQ97">
    <cfRule type="cellIs" dxfId="8807" priority="99" operator="lessThan">
      <formula>0</formula>
    </cfRule>
  </conditionalFormatting>
  <conditionalFormatting sqref="AQ11 AQ15 AQ19 AQ23 AQ27 AQ31 AQ35 AQ39 AQ43 AQ47 AQ51 AQ55 AQ59 AQ63 AQ67 AQ71 AQ75 AQ79 AQ83 AQ87 AQ91 AQ95">
    <cfRule type="cellIs" dxfId="8806" priority="98" operator="lessThan">
      <formula>0</formula>
    </cfRule>
  </conditionalFormatting>
  <conditionalFormatting sqref="AQ11 AQ15 AQ19 AQ23 AQ27 AQ31 AQ35 AQ39 AQ43 AQ47 AQ51 AQ55 AQ59 AQ63 AQ67 AQ71 AQ75 AQ79 AQ83 AQ87 AQ91 AQ95">
    <cfRule type="cellIs" dxfId="8805" priority="97" operator="lessThan">
      <formula>0</formula>
    </cfRule>
  </conditionalFormatting>
  <conditionalFormatting sqref="AQ11 AQ15 AQ19 AQ23 AQ27 AQ31 AQ35 AQ39 AQ43 AQ47 AQ51 AQ55 AQ59 AQ63 AQ67 AQ71 AQ75 AQ79 AQ83 AQ87 AQ91 AQ95">
    <cfRule type="cellIs" dxfId="8804" priority="96" operator="lessThan">
      <formula>0</formula>
    </cfRule>
  </conditionalFormatting>
  <conditionalFormatting sqref="AQ11 AQ15 AQ19 AQ23 AQ27 AQ31 AQ35 AQ39 AQ43 AQ47 AQ51 AQ55 AQ59 AQ63 AQ67 AQ71 AQ75 AQ79 AQ83 AQ87 AQ91 AQ95">
    <cfRule type="cellIs" dxfId="8803" priority="95" operator="lessThan">
      <formula>0</formula>
    </cfRule>
  </conditionalFormatting>
  <conditionalFormatting sqref="AQ11 AQ15 AQ19 AQ23 AQ27 AQ31 AQ35 AQ39 AQ43 AQ47 AQ51 AQ55 AQ59 AQ63 AQ67 AQ71 AQ75 AQ79 AQ83 AQ87 AQ91 AQ95">
    <cfRule type="cellIs" dxfId="8802" priority="94" operator="lessThan">
      <formula>0</formula>
    </cfRule>
  </conditionalFormatting>
  <conditionalFormatting sqref="AQ11 AQ15 AQ19 AQ23 AQ27 AQ31 AQ35 AQ39 AQ43 AQ47 AQ51 AQ55 AQ59 AQ63 AQ67 AQ71 AQ75 AQ79 AQ83 AQ87 AQ91 AQ95">
    <cfRule type="cellIs" dxfId="8801" priority="93" operator="lessThan">
      <formula>0</formula>
    </cfRule>
  </conditionalFormatting>
  <conditionalFormatting sqref="AQ11 AQ15 AQ19 AQ23 AQ27 AQ31 AQ35 AQ39 AQ43 AQ47 AQ51 AQ55 AQ59 AQ63 AQ67 AQ71 AQ75 AQ79 AQ83 AQ87 AQ91 AQ95">
    <cfRule type="cellIs" dxfId="8800" priority="92" operator="lessThan">
      <formula>0</formula>
    </cfRule>
  </conditionalFormatting>
  <conditionalFormatting sqref="AQ11 AQ15 AQ19 AQ23 AQ27 AQ31 AQ35 AQ39 AQ43 AQ47 AQ51 AQ55 AQ59 AQ63 AQ67 AQ71 AQ75 AQ79 AQ83 AQ87 AQ91 AQ95">
    <cfRule type="cellIs" dxfId="8799" priority="91" operator="lessThan">
      <formula>0</formula>
    </cfRule>
  </conditionalFormatting>
  <conditionalFormatting sqref="AQ11 AQ15 AQ19 AQ23 AQ27 AQ31 AQ35 AQ39 AQ43 AQ47 AQ51 AQ55 AQ59 AQ63 AQ67 AQ71 AQ75 AQ79 AQ83 AQ87 AQ91 AQ95">
    <cfRule type="cellIs" dxfId="8798" priority="90" operator="lessThan">
      <formula>0</formula>
    </cfRule>
  </conditionalFormatting>
  <conditionalFormatting sqref="AQ11 AQ15 AQ19 AQ23 AQ27 AQ31 AQ35 AQ39 AQ43 AQ47 AQ51 AQ55 AQ59 AQ63 AQ67 AQ71 AQ75 AQ79 AQ83 AQ87 AQ91 AQ95">
    <cfRule type="cellIs" dxfId="8797" priority="89" operator="lessThan">
      <formula>0</formula>
    </cfRule>
  </conditionalFormatting>
  <conditionalFormatting sqref="AQ11 AQ15 AQ19 AQ23 AQ27 AQ31 AQ35 AQ39 AQ43 AQ47 AQ51 AQ55 AQ59 AQ63 AQ67 AQ71 AQ75 AQ79 AQ83 AQ87 AQ91 AQ95">
    <cfRule type="cellIs" dxfId="8796" priority="88" operator="lessThan">
      <formula>0</formula>
    </cfRule>
  </conditionalFormatting>
  <conditionalFormatting sqref="AQ11 AQ15 AQ19 AQ23 AQ27 AQ31 AQ35 AQ39 AQ43 AQ47 AQ51 AQ55 AQ59 AQ63 AQ67 AQ71 AQ75 AQ79 AQ83 AQ87 AQ91 AQ95">
    <cfRule type="cellIs" dxfId="8795" priority="87" operator="lessThan">
      <formula>0</formula>
    </cfRule>
  </conditionalFormatting>
  <conditionalFormatting sqref="AQ11 AQ15 AQ19 AQ23 AQ27 AQ31 AQ35 AQ39 AQ43 AQ47 AQ51 AQ55 AQ59 AQ63 AQ67 AQ71 AQ75 AQ79 AQ83 AQ87 AQ91 AQ95">
    <cfRule type="cellIs" dxfId="8794" priority="86" operator="lessThan">
      <formula>0</formula>
    </cfRule>
  </conditionalFormatting>
  <conditionalFormatting sqref="AQ11 AQ15 AQ19 AQ23 AQ27 AQ31 AQ35 AQ39 AQ43 AQ47 AQ51 AQ55 AQ59 AQ63 AQ67 AQ71 AQ75 AQ79 AQ83 AQ87 AQ91 AQ95">
    <cfRule type="cellIs" dxfId="8793" priority="85" operator="lessThan">
      <formula>0</formula>
    </cfRule>
  </conditionalFormatting>
  <conditionalFormatting sqref="AQ11 AQ15 AQ19 AQ23 AQ27 AQ31 AQ35 AQ39 AQ43 AQ47 AQ51 AQ55 AQ59 AQ63 AQ67 AQ71 AQ75 AQ79 AQ83 AQ87 AQ91 AQ95">
    <cfRule type="cellIs" dxfId="8792" priority="84" operator="lessThan">
      <formula>0</formula>
    </cfRule>
  </conditionalFormatting>
  <conditionalFormatting sqref="AQ11 AQ15 AQ19 AQ23 AQ27 AQ31 AQ35 AQ39 AQ43 AQ47 AQ51 AQ55 AQ59 AQ63 AQ67 AQ71 AQ75 AQ79 AQ83 AQ87 AQ91 AQ95">
    <cfRule type="cellIs" dxfId="8791" priority="83" operator="lessThan">
      <formula>0</formula>
    </cfRule>
  </conditionalFormatting>
  <conditionalFormatting sqref="AQ11 AQ15 AQ19 AQ23 AQ27 AQ31 AQ35 AQ39 AQ43 AQ47 AQ51 AQ55 AQ59 AQ63 AQ67 AQ71 AQ75 AQ79 AQ83 AQ87 AQ91 AQ95">
    <cfRule type="cellIs" dxfId="8790" priority="82" operator="lessThan">
      <formula>0</formula>
    </cfRule>
  </conditionalFormatting>
  <conditionalFormatting sqref="AQ11 AQ15 AQ19 AQ23 AQ27 AQ31 AQ35 AQ39 AQ43 AQ47 AQ51 AQ55 AQ59 AQ63 AQ67 AQ71 AQ75 AQ79 AQ83 AQ87 AQ91 AQ95">
    <cfRule type="cellIs" dxfId="8789" priority="81" operator="lessThan">
      <formula>0</formula>
    </cfRule>
  </conditionalFormatting>
  <conditionalFormatting sqref="AQ11 AQ15 AQ19 AQ23 AQ27 AQ31 AQ35 AQ39 AQ43 AQ47 AQ51 AQ55 AQ59 AQ63 AQ67 AQ71 AQ75 AQ79 AQ83 AQ87 AQ91 AQ95">
    <cfRule type="cellIs" dxfId="8788" priority="80" operator="lessThan">
      <formula>0</formula>
    </cfRule>
  </conditionalFormatting>
  <conditionalFormatting sqref="AQ11 AQ15 AQ19 AQ23 AQ27 AQ31 AQ35 AQ39 AQ43 AQ47 AQ51 AQ55 AQ59 AQ63 AQ67 AQ71 AQ75 AQ79 AQ83 AQ87 AQ91 AQ95">
    <cfRule type="cellIs" dxfId="8787" priority="79" operator="lessThan">
      <formula>0</formula>
    </cfRule>
  </conditionalFormatting>
  <conditionalFormatting sqref="AQ11 AQ15 AQ19 AQ23 AQ27 AQ31 AQ35 AQ39 AQ43 AQ47 AQ51 AQ55 AQ59 AQ63 AQ67 AQ71 AQ75 AQ79 AQ83 AQ87 AQ91 AQ95">
    <cfRule type="cellIs" dxfId="8786" priority="78" operator="lessThan">
      <formula>0</formula>
    </cfRule>
  </conditionalFormatting>
  <conditionalFormatting sqref="AQ11 AQ15 AQ19 AQ23 AQ27 AQ31 AQ35 AQ39 AQ43 AQ47 AQ51 AQ55 AQ59 AQ63 AQ67 AQ71 AQ75 AQ79 AQ83 AQ87 AQ91 AQ95">
    <cfRule type="cellIs" dxfId="8785" priority="77" operator="lessThan">
      <formula>0</formula>
    </cfRule>
  </conditionalFormatting>
  <conditionalFormatting sqref="AQ11 AQ15 AQ19 AQ23 AQ27 AQ31 AQ35 AQ39 AQ43 AQ47 AQ51 AQ55 AQ59 AQ63 AQ67 AQ71 AQ75 AQ79 AQ83 AQ87 AQ91 AQ95">
    <cfRule type="cellIs" dxfId="8784" priority="76" operator="lessThan">
      <formula>0</formula>
    </cfRule>
  </conditionalFormatting>
  <conditionalFormatting sqref="AQ11 AQ15 AQ19 AQ23 AQ27 AQ31 AQ35 AQ39 AQ43 AQ47 AQ51 AQ55 AQ59 AQ63 AQ67 AQ71 AQ75 AQ79 AQ83 AQ87 AQ91 AQ95">
    <cfRule type="cellIs" dxfId="8783" priority="75" operator="lessThan">
      <formula>0</formula>
    </cfRule>
  </conditionalFormatting>
  <conditionalFormatting sqref="AQ11 AQ15 AQ19 AQ23 AQ27 AQ31 AQ35 AQ39 AQ43 AQ47 AQ51 AQ55 AQ59 AQ63 AQ67 AQ71 AQ75 AQ79 AQ83 AQ87 AQ91 AQ95">
    <cfRule type="cellIs" dxfId="8782" priority="74" operator="lessThan">
      <formula>0</formula>
    </cfRule>
  </conditionalFormatting>
  <conditionalFormatting sqref="AQ11 AQ15 AQ19 AQ23 AQ27 AQ31 AQ35 AQ39 AQ43 AQ47 AQ51 AQ55 AQ59 AQ63 AQ67 AQ71 AQ75 AQ79 AQ83 AQ87 AQ91 AQ95">
    <cfRule type="cellIs" dxfId="8781" priority="73" operator="lessThan">
      <formula>0</formula>
    </cfRule>
  </conditionalFormatting>
  <conditionalFormatting sqref="AQ11 AQ15 AQ19 AQ23 AQ27 AQ31 AQ35 AQ39 AQ43 AQ47 AQ51 AQ55 AQ59 AQ63 AQ67 AQ71 AQ75 AQ79 AQ83 AQ87 AQ91 AQ95">
    <cfRule type="cellIs" dxfId="8780" priority="72" operator="lessThan">
      <formula>0</formula>
    </cfRule>
  </conditionalFormatting>
  <conditionalFormatting sqref="AQ11 AQ15 AQ19 AQ23 AQ27 AQ31 AQ35 AQ39 AQ43 AQ47 AQ51 AQ55 AQ59 AQ63 AQ67 AQ71 AQ75 AQ79 AQ83 AQ87 AQ91 AQ95">
    <cfRule type="cellIs" dxfId="8779" priority="71" operator="lessThan">
      <formula>0</formula>
    </cfRule>
  </conditionalFormatting>
  <conditionalFormatting sqref="AQ11 AQ15 AQ19 AQ23 AQ27 AQ31 AQ35 AQ39 AQ43 AQ47 AQ51 AQ55 AQ59 AQ63 AQ67 AQ71 AQ75 AQ79 AQ83 AQ87 AQ91 AQ95">
    <cfRule type="cellIs" dxfId="8778" priority="70" operator="lessThan">
      <formula>0</formula>
    </cfRule>
  </conditionalFormatting>
  <conditionalFormatting sqref="AQ11 AQ15 AQ19 AQ23 AQ27 AQ31 AQ35 AQ39 AQ43 AQ47 AQ51 AQ55 AQ59 AQ63 AQ67 AQ71 AQ75 AQ79 AQ83 AQ87 AQ91 AQ95">
    <cfRule type="cellIs" dxfId="8777" priority="69" operator="lessThan">
      <formula>0</formula>
    </cfRule>
  </conditionalFormatting>
  <conditionalFormatting sqref="AQ11 AQ15 AQ19 AQ23 AQ27 AQ31 AQ35 AQ39 AQ43 AQ47 AQ51 AQ55 AQ59 AQ63 AQ67 AQ71 AQ75 AQ79 AQ83 AQ87 AQ91 AQ95">
    <cfRule type="cellIs" dxfId="8776" priority="68" operator="lessThan">
      <formula>0</formula>
    </cfRule>
  </conditionalFormatting>
  <conditionalFormatting sqref="AQ11 AQ15 AQ19 AQ23 AQ27 AQ31 AQ35 AQ39 AQ43 AQ47 AQ51 AQ55 AQ59 AQ63 AQ67 AQ71 AQ75 AQ79 AQ83 AQ87 AQ91 AQ95">
    <cfRule type="cellIs" dxfId="8775" priority="67" operator="lessThan">
      <formula>0</formula>
    </cfRule>
  </conditionalFormatting>
  <conditionalFormatting sqref="AQ11 AQ15 AQ19 AQ23 AQ27 AQ31 AQ35 AQ39 AQ43 AQ47 AQ51 AQ55 AQ59 AQ63 AQ67 AQ71 AQ75 AQ79 AQ83 AQ87 AQ91 AQ95">
    <cfRule type="cellIs" dxfId="8774" priority="66" operator="lessThan">
      <formula>0</formula>
    </cfRule>
  </conditionalFormatting>
  <conditionalFormatting sqref="AQ11 AQ15 AQ19 AQ23 AQ27 AQ31 AQ35 AQ39 AQ43 AQ47 AQ51 AQ55 AQ59 AQ63 AQ67 AQ71 AQ75 AQ79 AQ83 AQ87 AQ91 AQ95">
    <cfRule type="cellIs" dxfId="8773" priority="65" operator="lessThan">
      <formula>0</formula>
    </cfRule>
  </conditionalFormatting>
  <conditionalFormatting sqref="AQ11 AQ15 AQ19 AQ23 AQ27 AQ31 AQ35 AQ39 AQ43 AQ47 AQ51 AQ55 AQ59 AQ63 AQ67 AQ71 AQ75 AQ79 AQ83 AQ87 AQ91 AQ95">
    <cfRule type="cellIs" dxfId="8772" priority="64" operator="lessThan">
      <formula>0</formula>
    </cfRule>
  </conditionalFormatting>
  <conditionalFormatting sqref="AQ11 AQ15 AQ19 AQ23 AQ27 AQ31 AQ35 AQ39 AQ43 AQ47 AQ51 AQ55 AQ59 AQ63 AQ67 AQ71 AQ75 AQ79 AQ83 AQ87 AQ91 AQ95">
    <cfRule type="cellIs" dxfId="8771" priority="63" operator="lessThan">
      <formula>0</formula>
    </cfRule>
  </conditionalFormatting>
  <conditionalFormatting sqref="AQ11 AQ15 AQ19 AQ23 AQ27 AQ31 AQ35 AQ39 AQ43 AQ47 AQ51 AQ55 AQ59 AQ63 AQ67 AQ71 AQ75 AQ79 AQ83 AQ87 AQ91 AQ95">
    <cfRule type="cellIs" dxfId="8770" priority="62" operator="lessThan">
      <formula>0</formula>
    </cfRule>
  </conditionalFormatting>
  <conditionalFormatting sqref="AQ11 AQ15 AQ19 AQ23 AQ27 AQ31 AQ35 AQ39 AQ43 AQ47 AQ51 AQ55 AQ59 AQ63 AQ67 AQ71 AQ75 AQ79 AQ83 AQ87 AQ91 AQ95">
    <cfRule type="cellIs" dxfId="8769" priority="61" operator="lessThan">
      <formula>0</formula>
    </cfRule>
  </conditionalFormatting>
  <conditionalFormatting sqref="AQ11 AQ15 AQ19 AQ23 AQ27 AQ31 AQ35 AQ39 AQ43 AQ47 AQ51 AQ55 AQ59 AQ63 AQ67 AQ71 AQ75 AQ79 AQ83 AQ87 AQ91 AQ95">
    <cfRule type="cellIs" dxfId="8768" priority="60" operator="lessThan">
      <formula>0</formula>
    </cfRule>
  </conditionalFormatting>
  <conditionalFormatting sqref="AQ11 AQ15 AQ19 AQ23 AQ27 AQ31 AQ35 AQ39 AQ43 AQ47 AQ51 AQ55 AQ59 AQ63 AQ67 AQ71 AQ75 AQ79 AQ83 AQ87 AQ91 AQ95">
    <cfRule type="cellIs" dxfId="8767" priority="59" operator="lessThan">
      <formula>0</formula>
    </cfRule>
  </conditionalFormatting>
  <conditionalFormatting sqref="AQ11 AQ15 AQ19 AQ23 AQ27 AQ31 AQ35 AQ39 AQ43 AQ47 AQ51 AQ55 AQ59 AQ63 AQ67 AQ71 AQ75 AQ79 AQ83 AQ87 AQ91 AQ95">
    <cfRule type="cellIs" dxfId="8766" priority="58" operator="lessThan">
      <formula>0</formula>
    </cfRule>
  </conditionalFormatting>
  <conditionalFormatting sqref="AQ11 AQ15 AQ19 AQ23 AQ27 AQ31 AQ35 AQ39 AQ43 AQ47 AQ51 AQ55 AQ59 AQ63 AQ67 AQ71 AQ75 AQ79 AQ83 AQ87 AQ91 AQ95">
    <cfRule type="cellIs" dxfId="8765" priority="57" operator="lessThan">
      <formula>0</formula>
    </cfRule>
  </conditionalFormatting>
  <conditionalFormatting sqref="AQ11 AQ15 AQ19 AQ23 AQ27 AQ31 AQ35 AQ39 AQ43 AQ47 AQ51 AQ55 AQ59 AQ63 AQ67 AQ71 AQ75 AQ79 AQ83 AQ87 AQ91 AQ95">
    <cfRule type="cellIs" dxfId="8764" priority="56" operator="lessThan">
      <formula>0</formula>
    </cfRule>
  </conditionalFormatting>
  <conditionalFormatting sqref="AQ11 AQ15 AQ19 AQ23 AQ27 AQ31 AQ35 AQ39 AQ43 AQ47 AQ51 AQ55 AQ59 AQ63 AQ67 AQ71 AQ75 AQ79 AQ83 AQ87 AQ91 AQ95">
    <cfRule type="cellIs" dxfId="8763" priority="55" operator="lessThan">
      <formula>0</formula>
    </cfRule>
  </conditionalFormatting>
  <conditionalFormatting sqref="AQ11 AQ15 AQ19 AQ23 AQ27 AQ31 AQ35 AQ39 AQ43 AQ47 AQ51 AQ55 AQ59 AQ63 AQ67 AQ71 AQ75 AQ79 AQ83 AQ87 AQ91 AQ95">
    <cfRule type="cellIs" dxfId="8762" priority="54" operator="lessThan">
      <formula>0</formula>
    </cfRule>
  </conditionalFormatting>
  <conditionalFormatting sqref="AQ11 AQ15 AQ19 AQ23 AQ27 AQ31 AQ35 AQ39 AQ43 AQ47 AQ51 AQ55 AQ59 AQ63 AQ67 AQ71 AQ75 AQ79 AQ83 AQ87 AQ91 AQ95">
    <cfRule type="cellIs" dxfId="8761" priority="53" operator="lessThan">
      <formula>0</formula>
    </cfRule>
  </conditionalFormatting>
  <conditionalFormatting sqref="AQ11 AQ15 AQ19 AQ23 AQ27 AQ31 AQ35 AQ39 AQ43 AQ47 AQ51 AQ55 AQ59 AQ63 AQ67 AQ71 AQ75 AQ79 AQ83 AQ87 AQ91 AQ95">
    <cfRule type="cellIs" dxfId="8760" priority="52" operator="lessThan">
      <formula>0</formula>
    </cfRule>
  </conditionalFormatting>
  <conditionalFormatting sqref="AQ11 AQ15 AQ19 AQ23 AQ27 AQ31 AQ35 AQ39 AQ43 AQ47 AQ51 AQ55 AQ59 AQ63 AQ67 AQ71 AQ75 AQ79 AQ83 AQ87 AQ91 AQ95">
    <cfRule type="cellIs" dxfId="8759" priority="51" operator="lessThan">
      <formula>0</formula>
    </cfRule>
  </conditionalFormatting>
  <conditionalFormatting sqref="AQ11 AQ15 AQ19 AQ23 AQ27 AQ31 AQ35 AQ39 AQ43 AQ47 AQ51 AQ55 AQ59 AQ63 AQ67 AQ71 AQ75 AQ79 AQ83 AQ87 AQ91 AQ95">
    <cfRule type="cellIs" dxfId="8758" priority="50" operator="lessThan">
      <formula>0</formula>
    </cfRule>
  </conditionalFormatting>
  <conditionalFormatting sqref="AQ11 AQ15 AQ19 AQ23 AQ27 AQ31 AQ35 AQ39 AQ43 AQ47 AQ51 AQ55 AQ59 AQ63 AQ67 AQ71 AQ75 AQ79 AQ83 AQ87 AQ91 AQ95">
    <cfRule type="cellIs" dxfId="8757" priority="49" operator="lessThan">
      <formula>0</formula>
    </cfRule>
  </conditionalFormatting>
  <conditionalFormatting sqref="AQ11 AQ15 AQ19 AQ23 AQ27 AQ31 AQ35 AQ39 AQ43 AQ47 AQ51 AQ55 AQ59 AQ63 AQ67 AQ71 AQ75 AQ79 AQ83 AQ87 AQ91 AQ95">
    <cfRule type="cellIs" dxfId="8756" priority="48" operator="lessThan">
      <formula>0</formula>
    </cfRule>
  </conditionalFormatting>
  <conditionalFormatting sqref="AQ11 AQ15 AQ19 AQ23 AQ27 AQ31 AQ35 AQ39 AQ43 AQ47 AQ51 AQ55 AQ59 AQ63 AQ67 AQ71 AQ75 AQ79 AQ83 AQ87 AQ91 AQ95">
    <cfRule type="cellIs" dxfId="8755" priority="47" operator="lessThan">
      <formula>0</formula>
    </cfRule>
  </conditionalFormatting>
  <conditionalFormatting sqref="AQ11 AQ15 AQ19 AQ23 AQ27 AQ31 AQ35 AQ39 AQ43 AQ47 AQ51 AQ55 AQ59 AQ63 AQ67 AQ71 AQ75 AQ79 AQ83 AQ87 AQ91 AQ95">
    <cfRule type="cellIs" dxfId="8754" priority="46" operator="lessThan">
      <formula>0</formula>
    </cfRule>
  </conditionalFormatting>
  <conditionalFormatting sqref="AQ11 AQ15 AQ19 AQ23 AQ27 AQ31 AQ35 AQ39 AQ43 AQ47 AQ51 AQ55 AQ59 AQ63 AQ67 AQ71 AQ75 AQ79 AQ83 AQ87 AQ91 AQ95">
    <cfRule type="cellIs" dxfId="8753" priority="45" operator="lessThan">
      <formula>0</formula>
    </cfRule>
  </conditionalFormatting>
  <conditionalFormatting sqref="AQ11 AQ15 AQ19 AQ23 AQ27 AQ31 AQ35 AQ39 AQ43 AQ47 AQ51 AQ55 AQ59 AQ63 AQ67 AQ71 AQ75 AQ79 AQ83 AQ87 AQ91 AQ95">
    <cfRule type="cellIs" dxfId="8752" priority="44" operator="lessThan">
      <formula>0</formula>
    </cfRule>
  </conditionalFormatting>
  <conditionalFormatting sqref="AQ11 AQ15 AQ19 AQ23 AQ27 AQ31 AQ35 AQ39 AQ43 AQ47 AQ51 AQ55 AQ59 AQ63 AQ67 AQ71 AQ75 AQ79 AQ83 AQ87 AQ91 AQ95">
    <cfRule type="cellIs" dxfId="8751" priority="43" operator="lessThan">
      <formula>0</formula>
    </cfRule>
  </conditionalFormatting>
  <conditionalFormatting sqref="AQ11 AQ15 AQ19 AQ23 AQ27 AQ31 AQ35 AQ39 AQ43 AQ47 AQ51 AQ55 AQ59 AQ63 AQ67 AQ71 AQ75 AQ79 AQ83 AQ87 AQ91 AQ95">
    <cfRule type="cellIs" dxfId="8750" priority="42" operator="lessThan">
      <formula>0</formula>
    </cfRule>
  </conditionalFormatting>
  <conditionalFormatting sqref="AQ11 AQ15 AQ19 AQ23 AQ27 AQ31 AQ35 AQ39 AQ43 AQ47 AQ51 AQ55 AQ59 AQ63 AQ67 AQ71 AQ75 AQ79 AQ83 AQ87 AQ91 AQ95">
    <cfRule type="cellIs" dxfId="8749" priority="41" operator="lessThan">
      <formula>0</formula>
    </cfRule>
  </conditionalFormatting>
  <conditionalFormatting sqref="AQ11 AQ15 AQ19 AQ23 AQ27 AQ31 AQ35 AQ39 AQ43 AQ47 AQ51 AQ55 AQ59 AQ63 AQ67 AQ71 AQ75 AQ79 AQ83 AQ87 AQ91 AQ95">
    <cfRule type="cellIs" dxfId="8748" priority="40" operator="lessThan">
      <formula>0</formula>
    </cfRule>
  </conditionalFormatting>
  <conditionalFormatting sqref="AQ11 AQ15 AQ19 AQ23 AQ27 AQ31 AQ35 AQ39 AQ43 AQ47 AQ51 AQ55 AQ59 AQ63 AQ67 AQ71 AQ75 AQ79 AQ83 AQ87 AQ91 AQ95">
    <cfRule type="cellIs" dxfId="8747" priority="39" operator="lessThan">
      <formula>0</formula>
    </cfRule>
  </conditionalFormatting>
  <conditionalFormatting sqref="AQ11 AQ15 AQ19 AQ23 AQ27 AQ31 AQ35 AQ39 AQ43 AQ47 AQ51 AQ55 AQ59 AQ63 AQ67 AQ71 AQ75 AQ79 AQ83 AQ87 AQ91 AQ95">
    <cfRule type="cellIs" dxfId="8746" priority="38" operator="lessThan">
      <formula>0</formula>
    </cfRule>
  </conditionalFormatting>
  <conditionalFormatting sqref="AQ11 AQ15 AQ19 AQ23 AQ27 AQ31 AQ35 AQ39 AQ43 AQ47 AQ51 AQ55 AQ59 AQ63 AQ67 AQ71 AQ75 AQ79 AQ83 AQ87 AQ91 AQ95">
    <cfRule type="cellIs" dxfId="8745" priority="37" operator="lessThan">
      <formula>0</formula>
    </cfRule>
  </conditionalFormatting>
  <conditionalFormatting sqref="AQ11 AQ15 AQ19 AQ23 AQ27 AQ31 AQ35 AQ39 AQ43 AQ47 AQ51 AQ55 AQ59 AQ63 AQ67 AQ71 AQ75 AQ79 AQ83 AQ87 AQ91 AQ95">
    <cfRule type="cellIs" dxfId="8744" priority="36" operator="lessThan">
      <formula>0</formula>
    </cfRule>
  </conditionalFormatting>
  <conditionalFormatting sqref="AQ11 AQ15 AQ19 AQ23 AQ27 AQ31 AQ35 AQ39 AQ43 AQ47 AQ51 AQ55 AQ59 AQ63 AQ67 AQ71 AQ75 AQ79 AQ83 AQ87 AQ91 AQ95">
    <cfRule type="cellIs" dxfId="8743" priority="35" operator="lessThan">
      <formula>0</formula>
    </cfRule>
  </conditionalFormatting>
  <conditionalFormatting sqref="AQ11 AQ15 AQ19 AQ23 AQ27 AQ31 AQ35 AQ39 AQ43 AQ47 AQ51 AQ55 AQ59 AQ63 AQ67 AQ71 AQ75 AQ79 AQ83 AQ87 AQ91 AQ95">
    <cfRule type="cellIs" dxfId="8742" priority="34" operator="lessThan">
      <formula>0</formula>
    </cfRule>
  </conditionalFormatting>
  <conditionalFormatting sqref="AQ11 AQ15 AQ19 AQ23 AQ27 AQ31 AQ35 AQ39 AQ43 AQ47 AQ51 AQ55 AQ59 AQ63 AQ67 AQ71 AQ75 AQ79 AQ83 AQ87 AQ91 AQ95">
    <cfRule type="cellIs" dxfId="8741" priority="33" operator="lessThan">
      <formula>0</formula>
    </cfRule>
  </conditionalFormatting>
  <conditionalFormatting sqref="AQ11 AQ15 AQ19 AQ23 AQ27 AQ31 AQ35 AQ39 AQ43 AQ47 AQ51 AQ55 AQ59 AQ63 AQ67 AQ71 AQ75 AQ79 AQ83 AQ87 AQ91 AQ95">
    <cfRule type="cellIs" dxfId="8740" priority="32" operator="lessThan">
      <formula>0</formula>
    </cfRule>
  </conditionalFormatting>
  <conditionalFormatting sqref="AQ11 AQ15 AQ19 AQ23 AQ27 AQ31 AQ35 AQ39 AQ43 AQ47 AQ51 AQ55 AQ59 AQ63 AQ67 AQ71 AQ75 AQ79 AQ83 AQ87 AQ91 AQ95">
    <cfRule type="cellIs" dxfId="8739" priority="31" operator="lessThan">
      <formula>0</formula>
    </cfRule>
  </conditionalFormatting>
  <conditionalFormatting sqref="AQ11 AQ15 AQ19 AQ23 AQ27 AQ31 AQ35 AQ39 AQ43 AQ47 AQ51 AQ55 AQ59 AQ63 AQ67 AQ71 AQ75 AQ79 AQ83 AQ87 AQ91 AQ95">
    <cfRule type="cellIs" dxfId="8738" priority="30" operator="lessThan">
      <formula>0</formula>
    </cfRule>
  </conditionalFormatting>
  <conditionalFormatting sqref="AQ11 AQ15 AQ19 AQ23 AQ27 AQ31 AQ35 AQ39 AQ43 AQ47 AQ51 AQ55 AQ59 AQ63 AQ67 AQ71 AQ75 AQ79 AQ83 AQ87 AQ91 AQ95">
    <cfRule type="cellIs" dxfId="8737" priority="29" operator="lessThan">
      <formula>0</formula>
    </cfRule>
  </conditionalFormatting>
  <conditionalFormatting sqref="AQ11 AQ15 AQ19 AQ23 AQ27 AQ31 AQ35 AQ39 AQ43 AQ47 AQ51 AQ55 AQ59 AQ63 AQ67 AQ71 AQ75 AQ79 AQ83 AQ87 AQ91 AQ95">
    <cfRule type="cellIs" dxfId="8736" priority="28" operator="lessThan">
      <formula>0</formula>
    </cfRule>
  </conditionalFormatting>
  <conditionalFormatting sqref="AQ11 AQ15 AQ19 AQ23 AQ27 AQ31 AQ35 AQ39 AQ43 AQ47 AQ51 AQ55 AQ59 AQ63 AQ67 AQ71 AQ75 AQ79 AQ83 AQ87 AQ91 AQ95">
    <cfRule type="cellIs" dxfId="8735" priority="27" operator="lessThan">
      <formula>0</formula>
    </cfRule>
  </conditionalFormatting>
  <conditionalFormatting sqref="AQ11 AQ15 AQ19 AQ23 AQ27 AQ31 AQ35 AQ39 AQ43 AQ47 AQ51 AQ55 AQ59 AQ63 AQ67 AQ71 AQ75 AQ79 AQ83 AQ87 AQ91 AQ95">
    <cfRule type="cellIs" dxfId="8734" priority="26" operator="lessThan">
      <formula>0</formula>
    </cfRule>
  </conditionalFormatting>
  <conditionalFormatting sqref="AQ11 AQ15 AQ19 AQ23 AQ27 AQ31 AQ35 AQ39 AQ43 AQ47 AQ51 AQ55 AQ59 AQ63 AQ67 AQ71 AQ75 AQ79 AQ83 AQ87 AQ91 AQ95">
    <cfRule type="cellIs" dxfId="8733" priority="25" operator="lessThan">
      <formula>0</formula>
    </cfRule>
  </conditionalFormatting>
  <conditionalFormatting sqref="AQ11 AQ15 AQ19 AQ23 AQ27 AQ31 AQ35 AQ39 AQ43 AQ47 AQ51 AQ55 AQ59 AQ63 AQ67 AQ71 AQ75 AQ79 AQ83 AQ87 AQ91 AQ95">
    <cfRule type="cellIs" dxfId="8732" priority="24" operator="lessThan">
      <formula>0</formula>
    </cfRule>
  </conditionalFormatting>
  <conditionalFormatting sqref="AQ11 AQ15 AQ19 AQ23 AQ27 AQ31 AQ35 AQ39 AQ43 AQ47 AQ51 AQ55 AQ59 AQ63 AQ67 AQ71 AQ75 AQ79 AQ83 AQ87 AQ91 AQ95">
    <cfRule type="cellIs" dxfId="8731" priority="23" operator="lessThan">
      <formula>0</formula>
    </cfRule>
  </conditionalFormatting>
  <conditionalFormatting sqref="AQ11 AQ15 AQ19 AQ23 AQ27 AQ31 AQ35 AQ39 AQ43 AQ47 AQ51 AQ55 AQ59 AQ63 AQ67 AQ71 AQ75 AQ79 AQ83 AQ87 AQ91 AQ95">
    <cfRule type="cellIs" dxfId="8730" priority="22" operator="lessThan">
      <formula>0</formula>
    </cfRule>
  </conditionalFormatting>
  <conditionalFormatting sqref="AQ11 AQ15 AQ19 AQ23 AQ27 AQ31 AQ35 AQ39 AQ43 AQ47 AQ51 AQ55 AQ59 AQ63 AQ67 AQ71 AQ75 AQ79 AQ83 AQ87 AQ91 AQ95">
    <cfRule type="cellIs" dxfId="8729" priority="21" operator="lessThan">
      <formula>0</formula>
    </cfRule>
  </conditionalFormatting>
  <conditionalFormatting sqref="AQ11 AQ15 AQ19 AQ23 AQ27 AQ31 AQ35 AQ39 AQ43 AQ47 AQ51 AQ55 AQ59 AQ63 AQ67 AQ71 AQ75 AQ79 AQ83 AQ87 AQ91 AQ95">
    <cfRule type="cellIs" dxfId="8728" priority="20" operator="lessThan">
      <formula>0</formula>
    </cfRule>
  </conditionalFormatting>
  <conditionalFormatting sqref="AQ11 AQ15 AQ19 AQ23 AQ27 AQ31 AQ35 AQ39 AQ43 AQ47 AQ51 AQ55 AQ59 AQ63 AQ67 AQ71 AQ75 AQ79 AQ83 AQ87 AQ91 AQ95">
    <cfRule type="cellIs" dxfId="8727" priority="19" operator="lessThan">
      <formula>0</formula>
    </cfRule>
  </conditionalFormatting>
  <conditionalFormatting sqref="AQ11 AQ15 AQ19 AQ23 AQ27 AQ31 AQ35 AQ39 AQ43 AQ47 AQ51 AQ55 AQ59 AQ63 AQ67 AQ71 AQ75 AQ79 AQ83 AQ87 AQ91 AQ95">
    <cfRule type="cellIs" dxfId="8726" priority="3" operator="lessThan">
      <formula>0</formula>
    </cfRule>
  </conditionalFormatting>
  <conditionalFormatting sqref="AQ11 AQ15 AQ19 AQ23 AQ27 AQ31 AQ35 AQ39 AQ43 AQ47 AQ51 AQ55 AQ59 AQ63 AQ67 AQ71 AQ75 AQ79 AQ83 AQ87 AQ91 AQ95">
    <cfRule type="cellIs" dxfId="8725" priority="18" operator="lessThan">
      <formula>0</formula>
    </cfRule>
  </conditionalFormatting>
  <conditionalFormatting sqref="AQ11 AQ15 AQ19 AQ23 AQ27 AQ31 AQ35 AQ39 AQ43 AQ47 AQ51 AQ55 AQ59 AQ63 AQ67 AQ71 AQ75 AQ79 AQ83 AQ87 AQ91 AQ95">
    <cfRule type="cellIs" dxfId="8724" priority="17" operator="lessThan">
      <formula>0</formula>
    </cfRule>
  </conditionalFormatting>
  <conditionalFormatting sqref="AQ11 AQ15 AQ19 AQ23 AQ27 AQ31 AQ35 AQ39 AQ43 AQ47 AQ51 AQ55 AQ59 AQ63 AQ67 AQ71 AQ75 AQ79 AQ83 AQ87 AQ91 AQ95">
    <cfRule type="cellIs" dxfId="8723" priority="16" operator="lessThan">
      <formula>0</formula>
    </cfRule>
  </conditionalFormatting>
  <conditionalFormatting sqref="AQ11 AQ15 AQ19 AQ23 AQ27 AQ31 AQ35 AQ39 AQ43 AQ47 AQ51 AQ55 AQ59 AQ63 AQ67 AQ71 AQ75 AQ79 AQ83 AQ87 AQ91 AQ95">
    <cfRule type="cellIs" dxfId="8722" priority="15" operator="lessThan">
      <formula>0</formula>
    </cfRule>
  </conditionalFormatting>
  <conditionalFormatting sqref="AQ11 AQ15 AQ19 AQ23 AQ27 AQ31 AQ35 AQ39 AQ43 AQ47 AQ51 AQ55 AQ59 AQ63 AQ67 AQ71 AQ75 AQ79 AQ83 AQ87 AQ91 AQ95">
    <cfRule type="cellIs" dxfId="8721" priority="14" operator="lessThan">
      <formula>0</formula>
    </cfRule>
  </conditionalFormatting>
  <conditionalFormatting sqref="AQ11 AQ15 AQ19 AQ23 AQ27 AQ31 AQ35 AQ39 AQ43 AQ47 AQ51 AQ55 AQ59 AQ63 AQ67 AQ71 AQ75 AQ79 AQ83 AQ87 AQ91 AQ95">
    <cfRule type="cellIs" dxfId="8720" priority="13" operator="lessThan">
      <formula>0</formula>
    </cfRule>
  </conditionalFormatting>
  <conditionalFormatting sqref="AQ11 AQ15 AQ19 AQ23 AQ27 AQ31 AQ35 AQ39 AQ43 AQ47 AQ51 AQ55 AQ59 AQ63 AQ67 AQ71 AQ75 AQ79 AQ83 AQ87 AQ91 AQ95">
    <cfRule type="cellIs" dxfId="8719" priority="12" operator="lessThan">
      <formula>0</formula>
    </cfRule>
  </conditionalFormatting>
  <conditionalFormatting sqref="AQ11 AQ15 AQ19 AQ23 AQ27 AQ31 AQ35 AQ39 AQ43 AQ47 AQ51 AQ55 AQ59 AQ63 AQ67 AQ71 AQ75 AQ79 AQ83 AQ87 AQ91 AQ95">
    <cfRule type="cellIs" dxfId="8718" priority="11" operator="lessThan">
      <formula>0</formula>
    </cfRule>
  </conditionalFormatting>
  <conditionalFormatting sqref="AQ11 AQ15 AQ19 AQ23 AQ27 AQ31 AQ35 AQ39 AQ43 AQ47 AQ51 AQ55 AQ59 AQ63 AQ67 AQ71 AQ75 AQ79 AQ83 AQ87 AQ91 AQ95">
    <cfRule type="cellIs" dxfId="8717" priority="10" operator="lessThan">
      <formula>0</formula>
    </cfRule>
  </conditionalFormatting>
  <conditionalFormatting sqref="AQ11 AQ15 AQ19 AQ23 AQ27 AQ31 AQ35 AQ39 AQ43 AQ47 AQ51 AQ55 AQ59 AQ63 AQ67 AQ71 AQ75 AQ79 AQ83 AQ87 AQ91 AQ95">
    <cfRule type="cellIs" dxfId="8716" priority="9" operator="lessThan">
      <formula>0</formula>
    </cfRule>
  </conditionalFormatting>
  <conditionalFormatting sqref="AQ11 AQ15 AQ19 AQ23 AQ27 AQ31 AQ35 AQ39 AQ43 AQ47 AQ51 AQ55 AQ59 AQ63 AQ67 AQ71 AQ75 AQ79 AQ83 AQ87 AQ91 AQ95">
    <cfRule type="cellIs" dxfId="8715" priority="8" operator="lessThan">
      <formula>0</formula>
    </cfRule>
  </conditionalFormatting>
  <conditionalFormatting sqref="AQ11 AQ15 AQ19 AQ23 AQ27 AQ31 AQ35 AQ39 AQ43 AQ47 AQ51 AQ55 AQ59 AQ63 AQ67 AQ71 AQ75 AQ79 AQ83 AQ87 AQ91 AQ95">
    <cfRule type="cellIs" dxfId="8714" priority="7" operator="lessThan">
      <formula>0</formula>
    </cfRule>
  </conditionalFormatting>
  <conditionalFormatting sqref="AQ11 AQ15 AQ19 AQ23 AQ27 AQ31 AQ35 AQ39 AQ43 AQ47 AQ51 AQ55 AQ59 AQ63 AQ67 AQ71 AQ75 AQ79 AQ83 AQ87 AQ91 AQ95">
    <cfRule type="cellIs" dxfId="8713" priority="6" operator="lessThan">
      <formula>0</formula>
    </cfRule>
  </conditionalFormatting>
  <conditionalFormatting sqref="AQ11 AQ15 AQ19 AQ23 AQ27 AQ31 AQ35 AQ39 AQ43 AQ47 AQ51 AQ55 AQ59 AQ63 AQ67 AQ71 AQ75 AQ79 AQ83 AQ87 AQ91 AQ95">
    <cfRule type="cellIs" dxfId="8712" priority="5" operator="lessThan">
      <formula>0</formula>
    </cfRule>
  </conditionalFormatting>
  <conditionalFormatting sqref="AQ11 AQ15 AQ19 AQ23 AQ27 AQ31 AQ35 AQ39 AQ43 AQ47 AQ51 AQ55 AQ59 AQ63 AQ67 AQ71 AQ75 AQ79 AQ83 AQ87 AQ91 AQ95">
    <cfRule type="cellIs" dxfId="8711" priority="4" operator="lessThan">
      <formula>0</formula>
    </cfRule>
  </conditionalFormatting>
  <conditionalFormatting sqref="J36">
    <cfRule type="cellIs" dxfId="8710" priority="2" operator="greater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017" id="{C2378C53-8D5C-4CEF-B17D-595F2BA84E9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1013" id="{94791491-9175-494C-969A-F6157CF705A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1010" id="{88348E2F-3354-4809-BF2A-0ABA2407E7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1006" id="{BD4DB039-C544-4217-AFB9-AC7A2DF6CC9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1003" id="{20C1EC5E-86BF-48D0-9D0F-821779D05EF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999" id="{31F19AF1-80B8-4A7A-875F-46AA4C28029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995" id="{6F9DB4A5-6BA4-4368-B073-E7B671C1F3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991" id="{4BB40F59-A902-4B31-ABE9-76D4F73CEF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986" id="{6FB3F554-088B-4A6F-A9B9-FA4D680E401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978" id="{4C87478E-4C4F-49A3-839B-3C15ED40310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933" id="{11DC3BF3-309F-43E5-ABD1-51D4369854F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888" id="{50366E7F-92D4-4B63-8684-752B2EF3143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844" id="{4F354B0D-9D9A-48C4-A1C7-678B95D7A8B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795" id="{68B6F151-58EB-4A0C-BC05-4AF042C62D5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747" id="{CBD3306E-44B6-46D7-8D7C-FBE49020E7E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699" id="{4FCA9858-E1AF-4BFD-8E0E-3155E0A333D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651" id="{51B35857-1A04-481F-9BC1-5FBF21D037E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571" id="{FD6B1E9B-9F15-4F63-A50C-B1E6D889746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Z94</xm:sqref>
        </x14:conditionalFormatting>
        <x14:conditionalFormatting xmlns:xm="http://schemas.microsoft.com/office/excel/2006/main">
          <x14:cfRule type="iconSet" priority="522" id="{279E399B-9BAC-4F4E-B4EB-294AE27F299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420" id="{C1D81450-1FC6-4F64-8ED5-F14DC5BD9AA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412" id="{833B0028-BE69-4942-9F20-56AA42260B8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364" id="{65EB8333-809F-455D-943C-4F21C5C3F21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173" id="{2DA6E652-FB18-46CB-9EC2-A3AC33E1776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89"/>
  <sheetViews>
    <sheetView zoomScale="18" zoomScaleNormal="18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AE23" sqref="AE23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0.65853500270500054</v>
      </c>
      <c r="AE2" s="520"/>
      <c r="AH2" s="183">
        <f>+SUBTOTAL(9,AH6:AH111)</f>
        <v>323475</v>
      </c>
      <c r="AI2" s="183">
        <f>+SUBTOTAL(9,AI6:AI111)</f>
        <v>213019.61000000004</v>
      </c>
      <c r="AT2" s="91">
        <v>0.59793648334624327</v>
      </c>
    </row>
    <row r="3" spans="2:58" ht="94.5" customHeight="1" x14ac:dyDescent="0.9">
      <c r="B3" s="484"/>
      <c r="C3" s="484"/>
      <c r="D3" s="484"/>
      <c r="E3" s="484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84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+SUMIF($L$6:$L$94,AA3,$AA$6:$AA$94)</f>
        <v>5871</v>
      </c>
      <c r="AB4" s="144" t="s">
        <v>28</v>
      </c>
      <c r="AC4" s="145"/>
      <c r="AD4" s="524" t="str">
        <f ca="1">RIGHT(CELL("filename",A1),LEN(CELL("filename",A1))-FIND("]",CELL("filename",A1)))</f>
        <v>13-01-2026</v>
      </c>
      <c r="AE4" s="524"/>
      <c r="AF4" s="397">
        <f>+SUM(AF6:AF99)</f>
        <v>5391.25</v>
      </c>
      <c r="AG4" s="397"/>
      <c r="AH4" s="98"/>
      <c r="AI4" s="98"/>
      <c r="AJ4" s="398">
        <v>8.75</v>
      </c>
      <c r="AQ4" s="437">
        <f>+SUBTOTAL(9,AQ6:AQ95)</f>
        <v>143.50374999999963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488</v>
      </c>
      <c r="H6" s="106"/>
      <c r="I6" s="106"/>
      <c r="J6" s="107" t="s">
        <v>20</v>
      </c>
      <c r="K6" s="108" t="s">
        <v>23</v>
      </c>
      <c r="L6" s="100" t="s">
        <v>21</v>
      </c>
      <c r="M6" s="453"/>
      <c r="N6" s="453"/>
      <c r="O6" s="453"/>
      <c r="P6" s="453"/>
      <c r="Q6" s="453"/>
      <c r="R6" s="453"/>
      <c r="S6" s="453"/>
      <c r="T6" s="453"/>
      <c r="U6" s="453"/>
      <c r="V6" s="453"/>
      <c r="W6" s="453"/>
      <c r="X6" s="447" t="str">
        <f t="shared" ref="X6" si="0">IF(AQ7="","",SUM(M6:W6)-(-(AQ7-SUM(M6:W6))/$AQ$3)*SUM($M$2:$W$2))</f>
        <v/>
      </c>
      <c r="Y6" s="466">
        <v>0</v>
      </c>
      <c r="Z6" s="533">
        <f>+X8</f>
        <v>0</v>
      </c>
      <c r="AA6" s="447">
        <f t="shared" ref="AA6:AA7" si="1">+SUM(L6:W6)</f>
        <v>0</v>
      </c>
      <c r="AB6" s="343">
        <f>+AC6+AA6</f>
        <v>1450</v>
      </c>
      <c r="AC6" s="343">
        <v>1450</v>
      </c>
      <c r="AD6" s="344"/>
      <c r="AE6" s="345"/>
      <c r="AF6" s="346"/>
      <c r="AG6" s="347">
        <f t="shared" ref="AG6:AG85" si="2">TRUNC(AF6)+(AF6-TRUNC(AF6))*60/100</f>
        <v>0</v>
      </c>
      <c r="AH6" s="341">
        <f t="shared" ref="AH6:AH85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483</v>
      </c>
      <c r="E7" s="111"/>
      <c r="F7" s="111" t="s">
        <v>35</v>
      </c>
      <c r="G7" s="541" t="str">
        <f>+G6</f>
        <v>7394-593-741</v>
      </c>
      <c r="H7" s="111"/>
      <c r="I7" s="111" t="s">
        <v>33</v>
      </c>
      <c r="J7" s="113">
        <v>41.87</v>
      </c>
      <c r="K7" s="130">
        <v>60</v>
      </c>
      <c r="L7" s="101" t="s">
        <v>17</v>
      </c>
      <c r="M7" s="454"/>
      <c r="N7" s="454"/>
      <c r="O7" s="454"/>
      <c r="P7" s="454"/>
      <c r="Q7" s="454"/>
      <c r="R7" s="454"/>
      <c r="S7" s="454"/>
      <c r="T7" s="454"/>
      <c r="U7" s="454"/>
      <c r="V7" s="454"/>
      <c r="W7" s="454"/>
      <c r="X7" s="123">
        <f>+IF(H8="s",0,IF(AA7=0,0,IF(COUNTA(M7:W7)=AK9+0.25,SUMIF($C:$C,B7,$AA:$AA)/AK9,SUMIF($C:$C,B7,$AA:$AA)/(COUNTA(M7:W7)))))</f>
        <v>0</v>
      </c>
      <c r="Y7" s="466"/>
      <c r="Z7" s="534"/>
      <c r="AA7" s="134">
        <f t="shared" si="1"/>
        <v>0</v>
      </c>
      <c r="AB7" s="354">
        <f>+AA7+AC7</f>
        <v>981</v>
      </c>
      <c r="AC7" s="354">
        <v>981</v>
      </c>
      <c r="AD7" s="355">
        <f>+AB6-AB7</f>
        <v>469</v>
      </c>
      <c r="AE7" s="131" t="str">
        <f>+IF(((AA8+(AA9/2))*60)=0,"",(J7*AA7)/((AA8+(AA9/2))*60))</f>
        <v/>
      </c>
      <c r="AF7" s="347">
        <f>+AA8+AA9/2</f>
        <v>0</v>
      </c>
      <c r="AG7" s="347">
        <f t="shared" si="2"/>
        <v>0</v>
      </c>
      <c r="AH7" s="341">
        <f t="shared" si="3"/>
        <v>0</v>
      </c>
      <c r="AI7" s="341">
        <f>+AA7*J7</f>
        <v>0</v>
      </c>
      <c r="AJ7" s="356">
        <f>+AA7-(AF7*K7/K9)</f>
        <v>0</v>
      </c>
      <c r="AK7" s="348"/>
      <c r="AL7" s="349"/>
      <c r="AM7" s="341"/>
      <c r="AN7" s="341"/>
      <c r="AO7" s="341"/>
      <c r="AP7" s="341"/>
      <c r="AQ7" s="339" t="str">
        <f t="shared" ref="AQ7" si="4">IF(AR7=0,"",AT7-(($AQ$3*K7)+($AQ$3*K7)*AR7)+AA6)</f>
        <v/>
      </c>
      <c r="AR7" s="434"/>
      <c r="AT7" s="390">
        <v>469</v>
      </c>
      <c r="AV7" s="390">
        <f>+AT7-AD7</f>
        <v>0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7394-593-741</v>
      </c>
      <c r="H8" s="411"/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453"/>
      <c r="N8" s="453"/>
      <c r="O8" s="453"/>
      <c r="P8" s="453"/>
      <c r="Q8" s="453"/>
      <c r="R8" s="453"/>
      <c r="S8" s="453"/>
      <c r="T8" s="453"/>
      <c r="U8" s="453"/>
      <c r="V8" s="453"/>
      <c r="W8" s="453"/>
      <c r="X8" s="160">
        <f>+IF(H8="l",IF(COUNTA(M7:W7)=AK9+0.25,AA7-K7*AK9,AA7-(K7*COUNTA(M7:W7))),IF(H8="s",0,IF(COUNTA(M7:W7)=AK9+0.25,SUMIF($C:$C,B7,$AA:$AA)-K7*AK9,SUMIF($C:$C,B7,$AA:$AA)-K7*COUNTA(M7:W7))))</f>
        <v>0</v>
      </c>
      <c r="Y8" s="466"/>
      <c r="Z8" s="534"/>
      <c r="AA8" s="462">
        <f t="shared" ref="AA8:AA9" si="5">+SUM(M8:W8)-U8*0.25</f>
        <v>0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0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7394-593-741</v>
      </c>
      <c r="H9" s="117"/>
      <c r="I9" s="442"/>
      <c r="J9" s="165">
        <f>+IF(K9="","",IF(K7=0,"",(K7*J7)/(K9*60)))</f>
        <v>0.89085106382978718</v>
      </c>
      <c r="K9" s="118">
        <v>47</v>
      </c>
      <c r="L9" s="104" t="s">
        <v>19</v>
      </c>
      <c r="M9" s="455"/>
      <c r="N9" s="455"/>
      <c r="O9" s="455"/>
      <c r="P9" s="455"/>
      <c r="Q9" s="455"/>
      <c r="R9" s="455"/>
      <c r="S9" s="455"/>
      <c r="T9" s="455"/>
      <c r="U9" s="455"/>
      <c r="V9" s="455"/>
      <c r="W9" s="455"/>
      <c r="X9" s="173"/>
      <c r="Y9" s="467">
        <v>14.39</v>
      </c>
      <c r="Z9" s="365">
        <v>14.39</v>
      </c>
      <c r="AA9" s="465">
        <f t="shared" si="5"/>
        <v>0</v>
      </c>
      <c r="AB9" s="367"/>
      <c r="AC9" s="367"/>
      <c r="AD9" s="368">
        <f>+IFERROR(AD7/(K7*$AQ$3),"")</f>
        <v>0.89333333333333331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0</v>
      </c>
      <c r="AM9" s="341">
        <f>+AL9-AA9</f>
        <v>0</v>
      </c>
      <c r="AN9" s="341"/>
      <c r="AO9" s="341"/>
      <c r="AP9" s="341"/>
      <c r="AQ9" s="369"/>
      <c r="AR9" s="434"/>
      <c r="AT9" s="390">
        <v>0.89333333333333331</v>
      </c>
      <c r="AV9" s="390"/>
    </row>
    <row r="10" spans="2:58" s="98" customFormat="1" ht="62.25" customHeight="1" thickTop="1" x14ac:dyDescent="0.9">
      <c r="B10" s="342" t="str">
        <f>+B11</f>
        <v>2*</v>
      </c>
      <c r="C10" s="405"/>
      <c r="D10" s="106"/>
      <c r="E10" s="106"/>
      <c r="F10" s="106"/>
      <c r="G10" s="540" t="s">
        <v>429</v>
      </c>
      <c r="H10" s="106"/>
      <c r="I10" s="106"/>
      <c r="J10" s="107" t="s">
        <v>20</v>
      </c>
      <c r="K10" s="108" t="s">
        <v>23</v>
      </c>
      <c r="L10" s="100" t="s">
        <v>21</v>
      </c>
      <c r="M10" s="448"/>
      <c r="N10" s="448"/>
      <c r="O10" s="448"/>
      <c r="P10" s="448"/>
      <c r="Q10" s="448"/>
      <c r="R10" s="448"/>
      <c r="S10" s="448"/>
      <c r="T10" s="448"/>
      <c r="U10" s="448"/>
      <c r="V10" s="448"/>
      <c r="W10" s="448"/>
      <c r="X10" s="447" t="str">
        <f t="shared" ref="X10:X70" si="6">IF(AQ11="","",SUM(M10:W10)-(-(AQ11-SUM(M10:W10))/$AQ$3)*SUM($M$2:$W$2))</f>
        <v/>
      </c>
      <c r="Y10" s="466">
        <v>0</v>
      </c>
      <c r="Z10" s="533">
        <f>+X12</f>
        <v>0</v>
      </c>
      <c r="AA10" s="447">
        <f t="shared" ref="AA10:AA71" si="7">+SUM(L10:W10)</f>
        <v>0</v>
      </c>
      <c r="AB10" s="343">
        <f>+AC10+AA10</f>
        <v>6629</v>
      </c>
      <c r="AC10" s="343">
        <v>6629</v>
      </c>
      <c r="AD10" s="344"/>
      <c r="AE10" s="345"/>
      <c r="AF10" s="346"/>
      <c r="AG10" s="347">
        <f t="shared" si="2"/>
        <v>0</v>
      </c>
      <c r="AH10" s="341">
        <f t="shared" si="3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 t="s">
        <v>492</v>
      </c>
      <c r="C11" s="406" t="str">
        <f>+B11</f>
        <v>2*</v>
      </c>
      <c r="D11" s="407" t="s">
        <v>427</v>
      </c>
      <c r="E11" s="111"/>
      <c r="F11" s="111" t="s">
        <v>428</v>
      </c>
      <c r="G11" s="541" t="str">
        <f t="shared" ref="G11:G13" si="8">+G10</f>
        <v>NEGRONI-202942</v>
      </c>
      <c r="H11" s="111"/>
      <c r="I11" s="111" t="s">
        <v>430</v>
      </c>
      <c r="J11" s="113">
        <v>48.06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>
        <v>27</v>
      </c>
      <c r="V11" s="214"/>
      <c r="W11" s="214"/>
      <c r="X11" s="123">
        <f>+IF(H12="s",0,IF(AA11=0,0,IF(COUNTA(M11:W11)=AK13+0.25,SUMIF($C:$C,B11,$AA:$AA)/AK13,SUMIF($C:$C,B11,$AA:$AA)/(COUNTA(M11:W11)))))</f>
        <v>0</v>
      </c>
      <c r="Y11" s="466"/>
      <c r="Z11" s="534"/>
      <c r="AA11" s="134">
        <f t="shared" si="7"/>
        <v>27</v>
      </c>
      <c r="AB11" s="354">
        <f>+AA11+AC11</f>
        <v>6621</v>
      </c>
      <c r="AC11" s="354">
        <v>6594</v>
      </c>
      <c r="AD11" s="355">
        <f>+AB10-AB11</f>
        <v>8</v>
      </c>
      <c r="AE11" s="131">
        <f>+IF(((AA12+(AA13/2))*60)=0,"",(J11*AA11)/((AA12+(AA13/2))*60))</f>
        <v>28.836000000000002</v>
      </c>
      <c r="AF11" s="347">
        <f>+AA12+AA13/2</f>
        <v>0.75</v>
      </c>
      <c r="AG11" s="347">
        <f t="shared" si="2"/>
        <v>0.45</v>
      </c>
      <c r="AH11" s="341">
        <f t="shared" si="3"/>
        <v>45</v>
      </c>
      <c r="AI11" s="341">
        <f>+AA11*J11</f>
        <v>1297.6200000000001</v>
      </c>
      <c r="AJ11" s="356">
        <f>+AA11-(AF11*K11/K13)</f>
        <v>26.181818181818183</v>
      </c>
      <c r="AK11" s="348"/>
      <c r="AL11" s="349"/>
      <c r="AM11" s="341"/>
      <c r="AN11" s="341"/>
      <c r="AO11" s="341"/>
      <c r="AP11" s="341"/>
      <c r="AQ11" s="339" t="str">
        <f t="shared" ref="AQ11:AQ71" si="9">IF(AR11=0,"",AT11-(($AQ$3*K11)+($AQ$3*K11)*AR11)+AA10)</f>
        <v/>
      </c>
      <c r="AR11" s="434"/>
      <c r="AT11" s="390">
        <v>35</v>
      </c>
      <c r="AV11" s="390">
        <f>+AT11-AD11</f>
        <v>27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 t="str">
        <f>+B11</f>
        <v>2*</v>
      </c>
      <c r="C12" s="408"/>
      <c r="D12" s="184"/>
      <c r="E12" s="111" t="str">
        <f>+B11</f>
        <v>2*</v>
      </c>
      <c r="F12" s="409"/>
      <c r="G12" s="541" t="str">
        <f t="shared" si="8"/>
        <v>NEGRONI-202942</v>
      </c>
      <c r="H12" s="411" t="s">
        <v>414</v>
      </c>
      <c r="I12" s="113">
        <f>+IFERROR(IF(K13=0,0,IF((LOOKUP(2,1/(M12:W12&lt;&gt;""),M12:W12)-K13)&lt;0,0,IF(K13=0,"",LOOKUP(2,1/(M12:W12&lt;&gt;""),M12:W12)-K13))),0)</f>
        <v>0</v>
      </c>
      <c r="J12" s="113">
        <v>0</v>
      </c>
      <c r="K12" s="114" t="s">
        <v>22</v>
      </c>
      <c r="L12" s="102" t="s">
        <v>18</v>
      </c>
      <c r="M12" s="448"/>
      <c r="N12" s="448"/>
      <c r="O12" s="448"/>
      <c r="P12" s="448"/>
      <c r="Q12" s="448"/>
      <c r="R12" s="448"/>
      <c r="S12" s="448"/>
      <c r="T12" s="448"/>
      <c r="U12" s="448">
        <v>1</v>
      </c>
      <c r="V12" s="448"/>
      <c r="W12" s="448"/>
      <c r="X12" s="160">
        <f>+IF(H12="l",IF(COUNTA(M11:W11)=AK13+0.25,AA11-K11*AK13,AA11-(K11*COUNTA(M11:W11))),IF(H12="s",0,IF(COUNTA(M11:W11)=AK13+0.25,SUMIF($C:$C,B11,$AA:$AA)-K11*AK13,SUMIF($C:$C,B11,$AA:$AA)-K11*COUNTA(M11:W11))))</f>
        <v>0</v>
      </c>
      <c r="Y12" s="466"/>
      <c r="Z12" s="534"/>
      <c r="AA12" s="462">
        <f t="shared" ref="AA12:AA73" si="10">+SUM(M12:W12)-U12*0.25</f>
        <v>0.75</v>
      </c>
      <c r="AB12" s="360"/>
      <c r="AC12" s="360"/>
      <c r="AD12" s="362"/>
      <c r="AE12" s="363"/>
      <c r="AF12" s="346"/>
      <c r="AG12" s="347">
        <f t="shared" si="2"/>
        <v>0</v>
      </c>
      <c r="AH12" s="341">
        <f t="shared" si="3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0.75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 t="str">
        <f>+B11</f>
        <v>2*</v>
      </c>
      <c r="C13" s="410"/>
      <c r="D13" s="174" t="s">
        <v>419</v>
      </c>
      <c r="E13" s="175" t="e">
        <f>+E12+100</f>
        <v>#VALUE!</v>
      </c>
      <c r="F13" s="175"/>
      <c r="G13" s="542" t="str">
        <f t="shared" si="8"/>
        <v>NEGRONI-202942</v>
      </c>
      <c r="H13" s="117"/>
      <c r="I13" s="442"/>
      <c r="J13" s="165">
        <f>+IF(K13="","",IF(K11=0,"",(K11*J11)/(K13*60)))</f>
        <v>0.87381818181818194</v>
      </c>
      <c r="K13" s="118">
        <v>55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36.14</v>
      </c>
      <c r="Z13" s="365">
        <v>36.14</v>
      </c>
      <c r="AA13" s="465">
        <f t="shared" si="10"/>
        <v>0</v>
      </c>
      <c r="AB13" s="367"/>
      <c r="AC13" s="367"/>
      <c r="AD13" s="368">
        <f>+IFERROR(AD11/(K11*$AQ$3),"")</f>
        <v>1.5238095238095238E-2</v>
      </c>
      <c r="AE13" s="369"/>
      <c r="AF13" s="347"/>
      <c r="AG13" s="347">
        <f t="shared" si="2"/>
        <v>0</v>
      </c>
      <c r="AH13" s="341">
        <f t="shared" si="3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6.6666666666666666E-2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40" t="s">
        <v>481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120</v>
      </c>
      <c r="N14" s="448">
        <v>60</v>
      </c>
      <c r="O14" s="448">
        <v>120</v>
      </c>
      <c r="P14" s="448">
        <v>60</v>
      </c>
      <c r="Q14" s="448">
        <v>60</v>
      </c>
      <c r="R14" s="448"/>
      <c r="S14" s="448"/>
      <c r="T14" s="448"/>
      <c r="U14" s="448"/>
      <c r="V14" s="448"/>
      <c r="W14" s="448"/>
      <c r="X14" s="447">
        <f t="shared" si="6"/>
        <v>420</v>
      </c>
      <c r="Y14" s="466">
        <v>-18</v>
      </c>
      <c r="Z14" s="533">
        <f>+X16</f>
        <v>0</v>
      </c>
      <c r="AA14" s="447">
        <f t="shared" si="7"/>
        <v>420</v>
      </c>
      <c r="AB14" s="343">
        <f>+AC14+AA14</f>
        <v>2256</v>
      </c>
      <c r="AC14" s="343">
        <v>1836</v>
      </c>
      <c r="AD14" s="344"/>
      <c r="AE14" s="345"/>
      <c r="AF14" s="346"/>
      <c r="AG14" s="347">
        <f t="shared" si="2"/>
        <v>0</v>
      </c>
      <c r="AH14" s="341">
        <f t="shared" si="3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480</v>
      </c>
      <c r="E15" s="111"/>
      <c r="F15" s="111" t="s">
        <v>35</v>
      </c>
      <c r="G15" s="541" t="str">
        <f t="shared" ref="G15:G17" si="11">+G14</f>
        <v>2396-593-600</v>
      </c>
      <c r="H15" s="111"/>
      <c r="I15" s="111" t="s">
        <v>33</v>
      </c>
      <c r="J15" s="113">
        <v>38.82</v>
      </c>
      <c r="K15" s="130">
        <v>60</v>
      </c>
      <c r="L15" s="101" t="s">
        <v>17</v>
      </c>
      <c r="M15" s="214">
        <v>60</v>
      </c>
      <c r="N15" s="214">
        <v>60</v>
      </c>
      <c r="O15" s="214">
        <v>60</v>
      </c>
      <c r="P15" s="214">
        <v>60</v>
      </c>
      <c r="Q15" s="214">
        <v>60</v>
      </c>
      <c r="R15" s="214">
        <v>60</v>
      </c>
      <c r="S15" s="214">
        <v>60</v>
      </c>
      <c r="T15" s="214">
        <v>60</v>
      </c>
      <c r="U15" s="214">
        <v>45</v>
      </c>
      <c r="V15" s="214"/>
      <c r="W15" s="214"/>
      <c r="X15" s="123">
        <f>+IF(H16="s",0,IF(AA15=0,0,IF(COUNTA(M15:W15)=AK17+0.25,SUMIF($C:$C,B15,$AA:$AA)/AK17,SUMIF($C:$C,B15,$AA:$AA)/(COUNTA(M15:W15)))))</f>
        <v>60</v>
      </c>
      <c r="Y15" s="466"/>
      <c r="Z15" s="534"/>
      <c r="AA15" s="134">
        <f t="shared" si="7"/>
        <v>525</v>
      </c>
      <c r="AB15" s="354">
        <f>+AA15+AC15</f>
        <v>1484</v>
      </c>
      <c r="AC15" s="354">
        <v>959</v>
      </c>
      <c r="AD15" s="355">
        <f>+AB14-AB15</f>
        <v>772</v>
      </c>
      <c r="AE15" s="131">
        <f>+IF(((AA16+(AA17/2))*60)=0,"",(J15*AA15)/((AA16+(AA17/2))*60))</f>
        <v>0.8643129770992366</v>
      </c>
      <c r="AF15" s="347">
        <f>+AA16+AA17/2</f>
        <v>393</v>
      </c>
      <c r="AG15" s="347">
        <f t="shared" si="2"/>
        <v>393</v>
      </c>
      <c r="AH15" s="341">
        <f t="shared" si="3"/>
        <v>23580</v>
      </c>
      <c r="AI15" s="341">
        <f>+AA15*J15</f>
        <v>20380.5</v>
      </c>
      <c r="AJ15" s="356">
        <f>+AA15-(AF15*K15/K17)</f>
        <v>-23.372093023255843</v>
      </c>
      <c r="AK15" s="348"/>
      <c r="AL15" s="349"/>
      <c r="AM15" s="341"/>
      <c r="AN15" s="341"/>
      <c r="AO15" s="341"/>
      <c r="AP15" s="341"/>
      <c r="AQ15" s="339">
        <f t="shared" si="9"/>
        <v>0.25</v>
      </c>
      <c r="AR15" s="434">
        <v>1.47</v>
      </c>
      <c r="AT15" s="390">
        <v>877</v>
      </c>
      <c r="AV15" s="390">
        <f>+AT15-AD15</f>
        <v>105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/>
      <c r="F16" s="409"/>
      <c r="G16" s="541" t="str">
        <f t="shared" si="11"/>
        <v>2396-593-600</v>
      </c>
      <c r="H16" s="411" t="s">
        <v>412</v>
      </c>
      <c r="I16" s="113"/>
      <c r="J16" s="113">
        <v>2</v>
      </c>
      <c r="K16" s="114" t="s">
        <v>22</v>
      </c>
      <c r="L16" s="102" t="s">
        <v>18</v>
      </c>
      <c r="M16" s="448">
        <v>45</v>
      </c>
      <c r="N16" s="448">
        <v>45</v>
      </c>
      <c r="O16" s="448">
        <v>45</v>
      </c>
      <c r="P16" s="448">
        <v>45</v>
      </c>
      <c r="Q16" s="448">
        <v>45</v>
      </c>
      <c r="R16" s="448">
        <v>45</v>
      </c>
      <c r="S16" s="448">
        <v>45</v>
      </c>
      <c r="T16" s="448">
        <v>45</v>
      </c>
      <c r="U16" s="448">
        <v>44</v>
      </c>
      <c r="V16" s="448"/>
      <c r="W16" s="448"/>
      <c r="X16" s="160">
        <f>+IF(H16="l",IF(COUNTA(M15:W15)=AK17+0.25,AA15-K15*AK17,AA15-(K15*COUNTA(M15:W15))),IF(H16="s",0,IF(COUNTA(M15:W15)=AK17+0.25,SUMIF($C:$C,B15,$AA:$AA)-K15*AK17,SUMIF($C:$C,B15,$AA:$AA)-K15*COUNTA(M15:W15))))</f>
        <v>0</v>
      </c>
      <c r="Y16" s="466"/>
      <c r="Z16" s="534"/>
      <c r="AA16" s="462">
        <f t="shared" si="10"/>
        <v>393</v>
      </c>
      <c r="AB16" s="360"/>
      <c r="AC16" s="360"/>
      <c r="AD16" s="362"/>
      <c r="AE16" s="363"/>
      <c r="AF16" s="346"/>
      <c r="AG16" s="347">
        <f t="shared" si="2"/>
        <v>0</v>
      </c>
      <c r="AH16" s="341">
        <f t="shared" si="3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393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/>
      <c r="F17" s="175"/>
      <c r="G17" s="542" t="str">
        <f t="shared" si="11"/>
        <v>2396-593-600</v>
      </c>
      <c r="H17" s="117"/>
      <c r="I17" s="442"/>
      <c r="J17" s="165">
        <f>+IF(K17="","",IF(K15=0,"",(K15*J15)/(K17*60)))</f>
        <v>0.90279069767441855</v>
      </c>
      <c r="K17" s="118">
        <v>43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9.8341269841269856</v>
      </c>
      <c r="Z17" s="371">
        <f>+IF(COUNTA(M15:W15)=$AJ$4+0.25,$AJ$4-(AA15/K15),COUNTA(M15:W15)-(AA15/K15))+Y17</f>
        <v>9.8341269841269856</v>
      </c>
      <c r="AA17" s="465">
        <f t="shared" si="10"/>
        <v>0</v>
      </c>
      <c r="AB17" s="367"/>
      <c r="AC17" s="367"/>
      <c r="AD17" s="368">
        <f>+IFERROR(AD15/(K15*$AQ$3),"")</f>
        <v>1.4704761904761905</v>
      </c>
      <c r="AE17" s="369"/>
      <c r="AF17" s="347"/>
      <c r="AG17" s="347">
        <f t="shared" si="2"/>
        <v>0</v>
      </c>
      <c r="AH17" s="341">
        <f t="shared" si="3"/>
        <v>0</v>
      </c>
      <c r="AI17" s="341"/>
      <c r="AJ17" s="356"/>
      <c r="AK17" s="370">
        <f>+$AJ$4</f>
        <v>8.75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1.6704761904761904</v>
      </c>
      <c r="AV17" s="390"/>
    </row>
    <row r="18" spans="2:58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540" t="s">
        <v>489</v>
      </c>
      <c r="H18" s="106"/>
      <c r="I18" s="106"/>
      <c r="J18" s="107" t="s">
        <v>20</v>
      </c>
      <c r="K18" s="108" t="s">
        <v>23</v>
      </c>
      <c r="L18" s="100" t="s">
        <v>21</v>
      </c>
      <c r="M18" s="448"/>
      <c r="N18" s="448"/>
      <c r="O18" s="448">
        <v>140</v>
      </c>
      <c r="P18" s="448">
        <v>140</v>
      </c>
      <c r="Q18" s="448">
        <v>140</v>
      </c>
      <c r="R18" s="448"/>
      <c r="S18" s="448">
        <v>70</v>
      </c>
      <c r="T18" s="448"/>
      <c r="U18" s="448"/>
      <c r="V18" s="448"/>
      <c r="W18" s="448"/>
      <c r="X18" s="447">
        <f t="shared" si="6"/>
        <v>490</v>
      </c>
      <c r="Y18" s="466">
        <v>0</v>
      </c>
      <c r="Z18" s="533">
        <f>+X20</f>
        <v>0</v>
      </c>
      <c r="AA18" s="447">
        <f t="shared" si="7"/>
        <v>490</v>
      </c>
      <c r="AB18" s="343">
        <f>+AC18+AA18</f>
        <v>903</v>
      </c>
      <c r="AC18" s="343">
        <v>413</v>
      </c>
      <c r="AD18" s="344"/>
      <c r="AE18" s="345"/>
      <c r="AF18" s="346"/>
      <c r="AG18" s="347"/>
      <c r="AH18" s="341"/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3</v>
      </c>
      <c r="C19" s="406">
        <v>3</v>
      </c>
      <c r="D19" s="407" t="s">
        <v>490</v>
      </c>
      <c r="E19" s="111"/>
      <c r="F19" s="111" t="s">
        <v>475</v>
      </c>
      <c r="G19" s="541" t="str">
        <f>+G18</f>
        <v xml:space="preserve">PAULSON  </v>
      </c>
      <c r="H19" s="111"/>
      <c r="I19" s="111" t="s">
        <v>41</v>
      </c>
      <c r="J19" s="113"/>
      <c r="K19" s="130">
        <v>110</v>
      </c>
      <c r="L19" s="101" t="s">
        <v>17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  <c r="U19" s="214">
        <v>0</v>
      </c>
      <c r="V19" s="214"/>
      <c r="W19" s="214"/>
      <c r="X19" s="123">
        <f>+IF(H20="s",0,IF(AA19=0,0,IF(COUNTA(M19:W19)=AK21+0.25,SUMIF($C:$C,B19,$AA:$AA)/AK21,SUMIF($C:$C,B19,$AA:$AA)/(COUNTA(M19:W19)))))</f>
        <v>0</v>
      </c>
      <c r="Y19" s="466"/>
      <c r="Z19" s="534"/>
      <c r="AA19" s="134">
        <f t="shared" si="7"/>
        <v>0</v>
      </c>
      <c r="AB19" s="354">
        <f>+AA19+AC19</f>
        <v>0</v>
      </c>
      <c r="AC19" s="354">
        <v>0</v>
      </c>
      <c r="AD19" s="355">
        <f>+AB18-AB19</f>
        <v>903</v>
      </c>
      <c r="AE19" s="131" t="str">
        <f>+IF(((AA20+(AA21/2))*60)=0,"",(J19*AA19)/((AA20+(AA21/2))*60))</f>
        <v/>
      </c>
      <c r="AF19" s="347"/>
      <c r="AG19" s="347"/>
      <c r="AH19" s="341"/>
      <c r="AI19" s="341"/>
      <c r="AJ19" s="356"/>
      <c r="AK19" s="348"/>
      <c r="AL19" s="349"/>
      <c r="AM19" s="341"/>
      <c r="AN19" s="341"/>
      <c r="AO19" s="341"/>
      <c r="AP19" s="341"/>
      <c r="AQ19" s="339">
        <f>-490+AA18</f>
        <v>0</v>
      </c>
      <c r="AR19" s="434">
        <v>1.47</v>
      </c>
      <c r="AT19" s="390">
        <v>413</v>
      </c>
      <c r="AV19" s="390">
        <f t="shared" ref="AV19" si="12">+AT19-AD19</f>
        <v>-490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541" t="str">
        <f>+G18</f>
        <v xml:space="preserve">PAULSON  </v>
      </c>
      <c r="H20" s="411" t="s">
        <v>414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160">
        <f>+IF(H20="l",IF(COUNTA(M19:W19)=AK21+0.25,AA19-K19*AK21,AA19-(K19*COUNTA(M19:W19))),IF(H20="s",0,IF(COUNTA(M19:W19)=AK21+0.25,SUMIF($C:$C,B19,$AA:$AA)-K19*AK21,SUMIF($C:$C,B19,$AA:$AA)-K19*COUNTA(M19:W19))))</f>
        <v>0</v>
      </c>
      <c r="Y20" s="466"/>
      <c r="Z20" s="534"/>
      <c r="AA20" s="462">
        <f t="shared" si="10"/>
        <v>0</v>
      </c>
      <c r="AB20" s="360"/>
      <c r="AC20" s="360"/>
      <c r="AD20" s="362"/>
      <c r="AE20" s="363"/>
      <c r="AF20" s="346"/>
      <c r="AG20" s="347"/>
      <c r="AH20" s="341"/>
      <c r="AI20" s="341"/>
      <c r="AJ20" s="341"/>
      <c r="AK20" s="348"/>
      <c r="AL20" s="349"/>
      <c r="AM20" s="341"/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542" t="str">
        <f>+G18</f>
        <v xml:space="preserve">PAULSON  </v>
      </c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>
        <v>8.75</v>
      </c>
      <c r="Z21" s="371">
        <f>+IF(COUNTA(M19:W19)=$AJ$4+0.25,$AJ$4-(AA19/K19),COUNTA(M19:W19)-(AA19/K19))+Y21</f>
        <v>17.5</v>
      </c>
      <c r="AA21" s="465">
        <f t="shared" si="10"/>
        <v>0</v>
      </c>
      <c r="AB21" s="367"/>
      <c r="AC21" s="367"/>
      <c r="AD21" s="368">
        <f>+IFERROR(AD19/(K19*$AQ$3),"")</f>
        <v>0.93818181818181823</v>
      </c>
      <c r="AE21" s="369"/>
      <c r="AF21" s="347"/>
      <c r="AG21" s="347"/>
      <c r="AH21" s="341"/>
      <c r="AI21" s="341"/>
      <c r="AJ21" s="356"/>
      <c r="AK21" s="370">
        <f>+$AJ$4</f>
        <v>8.75</v>
      </c>
      <c r="AL21" s="349"/>
      <c r="AM21" s="341"/>
      <c r="AN21" s="341"/>
      <c r="AO21" s="341"/>
      <c r="AP21" s="341"/>
      <c r="AQ21" s="369"/>
      <c r="AR21" s="434"/>
      <c r="AT21" s="390">
        <v>0.47199999999999998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539" t="s">
        <v>424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7" t="str">
        <f t="shared" si="6"/>
        <v/>
      </c>
      <c r="Y22" s="466">
        <v>0</v>
      </c>
      <c r="Z22" s="533">
        <f>+X24</f>
        <v>0</v>
      </c>
      <c r="AA22" s="447">
        <f t="shared" si="7"/>
        <v>0</v>
      </c>
      <c r="AB22" s="343">
        <f>+AC22+AA22</f>
        <v>8799</v>
      </c>
      <c r="AC22" s="343">
        <v>8799</v>
      </c>
      <c r="AD22" s="344"/>
      <c r="AE22" s="345"/>
      <c r="AF22" s="346"/>
      <c r="AG22" s="347">
        <f t="shared" si="2"/>
        <v>0</v>
      </c>
      <c r="AH22" s="341">
        <f t="shared" si="3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4</v>
      </c>
      <c r="C23" s="406">
        <f>+B23</f>
        <v>4</v>
      </c>
      <c r="D23" s="407" t="s">
        <v>423</v>
      </c>
      <c r="E23" s="111"/>
      <c r="F23" s="111" t="s">
        <v>35</v>
      </c>
      <c r="G23" s="539" t="str">
        <f t="shared" ref="G23:G25" si="13">+G22</f>
        <v>2215-518-800</v>
      </c>
      <c r="H23" s="111"/>
      <c r="I23" s="111" t="s">
        <v>33</v>
      </c>
      <c r="J23" s="113">
        <v>33.42</v>
      </c>
      <c r="K23" s="130">
        <v>61</v>
      </c>
      <c r="L23" s="101" t="s">
        <v>17</v>
      </c>
      <c r="M23" s="214"/>
      <c r="N23" s="214"/>
      <c r="O23" s="214"/>
      <c r="P23" s="214"/>
      <c r="Q23" s="214">
        <v>12</v>
      </c>
      <c r="R23" s="214"/>
      <c r="S23" s="214"/>
      <c r="T23" s="214"/>
      <c r="U23" s="214"/>
      <c r="V23" s="214"/>
      <c r="W23" s="214"/>
      <c r="X23" s="123">
        <f>+IF(H24="s",0,IF(AA23=0,0,IF(COUNTA(M23:W23)=AK25+0.25,SUMIF($C:$C,B23,$AA:$AA)/AK25,SUMIF($C:$C,B23,$AA:$AA)/(COUNTA(M23:W23)))))</f>
        <v>0</v>
      </c>
      <c r="Y23" s="466"/>
      <c r="Z23" s="534"/>
      <c r="AA23" s="134">
        <f t="shared" si="7"/>
        <v>12</v>
      </c>
      <c r="AB23" s="354">
        <f>+AA23+AC23</f>
        <v>8783</v>
      </c>
      <c r="AC23" s="354">
        <v>8771</v>
      </c>
      <c r="AD23" s="355">
        <f>+AB22-AB23</f>
        <v>16</v>
      </c>
      <c r="AE23" s="131">
        <f>+IF(((AA24+(AA25/2))*60)=0,"",(J23*AA23)/((AA24+(AA25/2))*60))</f>
        <v>6.6840000000000002</v>
      </c>
      <c r="AF23" s="347">
        <f>+AA24+AA25/2</f>
        <v>1</v>
      </c>
      <c r="AG23" s="347">
        <f t="shared" si="2"/>
        <v>1</v>
      </c>
      <c r="AH23" s="341">
        <f t="shared" si="3"/>
        <v>60</v>
      </c>
      <c r="AI23" s="341">
        <f>+AA23*J23</f>
        <v>401.04</v>
      </c>
      <c r="AJ23" s="356">
        <f>+AA23-(AF23*K23/K25)</f>
        <v>10.394736842105264</v>
      </c>
      <c r="AK23" s="348"/>
      <c r="AL23" s="349"/>
      <c r="AM23" s="341"/>
      <c r="AN23" s="341"/>
      <c r="AO23" s="341"/>
      <c r="AP23" s="341"/>
      <c r="AQ23" s="339" t="str">
        <f t="shared" si="9"/>
        <v/>
      </c>
      <c r="AR23" s="434"/>
      <c r="AT23" s="390">
        <v>28</v>
      </c>
      <c r="AV23" s="390">
        <f t="shared" ref="AV23" si="14">+AT23-AD23</f>
        <v>12</v>
      </c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539" t="str">
        <f t="shared" si="13"/>
        <v>2215-518-800</v>
      </c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>
        <v>0</v>
      </c>
      <c r="K24" s="114" t="s">
        <v>22</v>
      </c>
      <c r="L24" s="102" t="s">
        <v>18</v>
      </c>
      <c r="M24" s="448"/>
      <c r="N24" s="448"/>
      <c r="O24" s="448"/>
      <c r="P24" s="448"/>
      <c r="Q24" s="448">
        <v>1</v>
      </c>
      <c r="R24" s="448"/>
      <c r="S24" s="448"/>
      <c r="T24" s="448"/>
      <c r="U24" s="448"/>
      <c r="V24" s="448"/>
      <c r="W24" s="448"/>
      <c r="X24" s="160">
        <f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si="10"/>
        <v>1</v>
      </c>
      <c r="AB24" s="360"/>
      <c r="AC24" s="360"/>
      <c r="AD24" s="362"/>
      <c r="AE24" s="363"/>
      <c r="AF24" s="346"/>
      <c r="AG24" s="347">
        <f t="shared" si="2"/>
        <v>0</v>
      </c>
      <c r="AH24" s="341">
        <f t="shared" si="3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1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539" t="str">
        <f t="shared" si="13"/>
        <v>2215-518-800</v>
      </c>
      <c r="H25" s="117"/>
      <c r="I25" s="442"/>
      <c r="J25" s="165">
        <f>+IF(K25="","",IF(K23=0,"",(K23*J23)/(K25*60)))</f>
        <v>0.8941315789473685</v>
      </c>
      <c r="K25" s="118">
        <v>38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24.63</v>
      </c>
      <c r="Z25" s="365">
        <v>24.63</v>
      </c>
      <c r="AA25" s="465">
        <f t="shared" si="10"/>
        <v>0</v>
      </c>
      <c r="AB25" s="367"/>
      <c r="AC25" s="367"/>
      <c r="AD25" s="368">
        <f>+IFERROR(AD23/(K23*$AQ$3),"")</f>
        <v>2.9976580796252927E-2</v>
      </c>
      <c r="AE25" s="369"/>
      <c r="AF25" s="347"/>
      <c r="AG25" s="347">
        <f t="shared" si="2"/>
        <v>0</v>
      </c>
      <c r="AH25" s="341">
        <f t="shared" si="3"/>
        <v>0</v>
      </c>
      <c r="AI25" s="341"/>
      <c r="AJ25" s="356"/>
      <c r="AK25" s="370">
        <f>+$AJ$4</f>
        <v>8.75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5.2459016393442623E-2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40" t="s">
        <v>442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>
        <v>120</v>
      </c>
      <c r="O26" s="448">
        <v>120</v>
      </c>
      <c r="P26" s="448"/>
      <c r="Q26" s="448">
        <v>60</v>
      </c>
      <c r="R26" s="448">
        <v>60</v>
      </c>
      <c r="S26" s="448">
        <v>60</v>
      </c>
      <c r="T26" s="448">
        <v>60</v>
      </c>
      <c r="U26" s="448">
        <v>60</v>
      </c>
      <c r="V26" s="448"/>
      <c r="W26" s="448"/>
      <c r="X26" s="447">
        <f t="shared" si="6"/>
        <v>540</v>
      </c>
      <c r="Y26" s="466">
        <v>0.25</v>
      </c>
      <c r="Z26" s="533">
        <f>+X28</f>
        <v>-83.75</v>
      </c>
      <c r="AA26" s="447">
        <f t="shared" si="7"/>
        <v>540</v>
      </c>
      <c r="AB26" s="343">
        <f>+AC26+AA26</f>
        <v>3841</v>
      </c>
      <c r="AC26" s="343">
        <v>3301</v>
      </c>
      <c r="AD26" s="344"/>
      <c r="AE26" s="345"/>
      <c r="AF26" s="346"/>
      <c r="AG26" s="347">
        <f t="shared" si="2"/>
        <v>0</v>
      </c>
      <c r="AH26" s="341">
        <f t="shared" si="3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441</v>
      </c>
      <c r="E27" s="111"/>
      <c r="F27" s="111" t="s">
        <v>35</v>
      </c>
      <c r="G27" s="541" t="str">
        <f t="shared" ref="G27:G29" si="15">+G26</f>
        <v>2259-600-730</v>
      </c>
      <c r="H27" s="111"/>
      <c r="I27" s="111" t="s">
        <v>33</v>
      </c>
      <c r="J27" s="113">
        <v>34.450000000000003</v>
      </c>
      <c r="K27" s="130">
        <v>61</v>
      </c>
      <c r="L27" s="101" t="s">
        <v>17</v>
      </c>
      <c r="M27" s="214">
        <v>35</v>
      </c>
      <c r="N27" s="214">
        <v>32</v>
      </c>
      <c r="O27" s="214">
        <v>61</v>
      </c>
      <c r="P27" s="214">
        <v>46</v>
      </c>
      <c r="Q27" s="214">
        <v>68</v>
      </c>
      <c r="R27" s="214">
        <v>61</v>
      </c>
      <c r="S27" s="214">
        <v>62</v>
      </c>
      <c r="T27" s="214">
        <v>46</v>
      </c>
      <c r="U27" s="214">
        <v>39</v>
      </c>
      <c r="V27" s="214"/>
      <c r="W27" s="214"/>
      <c r="X27" s="123">
        <f>+IF(H28="s",0,IF(AA27=0,0,IF(COUNTA(M27:W27)=AK29+0.25,SUMIF($C:$C,B27,$AA:$AA)/AK29,SUMIF($C:$C,B27,$AA:$AA)/(COUNTA(M27:W27)))))</f>
        <v>52.8</v>
      </c>
      <c r="Y27" s="466"/>
      <c r="Z27" s="534"/>
      <c r="AA27" s="134">
        <f t="shared" si="7"/>
        <v>450</v>
      </c>
      <c r="AB27" s="354">
        <f>+AA27+AC27</f>
        <v>2958</v>
      </c>
      <c r="AC27" s="354">
        <v>2508</v>
      </c>
      <c r="AD27" s="355">
        <f>+AB26-AB27</f>
        <v>883</v>
      </c>
      <c r="AE27" s="131">
        <f>+IF(((AA28+(AA29/2))*60)=0,"",(J27*AA27)/((AA28+(AA29/2))*60))</f>
        <v>0.75936811168258644</v>
      </c>
      <c r="AF27" s="347">
        <f>+AA28+AA29/2</f>
        <v>340.25</v>
      </c>
      <c r="AG27" s="347">
        <f t="shared" si="2"/>
        <v>340.15</v>
      </c>
      <c r="AH27" s="341">
        <f t="shared" si="3"/>
        <v>20415</v>
      </c>
      <c r="AI27" s="341">
        <f>+AA27*J27</f>
        <v>15502.500000000002</v>
      </c>
      <c r="AJ27" s="356">
        <f>+AA27-(AF27*K27/K29)</f>
        <v>-96.190789473684163</v>
      </c>
      <c r="AK27" s="348"/>
      <c r="AL27" s="349"/>
      <c r="AM27" s="341"/>
      <c r="AN27" s="341"/>
      <c r="AO27" s="341"/>
      <c r="AP27" s="341"/>
      <c r="AQ27" s="339">
        <f t="shared" si="9"/>
        <v>1.2937499999998181</v>
      </c>
      <c r="AR27" s="434">
        <v>1.4950000000000001</v>
      </c>
      <c r="AT27" s="390">
        <v>793</v>
      </c>
      <c r="AV27" s="390">
        <f t="shared" ref="AV27" si="16">+AT27-AD27</f>
        <v>-90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41" t="str">
        <f t="shared" si="15"/>
        <v>2259-600-730</v>
      </c>
      <c r="H28" s="411" t="s">
        <v>412</v>
      </c>
      <c r="I28" s="113">
        <f>+IFERROR(IF(K29=0,0,IF((LOOKUP(2,1/(M28:W28&lt;&gt;""),M28:W28)-K29)&lt;0,0,IF(K29=0,"",LOOKUP(2,1/(M28:W28&lt;&gt;""),M28:W28)-K29))),0)</f>
        <v>1</v>
      </c>
      <c r="J28" s="113">
        <v>2</v>
      </c>
      <c r="K28" s="114" t="s">
        <v>22</v>
      </c>
      <c r="L28" s="102" t="s">
        <v>18</v>
      </c>
      <c r="M28" s="448">
        <v>39</v>
      </c>
      <c r="N28" s="448">
        <v>39</v>
      </c>
      <c r="O28" s="448">
        <v>39</v>
      </c>
      <c r="P28" s="448">
        <v>39</v>
      </c>
      <c r="Q28" s="448">
        <v>38</v>
      </c>
      <c r="R28" s="448">
        <v>39</v>
      </c>
      <c r="S28" s="448">
        <v>39</v>
      </c>
      <c r="T28" s="448">
        <v>39</v>
      </c>
      <c r="U28" s="448">
        <v>39</v>
      </c>
      <c r="V28" s="448"/>
      <c r="W28" s="448"/>
      <c r="X28" s="160">
        <f>+IF(H28="l",IF(COUNTA(M27:W27)=AK29+0.25,AA27-K27*AK29,AA27-(K27*COUNTA(M27:W27))),IF(H28="s",0,IF(COUNTA(M27:W27)=AK29+0.25,SUMIF($C:$C,B27,$AA:$AA)-K27*AK29,SUMIF($C:$C,B27,$AA:$AA)-K27*COUNTA(M27:W27))))</f>
        <v>-83.75</v>
      </c>
      <c r="Y28" s="466"/>
      <c r="Z28" s="534"/>
      <c r="AA28" s="462">
        <f t="shared" si="10"/>
        <v>340.25</v>
      </c>
      <c r="AB28" s="360"/>
      <c r="AC28" s="360"/>
      <c r="AD28" s="362"/>
      <c r="AE28" s="363"/>
      <c r="AF28" s="346"/>
      <c r="AG28" s="347">
        <f t="shared" si="2"/>
        <v>0</v>
      </c>
      <c r="AH28" s="341">
        <f t="shared" si="3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340.25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42" t="str">
        <f t="shared" si="15"/>
        <v>2259-600-730</v>
      </c>
      <c r="H29" s="117"/>
      <c r="I29" s="442"/>
      <c r="J29" s="165">
        <f>+IF(K29="","",IF(K27=0,"",(K27*J27)/(K29*60)))</f>
        <v>0.92168859649122814</v>
      </c>
      <c r="K29" s="118">
        <v>38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18.90949978982766</v>
      </c>
      <c r="Z29" s="467">
        <v>18.90949978982766</v>
      </c>
      <c r="AA29" s="465">
        <f t="shared" si="10"/>
        <v>0</v>
      </c>
      <c r="AB29" s="367"/>
      <c r="AC29" s="367"/>
      <c r="AD29" s="368">
        <f>+IFERROR(AD27/(K27*$AQ$3),"")</f>
        <v>1.6543325526932084</v>
      </c>
      <c r="AE29" s="369"/>
      <c r="AF29" s="347"/>
      <c r="AG29" s="347">
        <f t="shared" si="2"/>
        <v>0</v>
      </c>
      <c r="AH29" s="341">
        <f t="shared" si="3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1.4857142857142858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539" t="s">
        <v>434</v>
      </c>
      <c r="H30" s="106"/>
      <c r="I30" s="111"/>
      <c r="J30" s="107" t="s">
        <v>20</v>
      </c>
      <c r="K30" s="108" t="s">
        <v>23</v>
      </c>
      <c r="L30" s="100" t="s">
        <v>21</v>
      </c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7" t="str">
        <f t="shared" si="6"/>
        <v/>
      </c>
      <c r="Y30" s="466">
        <v>-215.25</v>
      </c>
      <c r="Z30" s="533">
        <f>+X32</f>
        <v>-109</v>
      </c>
      <c r="AA30" s="447">
        <f t="shared" si="7"/>
        <v>0</v>
      </c>
      <c r="AB30" s="343">
        <f>+AC30+AA30</f>
        <v>4060</v>
      </c>
      <c r="AC30" s="343">
        <v>4060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539" t="str">
        <f t="shared" ref="G31:G33" si="17">+G30</f>
        <v>ATENAS-203645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>
        <v>33</v>
      </c>
      <c r="N31" s="214">
        <v>0</v>
      </c>
      <c r="O31" s="214">
        <v>0</v>
      </c>
      <c r="P31" s="214">
        <v>32</v>
      </c>
      <c r="Q31" s="214">
        <v>39</v>
      </c>
      <c r="R31" s="214">
        <v>9</v>
      </c>
      <c r="S31" s="214">
        <v>15</v>
      </c>
      <c r="T31" s="214">
        <v>44</v>
      </c>
      <c r="U31" s="214"/>
      <c r="V31" s="214"/>
      <c r="W31" s="214"/>
      <c r="X31" s="123">
        <f>+IF(H32="s",0,IF(AA31=0,0,IF(COUNTA(M31:W31)=AK33+0.25,SUMIF($C:$C,B31,$AA:$AA)/AK33,SUMIF($C:$C,B31,$AA:$AA)/(COUNTA(M31:W31)))))</f>
        <v>33.375</v>
      </c>
      <c r="Y31" s="466"/>
      <c r="Z31" s="534"/>
      <c r="AA31" s="134">
        <f t="shared" si="7"/>
        <v>172</v>
      </c>
      <c r="AB31" s="354">
        <f>+AA31+AC31</f>
        <v>4036</v>
      </c>
      <c r="AC31" s="354">
        <v>3864</v>
      </c>
      <c r="AD31" s="355">
        <f>+AB30-AB31</f>
        <v>24</v>
      </c>
      <c r="AE31" s="131">
        <f>+IF(((AA32+(AA33/2))*60)=0,"",(J31*AA31)/((AA32+(AA33/2))*60))</f>
        <v>2.7322916666666668</v>
      </c>
      <c r="AF31" s="347">
        <f>+AA32+AA33/2</f>
        <v>64</v>
      </c>
      <c r="AG31" s="347">
        <f t="shared" si="2"/>
        <v>64</v>
      </c>
      <c r="AH31" s="341">
        <f t="shared" si="3"/>
        <v>3840</v>
      </c>
      <c r="AI31" s="341">
        <f>+AA31*J31</f>
        <v>10492</v>
      </c>
      <c r="AJ31" s="356">
        <f>+AA31-(AF31*K31/K33)</f>
        <v>118.28571428571428</v>
      </c>
      <c r="AK31" s="348"/>
      <c r="AL31" s="349"/>
      <c r="AM31" s="341"/>
      <c r="AN31" s="341"/>
      <c r="AO31" s="341"/>
      <c r="AP31" s="341"/>
      <c r="AQ31" s="339" t="str">
        <f t="shared" si="9"/>
        <v/>
      </c>
      <c r="AR31" s="434"/>
      <c r="AT31" s="390">
        <v>196</v>
      </c>
      <c r="AV31" s="390">
        <f t="shared" ref="AV31" si="18">+AT31-AD31</f>
        <v>172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539" t="str">
        <f t="shared" si="17"/>
        <v>ATENAS-203645</v>
      </c>
      <c r="H32" s="411"/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448">
        <v>8</v>
      </c>
      <c r="N32" s="448">
        <v>8</v>
      </c>
      <c r="O32" s="448">
        <v>8</v>
      </c>
      <c r="P32" s="448">
        <v>8</v>
      </c>
      <c r="Q32" s="448">
        <v>8</v>
      </c>
      <c r="R32" s="448">
        <v>8</v>
      </c>
      <c r="S32" s="448">
        <v>8</v>
      </c>
      <c r="T32" s="448">
        <v>8</v>
      </c>
      <c r="U32" s="448"/>
      <c r="V32" s="448"/>
      <c r="W32" s="448"/>
      <c r="X32" s="160">
        <f>+IF(H32="l",IF(COUNTA(M31:W31)=AK33+0.25,AA31-K31*AK33,AA31-(K31*COUNTA(M31:W31))),IF(H32="s",0,IF(COUNTA(M31:W31)=AK33+0.25,SUMIF($C:$C,B31,$AA:$AA)-K31*AK33,SUMIF($C:$C,B31,$AA:$AA)-K31*COUNTA(M31:W31))))</f>
        <v>-109</v>
      </c>
      <c r="Y32" s="466"/>
      <c r="Z32" s="534"/>
      <c r="AA32" s="462">
        <f t="shared" si="10"/>
        <v>64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64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539" t="str">
        <f t="shared" si="17"/>
        <v>ATENAS-203645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65.181914893617019</v>
      </c>
      <c r="Z33" s="371">
        <f>+IF(COUNTA(M31:W31)=$AJ$4+0.25,$AJ$4-(AA31/K31),COUNTA(M31:W31)-(AA31/K31))+Y33</f>
        <v>69.522340425531908</v>
      </c>
      <c r="AA33" s="465">
        <f t="shared" si="10"/>
        <v>0</v>
      </c>
      <c r="AB33" s="367"/>
      <c r="AC33" s="367"/>
      <c r="AD33" s="368">
        <f>+IFERROR(AD31/(K31*$AQ$3),"")</f>
        <v>5.835866261398176E-2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0.47659574468085109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40" t="s">
        <v>481</v>
      </c>
      <c r="H34" s="106"/>
      <c r="I34" s="111"/>
      <c r="J34" s="107" t="s">
        <v>20</v>
      </c>
      <c r="K34" s="108" t="s">
        <v>23</v>
      </c>
      <c r="L34" s="100" t="s">
        <v>21</v>
      </c>
      <c r="M34" s="448">
        <v>120</v>
      </c>
      <c r="N34" s="448">
        <v>120</v>
      </c>
      <c r="O34" s="448">
        <v>120</v>
      </c>
      <c r="P34" s="448"/>
      <c r="Q34" s="448"/>
      <c r="R34" s="448"/>
      <c r="S34" s="448"/>
      <c r="T34" s="448"/>
      <c r="U34" s="448"/>
      <c r="V34" s="448"/>
      <c r="W34" s="448"/>
      <c r="X34" s="447">
        <f t="shared" si="6"/>
        <v>360</v>
      </c>
      <c r="Y34" s="466">
        <v>-525</v>
      </c>
      <c r="Z34" s="533">
        <f>+X36</f>
        <v>-430</v>
      </c>
      <c r="AA34" s="447">
        <f t="shared" si="7"/>
        <v>360</v>
      </c>
      <c r="AB34" s="343">
        <f>+AC34+AA34</f>
        <v>1380</v>
      </c>
      <c r="AC34" s="343">
        <v>1020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480</v>
      </c>
      <c r="E35" s="111"/>
      <c r="F35" s="111" t="s">
        <v>35</v>
      </c>
      <c r="G35" s="541" t="str">
        <f t="shared" ref="G35:G37" si="19">+G34</f>
        <v>2396-593-600</v>
      </c>
      <c r="H35" s="111"/>
      <c r="I35" s="111" t="s">
        <v>33</v>
      </c>
      <c r="J35" s="113">
        <v>39.72</v>
      </c>
      <c r="K35" s="130">
        <v>60</v>
      </c>
      <c r="L35" s="101" t="s">
        <v>17</v>
      </c>
      <c r="M35" s="214">
        <v>0</v>
      </c>
      <c r="N35" s="214">
        <v>0</v>
      </c>
      <c r="O35" s="214">
        <v>0</v>
      </c>
      <c r="P35" s="214">
        <v>0</v>
      </c>
      <c r="Q35" s="214">
        <v>0</v>
      </c>
      <c r="R35" s="214">
        <v>0</v>
      </c>
      <c r="S35" s="214">
        <v>30</v>
      </c>
      <c r="T35" s="214">
        <v>40</v>
      </c>
      <c r="U35" s="214">
        <v>25</v>
      </c>
      <c r="V35" s="214"/>
      <c r="W35" s="214"/>
      <c r="X35" s="123">
        <f>+IF(H36="s",0,IF(AA35=0,0,IF(COUNTA(M35:W35)=AK37+0.25,SUMIF($C:$C,B35,$AA:$AA)/AK37,SUMIF($C:$C,B35,$AA:$AA)/(COUNTA(M35:W35)))))</f>
        <v>30.514285714285716</v>
      </c>
      <c r="Y35" s="466"/>
      <c r="Z35" s="534"/>
      <c r="AA35" s="134">
        <f t="shared" si="7"/>
        <v>95</v>
      </c>
      <c r="AB35" s="354">
        <f>+AA35+AC35</f>
        <v>95</v>
      </c>
      <c r="AC35" s="354">
        <v>0</v>
      </c>
      <c r="AD35" s="355">
        <f>+AB34-AB35</f>
        <v>1285</v>
      </c>
      <c r="AE35" s="131">
        <f>+IF(((AA36+(AA37/2))*60)=0,"",(J35*AA35)/((AA36+(AA37/2))*60))</f>
        <v>0.15972063492063493</v>
      </c>
      <c r="AF35" s="347">
        <f>+AA36+AA37/2</f>
        <v>393.75</v>
      </c>
      <c r="AG35" s="347">
        <f t="shared" si="2"/>
        <v>393.45</v>
      </c>
      <c r="AH35" s="341">
        <f t="shared" si="3"/>
        <v>23625</v>
      </c>
      <c r="AI35" s="341">
        <f>+AA35*J35</f>
        <v>3773.4</v>
      </c>
      <c r="AJ35" s="356">
        <f>+AA35-(AF35*K35/K37)</f>
        <v>-430</v>
      </c>
      <c r="AK35" s="348"/>
      <c r="AL35" s="349"/>
      <c r="AM35" s="341"/>
      <c r="AN35" s="341"/>
      <c r="AO35" s="341"/>
      <c r="AP35" s="341"/>
      <c r="AQ35" s="339">
        <f t="shared" si="9"/>
        <v>67.5</v>
      </c>
      <c r="AR35" s="434">
        <v>1.5</v>
      </c>
      <c r="AT35" s="390">
        <v>1020</v>
      </c>
      <c r="AV35" s="390">
        <f t="shared" ref="AV35" si="20">+AT35-AD35</f>
        <v>-265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41" t="str">
        <f t="shared" si="19"/>
        <v>2396-593-600</v>
      </c>
      <c r="H36" s="411" t="s">
        <v>412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448">
        <v>45</v>
      </c>
      <c r="N36" s="448">
        <v>45</v>
      </c>
      <c r="O36" s="448">
        <v>45</v>
      </c>
      <c r="P36" s="448">
        <v>45</v>
      </c>
      <c r="Q36" s="448">
        <v>45</v>
      </c>
      <c r="R36" s="448">
        <v>45</v>
      </c>
      <c r="S36" s="448">
        <v>45</v>
      </c>
      <c r="T36" s="448">
        <v>45</v>
      </c>
      <c r="U36" s="448">
        <v>45</v>
      </c>
      <c r="V36" s="448"/>
      <c r="W36" s="448"/>
      <c r="X36" s="160">
        <f>+IF(H36="l",IF(COUNTA(M35:W35)=AK37+0.25,AA35-K35*AK37,AA35-(K35*COUNTA(M35:W35))),IF(H36="s",0,IF(COUNTA(M35:W35)=AK37+0.25,SUMIF($C:$C,B35,$AA:$AA)-K35*AK37,SUMIF($C:$C,B35,$AA:$AA)-K35*COUNTA(M35:W35))))</f>
        <v>-430</v>
      </c>
      <c r="Y36" s="466"/>
      <c r="Z36" s="534"/>
      <c r="AA36" s="462">
        <f t="shared" si="10"/>
        <v>393.75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393.75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42" t="str">
        <f t="shared" si="19"/>
        <v>2396-593-600</v>
      </c>
      <c r="H37" s="117"/>
      <c r="I37" s="442"/>
      <c r="J37" s="165">
        <f>+IF(K37="","",IF(K35=0,"",(K35*J35)/(K37*60)))</f>
        <v>0.8826666666666666</v>
      </c>
      <c r="K37" s="118">
        <v>45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0.40960000000000002</v>
      </c>
      <c r="Z37" s="371">
        <f>+IF(COUNTA(M35:W35)=$AJ$4+0.25,$AJ$4-(AA35/K35),COUNTA(M35:W35)-(AA35/K35))+Y37</f>
        <v>7.5762666666666671</v>
      </c>
      <c r="AA37" s="465">
        <f t="shared" si="10"/>
        <v>0</v>
      </c>
      <c r="AB37" s="367"/>
      <c r="AC37" s="367"/>
      <c r="AD37" s="368">
        <f>+IFERROR(AD35/(K35*$AQ$3),"")</f>
        <v>2.4476190476190478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1.9428571428571428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540" t="s">
        <v>442</v>
      </c>
      <c r="H38" s="106"/>
      <c r="I38" s="111"/>
      <c r="J38" s="107" t="s">
        <v>20</v>
      </c>
      <c r="K38" s="108">
        <v>0</v>
      </c>
      <c r="L38" s="100" t="s">
        <v>21</v>
      </c>
      <c r="M38" s="448">
        <v>60</v>
      </c>
      <c r="N38" s="448">
        <v>60</v>
      </c>
      <c r="O38" s="448">
        <v>60</v>
      </c>
      <c r="P38" s="448">
        <v>60</v>
      </c>
      <c r="Q38" s="448">
        <v>60</v>
      </c>
      <c r="R38" s="448">
        <v>120</v>
      </c>
      <c r="S38" s="448">
        <v>60</v>
      </c>
      <c r="T38" s="448">
        <v>60</v>
      </c>
      <c r="U38" s="448">
        <v>60</v>
      </c>
      <c r="V38" s="448"/>
      <c r="W38" s="448"/>
      <c r="X38" s="447">
        <f t="shared" si="6"/>
        <v>600</v>
      </c>
      <c r="Y38" s="466">
        <v>-42.75</v>
      </c>
      <c r="Z38" s="533">
        <f>+X40</f>
        <v>0.25</v>
      </c>
      <c r="AA38" s="447">
        <f t="shared" si="7"/>
        <v>600</v>
      </c>
      <c r="AB38" s="343">
        <f>+AC38+AA38</f>
        <v>3060</v>
      </c>
      <c r="AC38" s="343">
        <v>2460</v>
      </c>
      <c r="AD38" s="344"/>
      <c r="AE38" s="345"/>
      <c r="AF38" s="346"/>
      <c r="AG38" s="347">
        <f t="shared" si="2"/>
        <v>0</v>
      </c>
      <c r="AH38" s="341">
        <f t="shared" si="3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441</v>
      </c>
      <c r="E39" s="111"/>
      <c r="F39" s="111" t="s">
        <v>35</v>
      </c>
      <c r="G39" s="541" t="str">
        <f t="shared" ref="G39:G41" si="21">+G38</f>
        <v>2259-600-730</v>
      </c>
      <c r="H39" s="111"/>
      <c r="I39" s="111" t="s">
        <v>33</v>
      </c>
      <c r="J39" s="113">
        <v>34.450000000000003</v>
      </c>
      <c r="K39" s="130">
        <v>61</v>
      </c>
      <c r="L39" s="101" t="s">
        <v>17</v>
      </c>
      <c r="M39" s="214">
        <v>50</v>
      </c>
      <c r="N39" s="214">
        <v>61</v>
      </c>
      <c r="O39" s="214">
        <v>61</v>
      </c>
      <c r="P39" s="214">
        <v>61</v>
      </c>
      <c r="Q39" s="214">
        <v>61</v>
      </c>
      <c r="R39" s="214">
        <v>61</v>
      </c>
      <c r="S39" s="214">
        <v>61</v>
      </c>
      <c r="T39" s="214">
        <v>61</v>
      </c>
      <c r="U39" s="214">
        <v>57</v>
      </c>
      <c r="V39" s="214"/>
      <c r="W39" s="214"/>
      <c r="X39" s="123">
        <f>+IF(H40="s",0,IF(AA39=0,0,IF(COUNTA(M39:W39)=AK41+0.25,SUMIF($C:$C,B39,$AA:$AA)/AK41,SUMIF($C:$C,B39,$AA:$AA)/(COUNTA(M39:W39)))))</f>
        <v>61.028571428571432</v>
      </c>
      <c r="Y39" s="466"/>
      <c r="Z39" s="534"/>
      <c r="AA39" s="134">
        <f t="shared" si="7"/>
        <v>534</v>
      </c>
      <c r="AB39" s="354">
        <f>+AA39+AC39</f>
        <v>2262</v>
      </c>
      <c r="AC39" s="354">
        <v>1728</v>
      </c>
      <c r="AD39" s="355">
        <f>+AB38-AB39</f>
        <v>798</v>
      </c>
      <c r="AE39" s="131">
        <f>+IF(((AA40+(AA41/2))*60)=0,"",(J39*AA39)/((AA40+(AA41/2))*60))</f>
        <v>0.88838826512133295</v>
      </c>
      <c r="AF39" s="347">
        <f>+AA40+AA41/2</f>
        <v>345.125</v>
      </c>
      <c r="AG39" s="347">
        <f t="shared" si="2"/>
        <v>345.07499999999999</v>
      </c>
      <c r="AH39" s="341">
        <f t="shared" si="3"/>
        <v>20707.5</v>
      </c>
      <c r="AI39" s="341">
        <f>+AA39*J39</f>
        <v>18396.300000000003</v>
      </c>
      <c r="AJ39" s="356">
        <f>+AA39-(AF39*K39/K41)</f>
        <v>-20.016447368421041</v>
      </c>
      <c r="AK39" s="348"/>
      <c r="AL39" s="349"/>
      <c r="AM39" s="341"/>
      <c r="AN39" s="341"/>
      <c r="AO39" s="341"/>
      <c r="AP39" s="341"/>
      <c r="AQ39" s="339">
        <f t="shared" si="9"/>
        <v>0.2937499999998181</v>
      </c>
      <c r="AR39" s="434">
        <v>1.4950000000000001</v>
      </c>
      <c r="AT39" s="390">
        <v>732</v>
      </c>
      <c r="AV39" s="390">
        <f t="shared" ref="AV39" si="22">+AT39-AD39</f>
        <v>-66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541" t="str">
        <f t="shared" si="21"/>
        <v>2259-600-730</v>
      </c>
      <c r="H40" s="411" t="s">
        <v>413</v>
      </c>
      <c r="I40" s="113">
        <f>+IFERROR(IF(K41=0,0,IF((LOOKUP(2,1/(M40:W40&lt;&gt;""),M40:W40)-K41)&lt;0,0,IF(K41=0,"",LOOKUP(2,1/(M40:W40&lt;&gt;""),M40:W40)-K41))),0)</f>
        <v>1</v>
      </c>
      <c r="J40" s="113">
        <v>0</v>
      </c>
      <c r="K40" s="114" t="s">
        <v>22</v>
      </c>
      <c r="L40" s="102" t="s">
        <v>18</v>
      </c>
      <c r="M40" s="448">
        <v>39</v>
      </c>
      <c r="N40" s="448">
        <v>39</v>
      </c>
      <c r="O40" s="448">
        <v>39</v>
      </c>
      <c r="P40" s="448">
        <v>39</v>
      </c>
      <c r="Q40" s="448">
        <v>39</v>
      </c>
      <c r="R40" s="448">
        <v>39</v>
      </c>
      <c r="S40" s="448">
        <v>39</v>
      </c>
      <c r="T40" s="448">
        <v>39</v>
      </c>
      <c r="U40" s="448">
        <v>39</v>
      </c>
      <c r="V40" s="448"/>
      <c r="W40" s="448"/>
      <c r="X40" s="160">
        <f>+IF(H40="l",IF(COUNTA(M39:W39)=AK41+0.25,AA39-K39*AK41,AA39-(K39*COUNTA(M39:W39))),IF(H40="s",0,IF(COUNTA(M39:W39)=AK41+0.25,SUMIF($C:$C,B39,$AA:$AA)-K39*AK41,SUMIF($C:$C,B39,$AA:$AA)-K39*COUNTA(M39:W39))))</f>
        <v>0.25</v>
      </c>
      <c r="Y40" s="466"/>
      <c r="Z40" s="534"/>
      <c r="AA40" s="462">
        <f t="shared" si="10"/>
        <v>341.25</v>
      </c>
      <c r="AB40" s="360"/>
      <c r="AC40" s="360"/>
      <c r="AD40" s="362"/>
      <c r="AE40" s="363"/>
      <c r="AF40" s="346"/>
      <c r="AG40" s="347">
        <f t="shared" si="2"/>
        <v>0</v>
      </c>
      <c r="AH40" s="341">
        <f t="shared" si="3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341.25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542" t="str">
        <f t="shared" si="21"/>
        <v>2259-600-730</v>
      </c>
      <c r="H41" s="117"/>
      <c r="I41" s="442"/>
      <c r="J41" s="165">
        <f>+IF(K41="","",IF(K39=0,"",(K39*J39)/(K41*60)))</f>
        <v>0.92168859649122814</v>
      </c>
      <c r="K41" s="118">
        <v>38</v>
      </c>
      <c r="L41" s="104" t="s">
        <v>19</v>
      </c>
      <c r="M41" s="216"/>
      <c r="N41" s="216">
        <v>1</v>
      </c>
      <c r="O41" s="216">
        <v>1</v>
      </c>
      <c r="P41" s="216">
        <v>1</v>
      </c>
      <c r="Q41" s="216">
        <v>1</v>
      </c>
      <c r="R41" s="216">
        <v>1</v>
      </c>
      <c r="S41" s="216">
        <v>1</v>
      </c>
      <c r="T41" s="216">
        <v>1</v>
      </c>
      <c r="U41" s="216">
        <v>1</v>
      </c>
      <c r="V41" s="216"/>
      <c r="W41" s="216"/>
      <c r="X41" s="173"/>
      <c r="Y41" s="467">
        <v>14.213333333333335</v>
      </c>
      <c r="Z41" s="365">
        <v>14.213333333333335</v>
      </c>
      <c r="AA41" s="465">
        <f t="shared" si="10"/>
        <v>7.75</v>
      </c>
      <c r="AB41" s="367"/>
      <c r="AC41" s="367"/>
      <c r="AD41" s="368">
        <f>+IFERROR(AD39/(K39*$AQ$3),"")</f>
        <v>1.4950819672131148</v>
      </c>
      <c r="AE41" s="369"/>
      <c r="AF41" s="347"/>
      <c r="AG41" s="347">
        <f t="shared" si="2"/>
        <v>0</v>
      </c>
      <c r="AH41" s="341">
        <f t="shared" si="3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7.75</v>
      </c>
      <c r="AM41" s="341">
        <f>+AL41-AA41</f>
        <v>0</v>
      </c>
      <c r="AN41" s="341"/>
      <c r="AO41" s="341"/>
      <c r="AP41" s="341"/>
      <c r="AQ41" s="369"/>
      <c r="AR41" s="434"/>
      <c r="AT41" s="390">
        <v>1.3714285714285714</v>
      </c>
      <c r="AV41" s="390"/>
    </row>
    <row r="42" spans="2:58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540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48">
        <v>60</v>
      </c>
      <c r="N42" s="448">
        <v>60</v>
      </c>
      <c r="O42" s="448">
        <v>60</v>
      </c>
      <c r="P42" s="448">
        <v>60</v>
      </c>
      <c r="Q42" s="448">
        <v>60</v>
      </c>
      <c r="R42" s="448">
        <v>60</v>
      </c>
      <c r="S42" s="448">
        <v>60</v>
      </c>
      <c r="T42" s="448">
        <v>120</v>
      </c>
      <c r="U42" s="473"/>
      <c r="V42" s="448"/>
      <c r="W42" s="448"/>
      <c r="X42" s="447">
        <f t="shared" si="6"/>
        <v>540</v>
      </c>
      <c r="Y42" s="466">
        <v>-40.75</v>
      </c>
      <c r="Z42" s="533">
        <f>+X44</f>
        <v>0.25</v>
      </c>
      <c r="AA42" s="447">
        <f t="shared" si="7"/>
        <v>540</v>
      </c>
      <c r="AB42" s="343">
        <f>+AC42+AA42</f>
        <v>2340</v>
      </c>
      <c r="AC42" s="343">
        <v>1800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7</v>
      </c>
      <c r="C43" s="406">
        <f>+B43</f>
        <v>7</v>
      </c>
      <c r="D43" s="407" t="s">
        <v>441</v>
      </c>
      <c r="E43" s="111"/>
      <c r="F43" s="111" t="s">
        <v>35</v>
      </c>
      <c r="G43" s="541" t="str">
        <f t="shared" ref="G43:G45" si="23">+G42</f>
        <v>2259-600-730</v>
      </c>
      <c r="H43" s="111"/>
      <c r="I43" s="111" t="s">
        <v>33</v>
      </c>
      <c r="J43" s="113">
        <v>34.450000000000003</v>
      </c>
      <c r="K43" s="130">
        <v>61</v>
      </c>
      <c r="L43" s="101" t="s">
        <v>17</v>
      </c>
      <c r="M43" s="214">
        <v>61</v>
      </c>
      <c r="N43" s="214">
        <v>56</v>
      </c>
      <c r="O43" s="214">
        <v>61</v>
      </c>
      <c r="P43" s="214">
        <v>38</v>
      </c>
      <c r="Q43" s="214">
        <v>67</v>
      </c>
      <c r="R43" s="214">
        <v>58</v>
      </c>
      <c r="S43" s="214">
        <v>56</v>
      </c>
      <c r="T43" s="214">
        <v>80</v>
      </c>
      <c r="U43" s="214">
        <v>57</v>
      </c>
      <c r="V43" s="214"/>
      <c r="W43" s="214"/>
      <c r="X43" s="123">
        <f>+IF(H44="s",0,IF(AA43=0,0,IF(COUNTA(M43:W43)=AK45+0.25,SUMIF($C:$C,B43,$AA:$AA)/AK45,SUMIF($C:$C,B43,$AA:$AA)/(COUNTA(M43:W43)))))</f>
        <v>61.028571428571432</v>
      </c>
      <c r="Y43" s="466"/>
      <c r="Z43" s="534"/>
      <c r="AA43" s="134">
        <f t="shared" si="7"/>
        <v>534</v>
      </c>
      <c r="AB43" s="354">
        <f>+AA43+AC43</f>
        <v>1512</v>
      </c>
      <c r="AC43" s="354">
        <v>978</v>
      </c>
      <c r="AD43" s="355">
        <f>+AB42-AB43</f>
        <v>828</v>
      </c>
      <c r="AE43" s="131">
        <f>+IF(((AA44+(AA45/2))*60)=0,"",(J43*AA43)/((AA44+(AA45/2))*60))</f>
        <v>0.89847619047619065</v>
      </c>
      <c r="AF43" s="347">
        <f>+AA44+AA45/2</f>
        <v>341.25</v>
      </c>
      <c r="AG43" s="347">
        <f t="shared" si="2"/>
        <v>341.15</v>
      </c>
      <c r="AH43" s="341">
        <f t="shared" si="3"/>
        <v>20475</v>
      </c>
      <c r="AI43" s="341">
        <f>+AA43*J43</f>
        <v>18396.300000000003</v>
      </c>
      <c r="AJ43" s="356">
        <f>+AA43-(AF43*K43/K45)</f>
        <v>-13.796052631578959</v>
      </c>
      <c r="AK43" s="348"/>
      <c r="AL43" s="349"/>
      <c r="AM43" s="341"/>
      <c r="AN43" s="341"/>
      <c r="AO43" s="341"/>
      <c r="AP43" s="341"/>
      <c r="AQ43" s="339">
        <f t="shared" si="9"/>
        <v>27.625</v>
      </c>
      <c r="AR43" s="434">
        <v>1.5</v>
      </c>
      <c r="AT43" s="390">
        <v>822</v>
      </c>
      <c r="AV43" s="390">
        <f t="shared" ref="AV43" si="24">+AT43-AD43</f>
        <v>-6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541" t="str">
        <f t="shared" si="23"/>
        <v>2259-600-730</v>
      </c>
      <c r="H44" s="411" t="s">
        <v>413</v>
      </c>
      <c r="I44" s="113">
        <f>+IFERROR(IF(K45=0,0,IF((LOOKUP(2,1/(M44:W44&lt;&gt;""),M44:W44)-K45)&lt;0,0,IF(K45=0,"",LOOKUP(2,1/(M44:W44&lt;&gt;""),M44:W44)-K45))),0)</f>
        <v>1</v>
      </c>
      <c r="J44" s="113">
        <v>1</v>
      </c>
      <c r="K44" s="114" t="s">
        <v>22</v>
      </c>
      <c r="L44" s="102" t="s">
        <v>18</v>
      </c>
      <c r="M44" s="448">
        <v>39</v>
      </c>
      <c r="N44" s="448">
        <v>39</v>
      </c>
      <c r="O44" s="448">
        <v>39</v>
      </c>
      <c r="P44" s="448">
        <v>39</v>
      </c>
      <c r="Q44" s="448">
        <v>39</v>
      </c>
      <c r="R44" s="448">
        <v>39</v>
      </c>
      <c r="S44" s="448">
        <v>39</v>
      </c>
      <c r="T44" s="448">
        <v>39</v>
      </c>
      <c r="U44" s="448">
        <v>39</v>
      </c>
      <c r="V44" s="448"/>
      <c r="W44" s="448"/>
      <c r="X44" s="160">
        <f>+IF(H44="l",IF(COUNTA(M43:W43)=AK45+0.25,AA43-K43*AK45,AA43-(K43*COUNTA(M43:W43))),IF(H44="s",0,IF(COUNTA(M43:W43)=AK45+0.25,SUMIF($C:$C,B43,$AA:$AA)-K43*AK45,SUMIF($C:$C,B43,$AA:$AA)-K43*COUNTA(M43:W43))))</f>
        <v>0.25</v>
      </c>
      <c r="Y44" s="466"/>
      <c r="Z44" s="534"/>
      <c r="AA44" s="462">
        <f t="shared" si="10"/>
        <v>341.25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341.25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542" t="str">
        <f t="shared" si="23"/>
        <v>2259-600-730</v>
      </c>
      <c r="H45" s="117"/>
      <c r="I45" s="442"/>
      <c r="J45" s="165">
        <f>+IF(K45="","",IF(K43=0,"",(K43*J43)/(K45*60)))</f>
        <v>0.92168859649122814</v>
      </c>
      <c r="K45" s="118">
        <v>38</v>
      </c>
      <c r="L45" s="104" t="s">
        <v>19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15.39239945355191</v>
      </c>
      <c r="Z45" s="371">
        <f>+IF(COUNTA(M43:W43)=$AJ$4+0.25,$AJ$4-(AA43/K43),COUNTA(M43:W43)-(AA43/K43))+Y45</f>
        <v>15.388301092896173</v>
      </c>
      <c r="AA45" s="465">
        <f t="shared" si="10"/>
        <v>0</v>
      </c>
      <c r="AB45" s="367"/>
      <c r="AC45" s="367"/>
      <c r="AD45" s="368">
        <f>+IFERROR(AD43/(K43*$AQ$3),"")</f>
        <v>1.5512880562060889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1.5400468384074941</v>
      </c>
      <c r="AV45" s="390"/>
    </row>
    <row r="46" spans="2:58" s="98" customFormat="1" ht="62.25" customHeight="1" thickTop="1" x14ac:dyDescent="0.9">
      <c r="B46" s="342">
        <f>+B47</f>
        <v>8</v>
      </c>
      <c r="C46" s="405"/>
      <c r="D46" s="106"/>
      <c r="E46" s="106"/>
      <c r="F46" s="106"/>
      <c r="G46" s="539" t="s">
        <v>432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120</v>
      </c>
      <c r="N46" s="448">
        <v>120</v>
      </c>
      <c r="O46" s="448">
        <v>111</v>
      </c>
      <c r="P46" s="448"/>
      <c r="Q46" s="448">
        <v>60</v>
      </c>
      <c r="R46" s="448"/>
      <c r="S46" s="448"/>
      <c r="T46" s="448"/>
      <c r="U46" s="448"/>
      <c r="V46" s="448"/>
      <c r="W46" s="448"/>
      <c r="X46" s="447">
        <f t="shared" si="6"/>
        <v>411</v>
      </c>
      <c r="Y46" s="466">
        <v>0.25</v>
      </c>
      <c r="Z46" s="533">
        <f>+X48</f>
        <v>0.25</v>
      </c>
      <c r="AA46" s="447">
        <f t="shared" si="7"/>
        <v>411</v>
      </c>
      <c r="AB46" s="343">
        <f>+AC46+AA46</f>
        <v>5152</v>
      </c>
      <c r="AC46" s="343">
        <v>4741</v>
      </c>
      <c r="AD46" s="344"/>
      <c r="AE46" s="345"/>
      <c r="AF46" s="346"/>
      <c r="AG46" s="347">
        <f t="shared" si="2"/>
        <v>0</v>
      </c>
      <c r="AH46" s="341">
        <f t="shared" si="3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0.9">
      <c r="B47" s="351">
        <v>8</v>
      </c>
      <c r="C47" s="406">
        <f>+B47</f>
        <v>8</v>
      </c>
      <c r="D47" s="407" t="s">
        <v>431</v>
      </c>
      <c r="E47" s="111"/>
      <c r="F47" s="111" t="s">
        <v>35</v>
      </c>
      <c r="G47" s="539" t="str">
        <f t="shared" ref="G47:G49" si="25">+G46</f>
        <v>2158-755-712</v>
      </c>
      <c r="H47" s="111"/>
      <c r="I47" s="111" t="s">
        <v>33</v>
      </c>
      <c r="J47" s="113">
        <v>51.42</v>
      </c>
      <c r="K47" s="130">
        <v>53</v>
      </c>
      <c r="L47" s="101" t="s">
        <v>17</v>
      </c>
      <c r="M47" s="214">
        <v>53</v>
      </c>
      <c r="N47" s="214">
        <v>49</v>
      </c>
      <c r="O47" s="214">
        <v>57</v>
      </c>
      <c r="P47" s="214">
        <v>53</v>
      </c>
      <c r="Q47" s="214">
        <v>53</v>
      </c>
      <c r="R47" s="214">
        <v>53</v>
      </c>
      <c r="S47" s="214">
        <v>53</v>
      </c>
      <c r="T47" s="214">
        <v>53</v>
      </c>
      <c r="U47" s="214">
        <v>40</v>
      </c>
      <c r="V47" s="214"/>
      <c r="W47" s="214"/>
      <c r="X47" s="123">
        <f>+IF(H48="s",0,IF(AA47=0,0,IF(COUNTA(M47:W47)=AK49+0.25,SUMIF($C:$C,B47,$AA:$AA)/AK49,SUMIF($C:$C,B47,$AA:$AA)/(COUNTA(M47:W47)))))</f>
        <v>53.028571428571432</v>
      </c>
      <c r="Y47" s="466"/>
      <c r="Z47" s="534"/>
      <c r="AA47" s="134">
        <f t="shared" si="7"/>
        <v>464</v>
      </c>
      <c r="AB47" s="354">
        <f>+AA47+AC47</f>
        <v>4464</v>
      </c>
      <c r="AC47" s="354">
        <v>4000</v>
      </c>
      <c r="AD47" s="355">
        <f>+AB46-AB47</f>
        <v>688</v>
      </c>
      <c r="AE47" s="131">
        <f>+IF(((AA48+(AA49/2))*60)=0,"",(J47*AA47)/((AA48+(AA49/2))*60))</f>
        <v>0.86657150640152547</v>
      </c>
      <c r="AF47" s="347">
        <f>+AA48+AA49/2</f>
        <v>458.875</v>
      </c>
      <c r="AG47" s="347">
        <f t="shared" si="2"/>
        <v>458.52499999999998</v>
      </c>
      <c r="AH47" s="341">
        <f t="shared" si="3"/>
        <v>27532.5</v>
      </c>
      <c r="AI47" s="341">
        <f>+AA47*J47</f>
        <v>23858.880000000001</v>
      </c>
      <c r="AJ47" s="356">
        <f>+AA47-(AF47*K47/K49)</f>
        <v>-12.870098039215691</v>
      </c>
      <c r="AK47" s="348"/>
      <c r="AL47" s="349"/>
      <c r="AM47" s="341"/>
      <c r="AN47" s="341"/>
      <c r="AO47" s="341"/>
      <c r="AP47" s="341"/>
      <c r="AQ47" s="339">
        <f t="shared" si="9"/>
        <v>4.500000000007276E-2</v>
      </c>
      <c r="AR47" s="434">
        <v>1.484</v>
      </c>
      <c r="AT47" s="390">
        <v>741</v>
      </c>
      <c r="AV47" s="390">
        <f t="shared" ref="AV47" si="26">+AT47-AD47</f>
        <v>53</v>
      </c>
    </row>
    <row r="48" spans="2:58" s="98" customFormat="1" ht="62.25" customHeight="1" x14ac:dyDescent="0.9">
      <c r="B48" s="357">
        <f>+B47</f>
        <v>8</v>
      </c>
      <c r="C48" s="408"/>
      <c r="D48" s="184"/>
      <c r="E48" s="111">
        <f>+B47</f>
        <v>8</v>
      </c>
      <c r="F48" s="409"/>
      <c r="G48" s="539" t="str">
        <f t="shared" si="25"/>
        <v>2158-755-712</v>
      </c>
      <c r="H48" s="411"/>
      <c r="I48" s="113">
        <f>+IFERROR(IF(K49=0,0,IF((LOOKUP(2,1/(M48:W48&lt;&gt;""),M48:W48)-K49)&lt;0,0,IF(K49=0,"",LOOKUP(2,1/(M48:W48&lt;&gt;""),M48:W48)-K49))),0)</f>
        <v>1</v>
      </c>
      <c r="J48" s="113"/>
      <c r="K48" s="114" t="s">
        <v>22</v>
      </c>
      <c r="L48" s="102" t="s">
        <v>18</v>
      </c>
      <c r="M48" s="448">
        <v>52</v>
      </c>
      <c r="N48" s="448">
        <v>52</v>
      </c>
      <c r="O48" s="448">
        <v>52</v>
      </c>
      <c r="P48" s="448">
        <v>52</v>
      </c>
      <c r="Q48" s="448">
        <v>52</v>
      </c>
      <c r="R48" s="448">
        <v>52</v>
      </c>
      <c r="S48" s="448">
        <v>52</v>
      </c>
      <c r="T48" s="448">
        <v>52</v>
      </c>
      <c r="U48" s="448">
        <v>52</v>
      </c>
      <c r="V48" s="448"/>
      <c r="W48" s="448"/>
      <c r="X48" s="160">
        <f>+IF(H48="l",IF(COUNTA(M47:W47)=AK49+0.25,AA47-K47*AK49,AA47-(K47*COUNTA(M47:W47))),IF(H48="s",0,IF(COUNTA(M47:W47)=AK49+0.25,SUMIF($C:$C,B47,$AA:$AA)-K47*AK49,SUMIF($C:$C,B47,$AA:$AA)-K47*COUNTA(M47:W47))))</f>
        <v>0.25</v>
      </c>
      <c r="Y48" s="466"/>
      <c r="Z48" s="534"/>
      <c r="AA48" s="462">
        <f t="shared" si="10"/>
        <v>455</v>
      </c>
      <c r="AB48" s="360"/>
      <c r="AC48" s="360"/>
      <c r="AD48" s="362"/>
      <c r="AE48" s="363"/>
      <c r="AF48" s="346"/>
      <c r="AG48" s="347">
        <f t="shared" si="2"/>
        <v>0</v>
      </c>
      <c r="AH48" s="341">
        <f t="shared" si="3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455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64">
        <f>+B47</f>
        <v>8</v>
      </c>
      <c r="C49" s="410"/>
      <c r="D49" s="174" t="s">
        <v>373</v>
      </c>
      <c r="E49" s="175">
        <f>+E48+100</f>
        <v>108</v>
      </c>
      <c r="F49" s="175"/>
      <c r="G49" s="539" t="str">
        <f t="shared" si="25"/>
        <v>2158-755-712</v>
      </c>
      <c r="H49" s="117"/>
      <c r="I49" s="442"/>
      <c r="J49" s="165">
        <f>+IF(K49="","",IF(K47=0,"",(K47*J47)/(K49*60)))</f>
        <v>0.89060784313725494</v>
      </c>
      <c r="K49" s="118">
        <v>51</v>
      </c>
      <c r="L49" s="104" t="s">
        <v>422</v>
      </c>
      <c r="M49" s="216"/>
      <c r="N49" s="216">
        <v>1</v>
      </c>
      <c r="O49" s="216">
        <v>1</v>
      </c>
      <c r="P49" s="216">
        <v>1</v>
      </c>
      <c r="Q49" s="216">
        <v>1</v>
      </c>
      <c r="R49" s="216">
        <v>1</v>
      </c>
      <c r="S49" s="216">
        <v>1</v>
      </c>
      <c r="T49" s="216">
        <v>1</v>
      </c>
      <c r="U49" s="216">
        <v>1</v>
      </c>
      <c r="V49" s="216"/>
      <c r="W49" s="216"/>
      <c r="X49" s="173"/>
      <c r="Y49" s="467">
        <v>12.75</v>
      </c>
      <c r="Z49" s="365">
        <v>12.75</v>
      </c>
      <c r="AA49" s="465">
        <f t="shared" si="10"/>
        <v>7.75</v>
      </c>
      <c r="AB49" s="367"/>
      <c r="AC49" s="367"/>
      <c r="AD49" s="368">
        <f>+IFERROR(AD47/(K47*$AQ$3),"")</f>
        <v>1.4835579514824797</v>
      </c>
      <c r="AE49" s="369"/>
      <c r="AF49" s="347"/>
      <c r="AG49" s="347">
        <f t="shared" si="2"/>
        <v>0</v>
      </c>
      <c r="AH49" s="341">
        <f t="shared" si="3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7.75</v>
      </c>
      <c r="AM49" s="341">
        <f>+AL49-AA49</f>
        <v>0</v>
      </c>
      <c r="AN49" s="341"/>
      <c r="AO49" s="341"/>
      <c r="AP49" s="341"/>
      <c r="AQ49" s="369"/>
      <c r="AR49" s="434"/>
      <c r="AT49" s="390">
        <v>1.597843665768194</v>
      </c>
      <c r="AV49" s="390"/>
    </row>
    <row r="50" spans="2:58" s="98" customFormat="1" ht="62.25" customHeight="1" thickTop="1" x14ac:dyDescent="0.9">
      <c r="B50" s="342">
        <f>+B51</f>
        <v>11</v>
      </c>
      <c r="C50" s="405"/>
      <c r="D50" s="106"/>
      <c r="E50" s="106"/>
      <c r="F50" s="106"/>
      <c r="G50" s="540" t="s">
        <v>435</v>
      </c>
      <c r="H50" s="106"/>
      <c r="I50" s="106"/>
      <c r="J50" s="107" t="s">
        <v>20</v>
      </c>
      <c r="K50" s="108" t="s">
        <v>23</v>
      </c>
      <c r="L50" s="100" t="s">
        <v>21</v>
      </c>
      <c r="M50" s="448"/>
      <c r="N50" s="448"/>
      <c r="O50" s="448"/>
      <c r="P50" s="448"/>
      <c r="Q50" s="448"/>
      <c r="R50" s="448"/>
      <c r="S50" s="448"/>
      <c r="T50" s="448"/>
      <c r="U50" s="448"/>
      <c r="V50" s="448"/>
      <c r="W50" s="448"/>
      <c r="X50" s="447" t="str">
        <f t="shared" si="6"/>
        <v/>
      </c>
      <c r="Y50" s="466">
        <v>0</v>
      </c>
      <c r="Z50" s="533">
        <f>+X52</f>
        <v>0</v>
      </c>
      <c r="AA50" s="447">
        <f t="shared" si="7"/>
        <v>0</v>
      </c>
      <c r="AB50" s="343">
        <f>+AC50+AA50</f>
        <v>3475</v>
      </c>
      <c r="AC50" s="343">
        <v>3475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11</v>
      </c>
      <c r="C51" s="406">
        <f>+B51</f>
        <v>11</v>
      </c>
      <c r="D51" s="407" t="s">
        <v>436</v>
      </c>
      <c r="E51" s="111"/>
      <c r="F51" s="111" t="s">
        <v>35</v>
      </c>
      <c r="G51" s="541" t="str">
        <f t="shared" ref="G51:G53" si="27">+G50</f>
        <v>2076-780-803</v>
      </c>
      <c r="H51" s="111"/>
      <c r="I51" s="111" t="s">
        <v>38</v>
      </c>
      <c r="J51" s="113">
        <v>38.729999999999997</v>
      </c>
      <c r="K51" s="130">
        <v>58</v>
      </c>
      <c r="L51" s="101" t="s">
        <v>17</v>
      </c>
      <c r="M51" s="214"/>
      <c r="N51" s="214"/>
      <c r="O51" s="214"/>
      <c r="P51" s="214"/>
      <c r="Q51" s="214">
        <v>18</v>
      </c>
      <c r="R51" s="214"/>
      <c r="S51" s="214"/>
      <c r="T51" s="214"/>
      <c r="U51" s="214"/>
      <c r="V51" s="214"/>
      <c r="W51" s="214"/>
      <c r="X51" s="123">
        <f>+IF(H52="s",0,IF(AA51=0,0,IF(COUNTA(M51:W51)=AK53+0.25,SUMIF($C:$C,B51,$AA:$AA)/AK53,SUMIF($C:$C,B51,$AA:$AA)/(COUNTA(M51:W51)))))</f>
        <v>0</v>
      </c>
      <c r="Y51" s="466"/>
      <c r="Z51" s="534"/>
      <c r="AA51" s="134">
        <f t="shared" si="7"/>
        <v>18</v>
      </c>
      <c r="AB51" s="354">
        <f>+AA51+AC51</f>
        <v>3475</v>
      </c>
      <c r="AC51" s="354">
        <v>3457</v>
      </c>
      <c r="AD51" s="355">
        <f>+AB50-AB51</f>
        <v>0</v>
      </c>
      <c r="AE51" s="131">
        <f>+IF(((AA52+(AA53/2))*60)=0,"",(J51*AA51)/((AA52+(AA53/2))*60))</f>
        <v>11.619</v>
      </c>
      <c r="AF51" s="347">
        <f>+AA52+AA53/2</f>
        <v>1</v>
      </c>
      <c r="AG51" s="347">
        <f t="shared" si="2"/>
        <v>1</v>
      </c>
      <c r="AH51" s="341">
        <f t="shared" si="3"/>
        <v>60</v>
      </c>
      <c r="AI51" s="341">
        <f>+AA51*J51</f>
        <v>697.14</v>
      </c>
      <c r="AJ51" s="356">
        <f>+AA51-(AF51*K51/K53)</f>
        <v>16.61904761904762</v>
      </c>
      <c r="AK51" s="348"/>
      <c r="AL51" s="349"/>
      <c r="AM51" s="341"/>
      <c r="AN51" s="341"/>
      <c r="AO51" s="341"/>
      <c r="AP51" s="341"/>
      <c r="AQ51" s="339" t="str">
        <f t="shared" si="9"/>
        <v/>
      </c>
      <c r="AR51" s="434"/>
      <c r="AT51" s="390">
        <v>18</v>
      </c>
      <c r="AV51" s="390">
        <f t="shared" ref="AV51" si="28">+AT51-AD51</f>
        <v>18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+B51</f>
        <v>11</v>
      </c>
      <c r="C52" s="408"/>
      <c r="D52" s="184"/>
      <c r="E52" s="111">
        <f>+B51</f>
        <v>11</v>
      </c>
      <c r="F52" s="412"/>
      <c r="G52" s="541" t="str">
        <f t="shared" si="27"/>
        <v>2076-780-803</v>
      </c>
      <c r="H52" s="411" t="s">
        <v>414</v>
      </c>
      <c r="I52" s="113">
        <f>+IFERROR(IF(K53=0,0,IF((LOOKUP(2,1/(M52:W52&lt;&gt;""),M52:W52)-K53)&lt;0,0,IF(K53=0,"",LOOKUP(2,1/(M52:W52&lt;&gt;""),M52:W52)-K53))),0)</f>
        <v>0</v>
      </c>
      <c r="J52" s="113">
        <v>1</v>
      </c>
      <c r="K52" s="114" t="s">
        <v>22</v>
      </c>
      <c r="L52" s="102" t="s">
        <v>18</v>
      </c>
      <c r="M52" s="448"/>
      <c r="N52" s="448"/>
      <c r="O52" s="448"/>
      <c r="P52" s="448"/>
      <c r="Q52" s="448">
        <v>1</v>
      </c>
      <c r="R52" s="448"/>
      <c r="S52" s="448"/>
      <c r="T52" s="448"/>
      <c r="U52" s="448"/>
      <c r="V52" s="448"/>
      <c r="W52" s="448"/>
      <c r="X52" s="160">
        <f>+IF(H52="l",IF(COUNTA(M51:W51)=AK53+0.25,AA51-K51*AK53,AA51-(K51*COUNTA(M51:W51))),IF(H52="s",0,IF(COUNTA(M51:W51)=AK53+0.25,SUMIF($C:$C,B51,$AA:$AA)-K51*AK53,SUMIF($C:$C,B51,$AA:$AA)-K51*COUNTA(M51:W51))))</f>
        <v>0</v>
      </c>
      <c r="Y52" s="466"/>
      <c r="Z52" s="534"/>
      <c r="AA52" s="462">
        <f t="shared" si="10"/>
        <v>1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1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11</v>
      </c>
      <c r="C53" s="410"/>
      <c r="D53" s="174" t="s">
        <v>418</v>
      </c>
      <c r="E53" s="175">
        <f>+E52+100</f>
        <v>111</v>
      </c>
      <c r="F53" s="175"/>
      <c r="G53" s="542" t="str">
        <f t="shared" si="27"/>
        <v>2076-780-803</v>
      </c>
      <c r="H53" s="117"/>
      <c r="I53" s="442"/>
      <c r="J53" s="165">
        <f>+IF(K53="","",IF(K51=0,"",(K51*J51)/(K53*60)))</f>
        <v>0.89140476190476181</v>
      </c>
      <c r="K53" s="118">
        <v>42</v>
      </c>
      <c r="L53" s="104" t="s">
        <v>422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>
        <v>36.353448275862071</v>
      </c>
      <c r="Z53" s="371">
        <f>+IF(COUNTA(M51:W51)=$AJ$4+0.25,$AJ$4-(AA51/K51),COUNTA(M51:W51)-(AA51/K51))+Y53</f>
        <v>37.043103448275865</v>
      </c>
      <c r="AA53" s="465">
        <f t="shared" si="10"/>
        <v>0</v>
      </c>
      <c r="AB53" s="367"/>
      <c r="AC53" s="367"/>
      <c r="AD53" s="368">
        <f>+IFERROR(AD51/(K51*$AQ$3),"")</f>
        <v>0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3.5467980295566505E-2</v>
      </c>
      <c r="AV53" s="390"/>
    </row>
    <row r="54" spans="2:58" s="98" customFormat="1" ht="62.25" customHeight="1" thickTop="1" x14ac:dyDescent="0.9">
      <c r="B54" s="342">
        <f>+B55</f>
        <v>11</v>
      </c>
      <c r="C54" s="405"/>
      <c r="D54" s="106"/>
      <c r="E54" s="106"/>
      <c r="F54" s="106"/>
      <c r="G54" s="540" t="s">
        <v>481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120</v>
      </c>
      <c r="N54" s="448">
        <v>120</v>
      </c>
      <c r="O54" s="448">
        <v>120</v>
      </c>
      <c r="P54" s="448"/>
      <c r="Q54" s="448"/>
      <c r="R54" s="448">
        <v>60</v>
      </c>
      <c r="S54" s="448">
        <v>60</v>
      </c>
      <c r="T54" s="448">
        <v>60</v>
      </c>
      <c r="U54" s="448"/>
      <c r="V54" s="448"/>
      <c r="W54" s="448"/>
      <c r="X54" s="447">
        <f t="shared" si="6"/>
        <v>540</v>
      </c>
      <c r="Y54" s="466">
        <v>-18</v>
      </c>
      <c r="Z54" s="533">
        <f>+X56</f>
        <v>0</v>
      </c>
      <c r="AA54" s="447">
        <f t="shared" si="7"/>
        <v>540</v>
      </c>
      <c r="AB54" s="343">
        <f>+AC54+AA54</f>
        <v>2040</v>
      </c>
      <c r="AC54" s="343">
        <v>1500</v>
      </c>
      <c r="AD54" s="344"/>
      <c r="AE54" s="345"/>
      <c r="AF54" s="346"/>
      <c r="AG54" s="347">
        <f t="shared" si="2"/>
        <v>0</v>
      </c>
      <c r="AH54" s="341">
        <f t="shared" si="3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1.35">
      <c r="B55" s="351">
        <v>11</v>
      </c>
      <c r="C55" s="406">
        <f>+B55</f>
        <v>11</v>
      </c>
      <c r="D55" s="407" t="s">
        <v>480</v>
      </c>
      <c r="E55" s="111"/>
      <c r="F55" s="111" t="s">
        <v>35</v>
      </c>
      <c r="G55" s="541" t="str">
        <f t="shared" ref="G55:G57" si="29">+G54</f>
        <v>2396-593-600</v>
      </c>
      <c r="H55" s="111"/>
      <c r="I55" s="111" t="s">
        <v>33</v>
      </c>
      <c r="J55" s="113">
        <v>38.82</v>
      </c>
      <c r="K55" s="130">
        <v>60</v>
      </c>
      <c r="L55" s="101" t="s">
        <v>17</v>
      </c>
      <c r="M55" s="214">
        <v>50</v>
      </c>
      <c r="N55" s="214">
        <v>51</v>
      </c>
      <c r="O55" s="214">
        <v>65</v>
      </c>
      <c r="P55" s="214">
        <v>65</v>
      </c>
      <c r="Q55" s="214">
        <v>60</v>
      </c>
      <c r="R55" s="214">
        <v>50</v>
      </c>
      <c r="S55" s="214">
        <v>65</v>
      </c>
      <c r="T55" s="214">
        <v>65</v>
      </c>
      <c r="U55" s="214">
        <v>54</v>
      </c>
      <c r="V55" s="214"/>
      <c r="W55" s="214"/>
      <c r="X55" s="123">
        <f>+IF(H56="s",0,IF(AA55=0,0,IF(COUNTA(M55:W55)=AK57+0.25,SUMIF($C:$C,B55,$AA:$AA)/AK57,SUMIF($C:$C,B55,$AA:$AA)/(COUNTA(M55:W55)))))</f>
        <v>62.057142857142857</v>
      </c>
      <c r="Y55" s="466"/>
      <c r="Z55" s="534"/>
      <c r="AA55" s="134">
        <f t="shared" si="7"/>
        <v>525</v>
      </c>
      <c r="AB55" s="354">
        <f>+AA55+AC55</f>
        <v>1237</v>
      </c>
      <c r="AC55" s="354">
        <v>712</v>
      </c>
      <c r="AD55" s="355">
        <f>+AB54-AB55</f>
        <v>803</v>
      </c>
      <c r="AE55" s="131">
        <f>+IF(((AA56+(AA57/2))*60)=0,"",(J55*AA55)/((AA56+(AA57/2))*60))</f>
        <v>0.9051965356429047</v>
      </c>
      <c r="AF55" s="347">
        <f>+AA56+AA57/2</f>
        <v>375.25</v>
      </c>
      <c r="AG55" s="347">
        <f t="shared" si="2"/>
        <v>375.15</v>
      </c>
      <c r="AH55" s="341">
        <f t="shared" si="3"/>
        <v>22515</v>
      </c>
      <c r="AI55" s="341">
        <f>+AA55*J55</f>
        <v>20380.5</v>
      </c>
      <c r="AJ55" s="356">
        <f>+AA55-(AF55*K55/K57)</f>
        <v>1.3953488372093261</v>
      </c>
      <c r="AK55" s="348"/>
      <c r="AL55" s="349"/>
      <c r="AM55" s="341"/>
      <c r="AN55" s="341"/>
      <c r="AO55" s="341"/>
      <c r="AP55" s="341"/>
      <c r="AQ55" s="339">
        <f t="shared" si="9"/>
        <v>15.5</v>
      </c>
      <c r="AR55" s="434">
        <v>1.5</v>
      </c>
      <c r="AT55" s="390">
        <v>788</v>
      </c>
      <c r="AV55" s="390">
        <f t="shared" ref="AV55" si="30">+AT55-AD55</f>
        <v>-15</v>
      </c>
      <c r="AW55" s="535"/>
      <c r="AX55" s="535"/>
      <c r="AY55" s="535"/>
      <c r="AZ55" s="535"/>
      <c r="BA55" s="535"/>
      <c r="BB55" s="535"/>
      <c r="BC55" s="535"/>
      <c r="BD55" s="535"/>
      <c r="BE55" s="535"/>
      <c r="BF55" s="535"/>
    </row>
    <row r="56" spans="2:58" s="98" customFormat="1" ht="62.25" customHeight="1" x14ac:dyDescent="0.9">
      <c r="B56" s="357">
        <f>+B55</f>
        <v>11</v>
      </c>
      <c r="C56" s="408"/>
      <c r="D56" s="184"/>
      <c r="E56" s="111">
        <f>+B55</f>
        <v>11</v>
      </c>
      <c r="F56" s="412"/>
      <c r="G56" s="541" t="str">
        <f t="shared" si="29"/>
        <v>2396-593-600</v>
      </c>
      <c r="H56" s="411" t="s">
        <v>412</v>
      </c>
      <c r="I56" s="113">
        <f>+IFERROR(IF(K57=0,0,IF((LOOKUP(2,1/(M56:W56&lt;&gt;""),M56:W56)-K57)&lt;0,0,IF(K57=0,"",LOOKUP(2,1/(M56:W56&lt;&gt;""),M56:W56)-K57))),0)</f>
        <v>0</v>
      </c>
      <c r="J56" s="113">
        <v>1</v>
      </c>
      <c r="K56" s="114" t="s">
        <v>22</v>
      </c>
      <c r="L56" s="102" t="s">
        <v>18</v>
      </c>
      <c r="M56" s="448">
        <v>42</v>
      </c>
      <c r="N56" s="448">
        <v>42</v>
      </c>
      <c r="O56" s="448">
        <v>42</v>
      </c>
      <c r="P56" s="448">
        <v>42</v>
      </c>
      <c r="Q56" s="448">
        <v>41</v>
      </c>
      <c r="R56" s="448">
        <v>42</v>
      </c>
      <c r="S56" s="448">
        <v>42</v>
      </c>
      <c r="T56" s="448">
        <v>42</v>
      </c>
      <c r="U56" s="448">
        <v>42</v>
      </c>
      <c r="V56" s="448"/>
      <c r="W56" s="448"/>
      <c r="X56" s="160">
        <f>+IF(H56="l",IF(COUNTA(M55:W55)=AK57+0.25,AA55-K55*AK57,AA55-(K55*COUNTA(M55:W55))),IF(H56="s",0,IF(COUNTA(M55:W55)=AK57+0.25,SUMIF($C:$C,B55,$AA:$AA)-K55*AK57,SUMIF($C:$C,B55,$AA:$AA)-K55*COUNTA(M55:W55))))</f>
        <v>0</v>
      </c>
      <c r="Y56" s="466"/>
      <c r="Z56" s="534"/>
      <c r="AA56" s="462">
        <f>+SUM(M56:W56)-U56*0.25</f>
        <v>366.5</v>
      </c>
      <c r="AB56" s="360"/>
      <c r="AC56" s="360"/>
      <c r="AD56" s="362"/>
      <c r="AE56" s="363"/>
      <c r="AF56" s="346"/>
      <c r="AG56" s="347">
        <f t="shared" si="2"/>
        <v>0</v>
      </c>
      <c r="AH56" s="341">
        <f t="shared" si="3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366.5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11</v>
      </c>
      <c r="C57" s="410"/>
      <c r="D57" s="174" t="s">
        <v>418</v>
      </c>
      <c r="E57" s="175">
        <f>+E56+100</f>
        <v>111</v>
      </c>
      <c r="F57" s="175"/>
      <c r="G57" s="542" t="str">
        <f t="shared" si="29"/>
        <v>2396-593-600</v>
      </c>
      <c r="H57" s="117"/>
      <c r="I57" s="442"/>
      <c r="J57" s="165">
        <f>+IF(K57="","",IF(K55=0,"",(K55*J55)/(K57*60)))</f>
        <v>0.90279069767441855</v>
      </c>
      <c r="K57" s="118">
        <v>43</v>
      </c>
      <c r="L57" s="104" t="s">
        <v>422</v>
      </c>
      <c r="M57" s="216">
        <v>2</v>
      </c>
      <c r="N57" s="216">
        <v>2</v>
      </c>
      <c r="O57" s="216">
        <v>2</v>
      </c>
      <c r="P57" s="216">
        <v>2</v>
      </c>
      <c r="Q57" s="216">
        <v>2</v>
      </c>
      <c r="R57" s="216">
        <v>2</v>
      </c>
      <c r="S57" s="216">
        <v>2</v>
      </c>
      <c r="T57" s="216">
        <v>2</v>
      </c>
      <c r="U57" s="216">
        <v>2</v>
      </c>
      <c r="V57" s="216"/>
      <c r="W57" s="216"/>
      <c r="X57" s="173"/>
      <c r="Y57" s="467">
        <v>10.253933333333334</v>
      </c>
      <c r="Z57" s="371">
        <f>+IF(COUNTA(M55:W55)=$AJ$4+0.25,$AJ$4-(AA55/K55),COUNTA(M55:W55)-(AA55/K55))+Y57</f>
        <v>10.253933333333334</v>
      </c>
      <c r="AA57" s="465">
        <f>+SUM(M57:W57)-U57*0.25</f>
        <v>17.5</v>
      </c>
      <c r="AB57" s="367"/>
      <c r="AC57" s="367"/>
      <c r="AD57" s="368">
        <f>+IFERROR(AD55/(K55*$AQ$3),"")</f>
        <v>1.5295238095238095</v>
      </c>
      <c r="AE57" s="369"/>
      <c r="AF57" s="347"/>
      <c r="AG57" s="347">
        <f t="shared" si="2"/>
        <v>0</v>
      </c>
      <c r="AH57" s="341">
        <f t="shared" si="3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17.5</v>
      </c>
      <c r="AM57" s="341">
        <f>+AL57-AA57</f>
        <v>0</v>
      </c>
      <c r="AN57" s="341"/>
      <c r="AO57" s="341"/>
      <c r="AP57" s="341"/>
      <c r="AQ57" s="369"/>
      <c r="AR57" s="434"/>
      <c r="AT57" s="390">
        <v>1.500952380952381</v>
      </c>
      <c r="AV57" s="390"/>
    </row>
    <row r="58" spans="2:58" s="98" customFormat="1" ht="62.25" customHeight="1" thickTop="1" x14ac:dyDescent="0.9">
      <c r="B58" s="342">
        <f>+B59</f>
        <v>12</v>
      </c>
      <c r="C58" s="405"/>
      <c r="D58" s="106"/>
      <c r="E58" s="106"/>
      <c r="F58" s="106"/>
      <c r="G58" s="539"/>
      <c r="H58" s="106"/>
      <c r="I58" s="106"/>
      <c r="J58" s="107" t="s">
        <v>20</v>
      </c>
      <c r="K58" s="108" t="s">
        <v>23</v>
      </c>
      <c r="L58" s="100" t="s">
        <v>21</v>
      </c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47" t="str">
        <f t="shared" si="6"/>
        <v/>
      </c>
      <c r="Y58" s="466">
        <v>0</v>
      </c>
      <c r="Z58" s="533">
        <f>+X60</f>
        <v>0</v>
      </c>
      <c r="AA58" s="447">
        <f t="shared" si="7"/>
        <v>0</v>
      </c>
      <c r="AB58" s="343">
        <f>+AC58+AA58</f>
        <v>0</v>
      </c>
      <c r="AC58" s="343">
        <v>0</v>
      </c>
      <c r="AD58" s="344"/>
      <c r="AE58" s="345"/>
      <c r="AF58" s="346"/>
      <c r="AG58" s="347"/>
      <c r="AH58" s="341"/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0.9">
      <c r="B59" s="351">
        <v>12</v>
      </c>
      <c r="C59" s="406">
        <v>12</v>
      </c>
      <c r="D59" s="407"/>
      <c r="E59" s="111"/>
      <c r="F59" s="111"/>
      <c r="G59" s="539"/>
      <c r="H59" s="111"/>
      <c r="I59" s="111"/>
      <c r="J59" s="113"/>
      <c r="K59" s="130"/>
      <c r="L59" s="101" t="s">
        <v>17</v>
      </c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123">
        <f>+IF(H60="s",0,IF(AA59=0,0,IF(COUNTA(M59:W59)=AK61+0.25,SUMIF($C:$C,B59,$AA:$AA)/AK61,SUMIF($C:$C,B59,$AA:$AA)/(COUNTA(M59:W59)))))</f>
        <v>0</v>
      </c>
      <c r="Y59" s="466"/>
      <c r="Z59" s="534"/>
      <c r="AA59" s="134">
        <f t="shared" si="7"/>
        <v>0</v>
      </c>
      <c r="AB59" s="354">
        <f>+AA59+AC59</f>
        <v>0</v>
      </c>
      <c r="AC59" s="354">
        <v>0</v>
      </c>
      <c r="AD59" s="355">
        <f>+AB58-AB59</f>
        <v>0</v>
      </c>
      <c r="AE59" s="131" t="str">
        <f>+IF(((AA60+(AA61/2))*60)=0,"",(J59*AA59)/((AA60+(AA61/2))*60))</f>
        <v/>
      </c>
      <c r="AF59" s="347"/>
      <c r="AG59" s="347"/>
      <c r="AH59" s="341"/>
      <c r="AI59" s="341"/>
      <c r="AJ59" s="356"/>
      <c r="AK59" s="348"/>
      <c r="AL59" s="349"/>
      <c r="AM59" s="341"/>
      <c r="AN59" s="341"/>
      <c r="AO59" s="341"/>
      <c r="AP59" s="341"/>
      <c r="AQ59" s="339" t="str">
        <f t="shared" si="9"/>
        <v/>
      </c>
      <c r="AR59" s="434"/>
      <c r="AT59" s="390">
        <v>0</v>
      </c>
      <c r="AV59" s="390">
        <f t="shared" ref="AV59" si="31">+AT59-AD59</f>
        <v>0</v>
      </c>
    </row>
    <row r="60" spans="2:58" s="98" customFormat="1" ht="62.25" customHeight="1" x14ac:dyDescent="0.9">
      <c r="B60" s="357">
        <f>+B59</f>
        <v>12</v>
      </c>
      <c r="C60" s="408"/>
      <c r="D60" s="184"/>
      <c r="E60" s="111">
        <f>+B59</f>
        <v>12</v>
      </c>
      <c r="F60" s="409"/>
      <c r="G60" s="539"/>
      <c r="H60" s="411"/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160">
        <f>+IF(H60="l",IF(COUNTA(M59:W59)=AK61+0.25,AA59-K59*AK61,AA59-(K59*COUNTA(M59:W59))),IF(H60="s",0,IF(COUNTA(M59:W59)=AK61+0.25,SUMIF($C:$C,B59,$AA:$AA)-K59*AK61,SUMIF($C:$C,B59,$AA:$AA)-K59*COUNTA(M59:W59))))</f>
        <v>0</v>
      </c>
      <c r="Y60" s="466"/>
      <c r="Z60" s="534"/>
      <c r="AA60" s="462">
        <f t="shared" si="10"/>
        <v>0</v>
      </c>
      <c r="AB60" s="360"/>
      <c r="AC60" s="360"/>
      <c r="AD60" s="362"/>
      <c r="AE60" s="363"/>
      <c r="AF60" s="346"/>
      <c r="AG60" s="347"/>
      <c r="AH60" s="341"/>
      <c r="AI60" s="341"/>
      <c r="AJ60" s="341"/>
      <c r="AK60" s="348"/>
      <c r="AL60" s="349"/>
      <c r="AM60" s="341"/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12</v>
      </c>
      <c r="C61" s="410"/>
      <c r="D61" s="174"/>
      <c r="E61" s="175">
        <f>+E60+100</f>
        <v>112</v>
      </c>
      <c r="F61" s="175"/>
      <c r="G61" s="539"/>
      <c r="H61" s="117"/>
      <c r="I61" s="442"/>
      <c r="J61" s="165" t="str">
        <f>+IF(K61="","",IF(K59=0,"",(K59*J59)/(K61*60)))</f>
        <v/>
      </c>
      <c r="K61" s="118"/>
      <c r="L61" s="104" t="s">
        <v>19</v>
      </c>
      <c r="M61" s="455"/>
      <c r="N61" s="455"/>
      <c r="O61" s="455"/>
      <c r="P61" s="455"/>
      <c r="Q61" s="455"/>
      <c r="R61" s="455"/>
      <c r="S61" s="455"/>
      <c r="T61" s="455"/>
      <c r="U61" s="455"/>
      <c r="V61" s="455"/>
      <c r="W61" s="455"/>
      <c r="X61" s="173"/>
      <c r="Y61" s="467"/>
      <c r="Z61" s="371"/>
      <c r="AA61" s="465">
        <f t="shared" si="10"/>
        <v>0</v>
      </c>
      <c r="AB61" s="367"/>
      <c r="AC61" s="367"/>
      <c r="AD61" s="368" t="str">
        <f>+IFERROR(AD59/(K59*$AQ$3),"")</f>
        <v/>
      </c>
      <c r="AE61" s="369"/>
      <c r="AF61" s="347"/>
      <c r="AG61" s="347"/>
      <c r="AH61" s="341"/>
      <c r="AI61" s="341"/>
      <c r="AJ61" s="356"/>
      <c r="AK61" s="370">
        <f>+$AJ$4</f>
        <v>8.75</v>
      </c>
      <c r="AL61" s="349"/>
      <c r="AM61" s="341"/>
      <c r="AN61" s="341"/>
      <c r="AO61" s="341"/>
      <c r="AP61" s="341"/>
      <c r="AQ61" s="369"/>
      <c r="AR61" s="434"/>
      <c r="AT61" s="390" t="s">
        <v>416</v>
      </c>
      <c r="AV61" s="390"/>
    </row>
    <row r="62" spans="2:58" s="98" customFormat="1" ht="62.25" customHeight="1" thickTop="1" x14ac:dyDescent="0.9">
      <c r="B62" s="342">
        <f>+B63</f>
        <v>13</v>
      </c>
      <c r="C62" s="405"/>
      <c r="D62" s="106"/>
      <c r="E62" s="106"/>
      <c r="F62" s="106"/>
      <c r="G62" s="540" t="s">
        <v>432</v>
      </c>
      <c r="H62" s="106"/>
      <c r="I62" s="106"/>
      <c r="J62" s="107" t="s">
        <v>20</v>
      </c>
      <c r="K62" s="108" t="s">
        <v>23</v>
      </c>
      <c r="L62" s="100" t="s">
        <v>21</v>
      </c>
      <c r="M62" s="448"/>
      <c r="N62" s="448"/>
      <c r="O62" s="448"/>
      <c r="P62" s="448"/>
      <c r="Q62" s="448"/>
      <c r="R62" s="448"/>
      <c r="S62" s="448"/>
      <c r="T62" s="448"/>
      <c r="U62" s="448"/>
      <c r="V62" s="448"/>
      <c r="W62" s="448"/>
      <c r="X62" s="447" t="str">
        <f t="shared" si="6"/>
        <v/>
      </c>
      <c r="Y62" s="466">
        <v>-206</v>
      </c>
      <c r="Z62" s="533">
        <f>+X64</f>
        <v>0</v>
      </c>
      <c r="AA62" s="447">
        <f t="shared" si="7"/>
        <v>0</v>
      </c>
      <c r="AB62" s="343">
        <f>+AC62+AA62</f>
        <v>5811</v>
      </c>
      <c r="AC62" s="343">
        <v>5811</v>
      </c>
      <c r="AD62" s="344"/>
      <c r="AE62" s="345"/>
      <c r="AF62" s="346"/>
      <c r="AG62" s="347">
        <f t="shared" si="2"/>
        <v>0</v>
      </c>
      <c r="AH62" s="341">
        <f t="shared" si="3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0.9">
      <c r="B63" s="351">
        <v>13</v>
      </c>
      <c r="C63" s="406">
        <f>+B63</f>
        <v>13</v>
      </c>
      <c r="D63" s="407" t="s">
        <v>431</v>
      </c>
      <c r="E63" s="111"/>
      <c r="F63" s="111" t="s">
        <v>35</v>
      </c>
      <c r="G63" s="541" t="str">
        <f t="shared" ref="G63:G65" si="32">+G62</f>
        <v>2158-755-712</v>
      </c>
      <c r="H63" s="111"/>
      <c r="I63" s="111" t="s">
        <v>33</v>
      </c>
      <c r="J63" s="113">
        <v>51.42</v>
      </c>
      <c r="K63" s="130">
        <v>52</v>
      </c>
      <c r="L63" s="101" t="s">
        <v>17</v>
      </c>
      <c r="M63" s="214">
        <v>10</v>
      </c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123">
        <f>+IF(H64="s",0,IF(AA63=0,0,IF(COUNTA(M63:W63)=AK65+0.25,SUMIF($C:$C,B63,$AA:$AA)/AK65,SUMIF($C:$C,B63,$AA:$AA)/(COUNTA(M63:W63)))))</f>
        <v>0</v>
      </c>
      <c r="Y63" s="466"/>
      <c r="Z63" s="534"/>
      <c r="AA63" s="134">
        <f t="shared" si="7"/>
        <v>10</v>
      </c>
      <c r="AB63" s="354">
        <f>+AA63+AC63</f>
        <v>5811</v>
      </c>
      <c r="AC63" s="354">
        <v>5801</v>
      </c>
      <c r="AD63" s="355">
        <f>+AB62-AB63</f>
        <v>0</v>
      </c>
      <c r="AE63" s="131">
        <f>+IF(((AA64+(AA65/2))*60)=0,"",(J63*AA63)/((AA64+(AA65/2))*60))</f>
        <v>8.57</v>
      </c>
      <c r="AF63" s="347">
        <f>+AA64+AA65/2</f>
        <v>1</v>
      </c>
      <c r="AG63" s="347">
        <f t="shared" si="2"/>
        <v>1</v>
      </c>
      <c r="AH63" s="341">
        <f t="shared" si="3"/>
        <v>60</v>
      </c>
      <c r="AI63" s="341">
        <f>+AA63*J63</f>
        <v>514.20000000000005</v>
      </c>
      <c r="AJ63" s="356">
        <f>+AA63-(AF63*K63/K65)</f>
        <v>8.9803921568627452</v>
      </c>
      <c r="AK63" s="348"/>
      <c r="AL63" s="349"/>
      <c r="AM63" s="341"/>
      <c r="AN63" s="341"/>
      <c r="AO63" s="341"/>
      <c r="AP63" s="341"/>
      <c r="AQ63" s="339" t="str">
        <f t="shared" si="9"/>
        <v/>
      </c>
      <c r="AR63" s="434"/>
      <c r="AT63" s="390">
        <v>10</v>
      </c>
      <c r="AV63" s="390">
        <f t="shared" ref="AV63" si="33">+AT63-AD63</f>
        <v>10</v>
      </c>
    </row>
    <row r="64" spans="2:58" s="98" customFormat="1" ht="62.25" customHeight="1" x14ac:dyDescent="0.9">
      <c r="B64" s="357">
        <f>+B63</f>
        <v>13</v>
      </c>
      <c r="C64" s="408"/>
      <c r="D64" s="184"/>
      <c r="E64" s="111">
        <f>+B63</f>
        <v>13</v>
      </c>
      <c r="F64" s="412"/>
      <c r="G64" s="541" t="str">
        <f t="shared" si="32"/>
        <v>2158-755-712</v>
      </c>
      <c r="H64" s="411" t="s">
        <v>479</v>
      </c>
      <c r="I64" s="113">
        <f>+IFERROR(IF(K65=0,0,IF((LOOKUP(2,1/(M64:W64&lt;&gt;""),M64:W64)-K65)&lt;0,0,IF(K65=0,"",LOOKUP(2,1/(M64:W64&lt;&gt;""),M64:W64)-K65))),0)</f>
        <v>0</v>
      </c>
      <c r="J64" s="113">
        <v>1</v>
      </c>
      <c r="K64" s="114" t="s">
        <v>22</v>
      </c>
      <c r="L64" s="102" t="s">
        <v>18</v>
      </c>
      <c r="M64" s="448">
        <v>1</v>
      </c>
      <c r="N64" s="448"/>
      <c r="O64" s="448"/>
      <c r="P64" s="448"/>
      <c r="Q64" s="448"/>
      <c r="R64" s="448"/>
      <c r="S64" s="448"/>
      <c r="T64" s="448"/>
      <c r="U64" s="448"/>
      <c r="V64" s="448"/>
      <c r="W64" s="448"/>
      <c r="X64" s="160">
        <f>+IF(H64="l",IF(COUNTA(M63:W63)=AK65+0.25,AA63-K63*AK65,AA63-(K63*COUNTA(M63:W63))),IF(H64="s",0,IF(COUNTA(M63:W63)=AK65+0.25,SUMIF($C:$C,B63,$AA:$AA)-K63*AK65,SUMIF($C:$C,B63,$AA:$AA)-K63*COUNTA(M63:W63))))</f>
        <v>0</v>
      </c>
      <c r="Y64" s="466"/>
      <c r="Z64" s="534"/>
      <c r="AA64" s="462">
        <f t="shared" si="10"/>
        <v>1</v>
      </c>
      <c r="AB64" s="360"/>
      <c r="AC64" s="360"/>
      <c r="AD64" s="362"/>
      <c r="AE64" s="363"/>
      <c r="AF64" s="346"/>
      <c r="AG64" s="347">
        <f t="shared" si="2"/>
        <v>0</v>
      </c>
      <c r="AH64" s="341">
        <f t="shared" si="3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1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8" s="98" customFormat="1" ht="62.25" customHeight="1" thickBot="1" x14ac:dyDescent="0.95">
      <c r="B65" s="364">
        <f>+B63</f>
        <v>13</v>
      </c>
      <c r="C65" s="410"/>
      <c r="D65" s="174" t="s">
        <v>379</v>
      </c>
      <c r="E65" s="175">
        <f>+E64+100</f>
        <v>113</v>
      </c>
      <c r="F65" s="175"/>
      <c r="G65" s="542" t="str">
        <f t="shared" si="32"/>
        <v>2158-755-712</v>
      </c>
      <c r="H65" s="117"/>
      <c r="I65" s="442"/>
      <c r="J65" s="165">
        <f>+IF(K65="","",IF(K63=0,"",(K63*J63)/(K65*60)))</f>
        <v>0.87380392156862752</v>
      </c>
      <c r="K65" s="118">
        <v>51</v>
      </c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>
        <v>30.54</v>
      </c>
      <c r="Z65" s="365">
        <v>30.54</v>
      </c>
      <c r="AA65" s="465">
        <f t="shared" si="10"/>
        <v>0</v>
      </c>
      <c r="AB65" s="367"/>
      <c r="AC65" s="367"/>
      <c r="AD65" s="368">
        <f>+IFERROR(AD63/(K63*$AQ$3),"")</f>
        <v>0</v>
      </c>
      <c r="AE65" s="369"/>
      <c r="AF65" s="347"/>
      <c r="AG65" s="347">
        <f t="shared" si="2"/>
        <v>0</v>
      </c>
      <c r="AH65" s="341">
        <f t="shared" si="3"/>
        <v>0</v>
      </c>
      <c r="AI65" s="341"/>
      <c r="AJ65" s="356"/>
      <c r="AK65" s="370">
        <f>+$AJ$4</f>
        <v>8.75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>
        <v>2.197802197802198E-2</v>
      </c>
      <c r="AV65" s="390"/>
    </row>
    <row r="66" spans="2:58" s="98" customFormat="1" ht="62.25" customHeight="1" thickTop="1" x14ac:dyDescent="0.9">
      <c r="B66" s="342">
        <f>+B67</f>
        <v>13</v>
      </c>
      <c r="C66" s="405"/>
      <c r="D66" s="106"/>
      <c r="E66" s="106"/>
      <c r="F66" s="106"/>
      <c r="G66" s="539" t="s">
        <v>476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120</v>
      </c>
      <c r="N66" s="448">
        <v>120</v>
      </c>
      <c r="O66" s="448">
        <v>120</v>
      </c>
      <c r="P66" s="448"/>
      <c r="Q66" s="448"/>
      <c r="R66" s="448">
        <v>120</v>
      </c>
      <c r="S66" s="448"/>
      <c r="T66" s="448"/>
      <c r="U66" s="448"/>
      <c r="V66" s="448"/>
      <c r="W66" s="448"/>
      <c r="X66" s="447">
        <f t="shared" si="6"/>
        <v>480</v>
      </c>
      <c r="Y66" s="466">
        <v>-560</v>
      </c>
      <c r="Z66" s="533">
        <f>+X68</f>
        <v>-1540</v>
      </c>
      <c r="AA66" s="447">
        <f t="shared" si="7"/>
        <v>480</v>
      </c>
      <c r="AB66" s="343">
        <f>+AC66+AA66</f>
        <v>1200</v>
      </c>
      <c r="AC66" s="343">
        <v>720</v>
      </c>
      <c r="AD66" s="344"/>
      <c r="AE66" s="345"/>
      <c r="AF66" s="346"/>
      <c r="AG66" s="347">
        <f t="shared" si="2"/>
        <v>0</v>
      </c>
      <c r="AH66" s="341">
        <f t="shared" si="3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8" s="98" customFormat="1" ht="62.25" customHeight="1" x14ac:dyDescent="0.9">
      <c r="B67" s="351">
        <v>13</v>
      </c>
      <c r="C67" s="406">
        <f>+B67</f>
        <v>13</v>
      </c>
      <c r="D67" s="407" t="s">
        <v>474</v>
      </c>
      <c r="E67" s="111"/>
      <c r="F67" s="111" t="s">
        <v>475</v>
      </c>
      <c r="G67" s="539" t="str">
        <f t="shared" ref="G67:G69" si="34">+G66</f>
        <v>Cheristina-blanc</v>
      </c>
      <c r="H67" s="111"/>
      <c r="I67" s="111" t="s">
        <v>477</v>
      </c>
      <c r="J67" s="113">
        <v>21.04</v>
      </c>
      <c r="K67" s="130">
        <v>140</v>
      </c>
      <c r="L67" s="101" t="s">
        <v>17</v>
      </c>
      <c r="M67" s="214">
        <v>0</v>
      </c>
      <c r="N67" s="214">
        <v>0</v>
      </c>
      <c r="O67" s="214">
        <v>0</v>
      </c>
      <c r="P67" s="214">
        <v>0</v>
      </c>
      <c r="Q67" s="214">
        <v>0</v>
      </c>
      <c r="R67" s="214">
        <v>0</v>
      </c>
      <c r="S67" s="214">
        <v>0</v>
      </c>
      <c r="T67" s="214">
        <v>0</v>
      </c>
      <c r="U67" s="214">
        <v>0</v>
      </c>
      <c r="V67" s="214">
        <v>0</v>
      </c>
      <c r="W67" s="214">
        <v>0</v>
      </c>
      <c r="X67" s="123">
        <f>+IF(H68="s",0,IF(AA67=0,0,IF(COUNTA(M67:W67)=AK69+0.25,SUMIF($C:$C,B67,$AA:$AA)/AK69,SUMIF($C:$C,B67,$AA:$AA)/(COUNTA(M67:W67)))))</f>
        <v>0</v>
      </c>
      <c r="Y67" s="466"/>
      <c r="Z67" s="534"/>
      <c r="AA67" s="134">
        <f t="shared" si="7"/>
        <v>0</v>
      </c>
      <c r="AB67" s="354">
        <f>+AA67+AC67</f>
        <v>0</v>
      </c>
      <c r="AC67" s="354">
        <v>0</v>
      </c>
      <c r="AD67" s="355">
        <f>+AB66-AB67</f>
        <v>1200</v>
      </c>
      <c r="AE67" s="131">
        <f>+IF(((AA68+(AA69/2))*60)=0,"",(J67*AA67)/((AA68+(AA69/2))*60))</f>
        <v>0</v>
      </c>
      <c r="AF67" s="347">
        <f>+AA68+AA69/2</f>
        <v>519.5</v>
      </c>
      <c r="AG67" s="347">
        <f t="shared" si="2"/>
        <v>519.29999999999995</v>
      </c>
      <c r="AH67" s="341">
        <f t="shared" si="3"/>
        <v>31170</v>
      </c>
      <c r="AI67" s="341">
        <f>+AA67*J67</f>
        <v>0</v>
      </c>
      <c r="AJ67" s="356">
        <f>+AA67-(AF67*K67/K69)</f>
        <v>-1275.9649122807018</v>
      </c>
      <c r="AK67" s="348"/>
      <c r="AL67" s="349"/>
      <c r="AM67" s="341"/>
      <c r="AN67" s="341"/>
      <c r="AO67" s="341"/>
      <c r="AP67" s="341"/>
      <c r="AQ67" s="339">
        <f>-480+AA66</f>
        <v>0</v>
      </c>
      <c r="AR67" s="434">
        <v>1.48</v>
      </c>
      <c r="AT67" s="390">
        <v>720</v>
      </c>
      <c r="AV67" s="390">
        <f t="shared" ref="AV67" si="35">+AT67-AD67</f>
        <v>-480</v>
      </c>
    </row>
    <row r="68" spans="2:58" s="98" customFormat="1" ht="62.25" customHeight="1" x14ac:dyDescent="0.9">
      <c r="B68" s="357">
        <f>+B67</f>
        <v>13</v>
      </c>
      <c r="C68" s="408"/>
      <c r="D68" s="184"/>
      <c r="E68" s="111">
        <f>+B67</f>
        <v>13</v>
      </c>
      <c r="F68" s="409"/>
      <c r="G68" s="539" t="str">
        <f t="shared" si="34"/>
        <v>Cheristina-blanc</v>
      </c>
      <c r="H68" s="411" t="s">
        <v>413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48">
        <v>48</v>
      </c>
      <c r="N68" s="448">
        <v>50</v>
      </c>
      <c r="O68" s="448">
        <v>50</v>
      </c>
      <c r="P68" s="448">
        <v>50</v>
      </c>
      <c r="Q68" s="448">
        <v>50</v>
      </c>
      <c r="R68" s="448">
        <v>50</v>
      </c>
      <c r="S68" s="448">
        <v>50</v>
      </c>
      <c r="T68" s="448">
        <v>50</v>
      </c>
      <c r="U68" s="448">
        <v>50</v>
      </c>
      <c r="V68" s="448">
        <v>42</v>
      </c>
      <c r="W68" s="448">
        <v>42</v>
      </c>
      <c r="X68" s="160">
        <f>+IF(H68="l",IF(COUNTA(M67:W67)=AK69+0.25,AA67-K67*AK69,AA67-(K67*COUNTA(M67:W67))),IF(H68="s",0,IF(COUNTA(M67:W67)=AK69+0.25,SUMIF($C:$C,B67,$AA:$AA)-K67*AK69,SUMIF($C:$C,B67,$AA:$AA)-K67*COUNTA(M67:W67))))</f>
        <v>-1540</v>
      </c>
      <c r="Y68" s="466"/>
      <c r="Z68" s="534"/>
      <c r="AA68" s="462">
        <f t="shared" si="10"/>
        <v>519.5</v>
      </c>
      <c r="AB68" s="360"/>
      <c r="AC68" s="360"/>
      <c r="AD68" s="362"/>
      <c r="AE68" s="363"/>
      <c r="AF68" s="346"/>
      <c r="AG68" s="347">
        <f t="shared" si="2"/>
        <v>0</v>
      </c>
      <c r="AH68" s="341">
        <f t="shared" si="3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435.5</v>
      </c>
      <c r="AM68" s="341">
        <f>+AL68-AA68</f>
        <v>-84</v>
      </c>
      <c r="AN68" s="341"/>
      <c r="AO68" s="341"/>
      <c r="AP68" s="341"/>
      <c r="AQ68" s="438"/>
      <c r="AR68" s="434"/>
      <c r="AT68" s="390"/>
      <c r="AV68" s="390"/>
    </row>
    <row r="69" spans="2:58" s="98" customFormat="1" ht="62.25" customHeight="1" thickBot="1" x14ac:dyDescent="0.95">
      <c r="B69" s="364">
        <f>+B67</f>
        <v>13</v>
      </c>
      <c r="C69" s="410"/>
      <c r="D69" s="174" t="s">
        <v>379</v>
      </c>
      <c r="E69" s="175">
        <f>+E68+100</f>
        <v>113</v>
      </c>
      <c r="F69" s="175"/>
      <c r="G69" s="539" t="str">
        <f t="shared" si="34"/>
        <v>Cheristina-blanc</v>
      </c>
      <c r="H69" s="117"/>
      <c r="I69" s="442"/>
      <c r="J69" s="165">
        <f>+IF(K69="","",IF(K67=0,"",(K67*J67)/(K69*60)))</f>
        <v>0.86128654970760232</v>
      </c>
      <c r="K69" s="118">
        <v>57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>
        <v>3.7692999999999999</v>
      </c>
      <c r="Z69" s="371">
        <f>+IF(COUNTA(M67:W67)=$AJ$4+0.25,$AJ$4-(AA67/K67),COUNTA(M67:W67)-(AA67/K67))+Y69</f>
        <v>14.769299999999999</v>
      </c>
      <c r="AA69" s="465">
        <f t="shared" si="10"/>
        <v>0</v>
      </c>
      <c r="AB69" s="367"/>
      <c r="AC69" s="367"/>
      <c r="AD69" s="368">
        <f>+IFERROR(AD67/(K67*$AQ$3),"")</f>
        <v>0.97959183673469385</v>
      </c>
      <c r="AE69" s="369"/>
      <c r="AF69" s="347"/>
      <c r="AG69" s="347">
        <f t="shared" si="2"/>
        <v>0</v>
      </c>
      <c r="AH69" s="341">
        <f t="shared" si="3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0.58775510204081638</v>
      </c>
      <c r="AV69" s="390"/>
    </row>
    <row r="70" spans="2:58" s="98" customFormat="1" ht="58.5" customHeight="1" thickTop="1" x14ac:dyDescent="0.9">
      <c r="B70" s="373" t="str">
        <f>+B71</f>
        <v>14*</v>
      </c>
      <c r="C70" s="405"/>
      <c r="D70" s="106"/>
      <c r="E70" s="106"/>
      <c r="F70" s="106"/>
      <c r="G70" s="540" t="s">
        <v>429</v>
      </c>
      <c r="H70" s="106"/>
      <c r="I70" s="106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si="6"/>
        <v/>
      </c>
      <c r="Y70" s="466">
        <v>0</v>
      </c>
      <c r="Z70" s="533">
        <f>+X72</f>
        <v>0</v>
      </c>
      <c r="AA70" s="447">
        <f t="shared" si="7"/>
        <v>0</v>
      </c>
      <c r="AB70" s="343">
        <f>+AC70+AA70</f>
        <v>5850</v>
      </c>
      <c r="AC70" s="343">
        <v>5850</v>
      </c>
      <c r="AD70" s="344"/>
      <c r="AE70" s="345"/>
      <c r="AF70" s="346"/>
      <c r="AG70" s="347">
        <f t="shared" si="2"/>
        <v>0</v>
      </c>
      <c r="AH70" s="341">
        <f t="shared" si="3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8" s="98" customFormat="1" ht="58.5" customHeight="1" x14ac:dyDescent="0.9">
      <c r="B71" s="374" t="s">
        <v>491</v>
      </c>
      <c r="C71" s="406" t="str">
        <f>+B71</f>
        <v>14*</v>
      </c>
      <c r="D71" s="407" t="s">
        <v>427</v>
      </c>
      <c r="E71" s="111"/>
      <c r="F71" s="111" t="s">
        <v>428</v>
      </c>
      <c r="G71" s="541" t="str">
        <f t="shared" ref="G71:G73" si="36">+G70</f>
        <v>NEGRONI-202942</v>
      </c>
      <c r="H71" s="111"/>
      <c r="I71" s="111" t="s">
        <v>430</v>
      </c>
      <c r="J71" s="113">
        <v>48.06</v>
      </c>
      <c r="K71" s="471">
        <v>44</v>
      </c>
      <c r="L71" s="101" t="s">
        <v>17</v>
      </c>
      <c r="M71" s="214">
        <v>26</v>
      </c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123">
        <f>+IF(H72="s",0,IF(AA71=0,0,IF(COUNTA(M71:W71)=AK73+0.25,SUMIF($C:$C,B71,$AA:$AA)/AK73,SUMIF($C:$C,B71,$AA:$AA)/(COUNTA(M71:W71)))))</f>
        <v>0</v>
      </c>
      <c r="Y71" s="466"/>
      <c r="Z71" s="534"/>
      <c r="AA71" s="134">
        <f t="shared" si="7"/>
        <v>26</v>
      </c>
      <c r="AB71" s="354">
        <f>+AA71+AC71</f>
        <v>5844</v>
      </c>
      <c r="AC71" s="354">
        <v>5818</v>
      </c>
      <c r="AD71" s="355">
        <f>+AB70-AB71</f>
        <v>6</v>
      </c>
      <c r="AE71" s="131">
        <f>+IF(((AA72+(AA73/2))*60)=0,"",(J71*AA71)/((AA72+(AA73/2))*60))</f>
        <v>20.826000000000001</v>
      </c>
      <c r="AF71" s="347">
        <f>+AA72+AA73/2</f>
        <v>1</v>
      </c>
      <c r="AG71" s="347">
        <f t="shared" si="2"/>
        <v>1</v>
      </c>
      <c r="AH71" s="341">
        <f t="shared" si="3"/>
        <v>60</v>
      </c>
      <c r="AI71" s="341">
        <f>+AA71*J71</f>
        <v>1249.56</v>
      </c>
      <c r="AJ71" s="356">
        <f>+AA71-(AF71*K71/K73)</f>
        <v>25</v>
      </c>
      <c r="AK71" s="348"/>
      <c r="AL71" s="349"/>
      <c r="AM71" s="341"/>
      <c r="AN71" s="341"/>
      <c r="AO71" s="341"/>
      <c r="AP71" s="341"/>
      <c r="AQ71" s="339" t="str">
        <f t="shared" si="9"/>
        <v/>
      </c>
      <c r="AR71" s="434"/>
      <c r="AT71" s="390">
        <v>32</v>
      </c>
      <c r="AV71" s="390">
        <f t="shared" ref="AV71" si="37">+AT71-AD71</f>
        <v>26</v>
      </c>
    </row>
    <row r="72" spans="2:58" s="98" customFormat="1" ht="58.5" customHeight="1" x14ac:dyDescent="0.9">
      <c r="B72" s="357" t="str">
        <f>+B71</f>
        <v>14*</v>
      </c>
      <c r="C72" s="408"/>
      <c r="D72" s="184"/>
      <c r="E72" s="111" t="str">
        <f>+B71</f>
        <v>14*</v>
      </c>
      <c r="F72" s="409"/>
      <c r="G72" s="541" t="str">
        <f t="shared" si="36"/>
        <v>NEGRONI-202942</v>
      </c>
      <c r="H72" s="411" t="s">
        <v>414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48">
        <v>1</v>
      </c>
      <c r="N72" s="448"/>
      <c r="O72" s="448"/>
      <c r="P72" s="448"/>
      <c r="Q72" s="448"/>
      <c r="R72" s="448"/>
      <c r="S72" s="448"/>
      <c r="T72" s="448"/>
      <c r="U72" s="448"/>
      <c r="V72" s="448"/>
      <c r="W72" s="448"/>
      <c r="X72" s="160">
        <f>+IF(H72="l",IF(COUNTA(M71:W71)=AK73+0.25,AA71-K71*AK73,AA71-(K71*COUNTA(M71:W71))),IF(H72="s",0,IF(COUNTA(M71:W71)=AK73+0.25,SUMIF($C:$C,B71,$AA:$AA)-K71*AK73,SUMIF($C:$C,B71,$AA:$AA)-K71*COUNTA(M71:W71))))</f>
        <v>0</v>
      </c>
      <c r="Y72" s="466"/>
      <c r="Z72" s="534"/>
      <c r="AA72" s="462">
        <f t="shared" si="10"/>
        <v>1</v>
      </c>
      <c r="AB72" s="360"/>
      <c r="AC72" s="360"/>
      <c r="AD72" s="362"/>
      <c r="AE72" s="363"/>
      <c r="AF72" s="346"/>
      <c r="AG72" s="347">
        <f t="shared" si="2"/>
        <v>0</v>
      </c>
      <c r="AH72" s="341">
        <f t="shared" si="3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1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8" s="98" customFormat="1" ht="58.5" customHeight="1" thickBot="1" x14ac:dyDescent="0.95">
      <c r="B73" s="364" t="str">
        <f>+B71</f>
        <v>14*</v>
      </c>
      <c r="C73" s="410"/>
      <c r="D73" s="174" t="s">
        <v>112</v>
      </c>
      <c r="E73" s="175" t="e">
        <f>+E72+100</f>
        <v>#VALUE!</v>
      </c>
      <c r="F73" s="175"/>
      <c r="G73" s="542" t="str">
        <f t="shared" si="36"/>
        <v>NEGRONI-202942</v>
      </c>
      <c r="H73" s="117"/>
      <c r="I73" s="442"/>
      <c r="J73" s="165">
        <f>+IF(K73="","",IF(K71=0,"",(K71*J71)/(K73*60)))</f>
        <v>0.80100000000000016</v>
      </c>
      <c r="K73" s="471">
        <v>44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>
        <v>43.52</v>
      </c>
      <c r="Z73" s="365">
        <v>43.52</v>
      </c>
      <c r="AA73" s="465">
        <f t="shared" si="10"/>
        <v>0</v>
      </c>
      <c r="AB73" s="367"/>
      <c r="AC73" s="367"/>
      <c r="AD73" s="368">
        <f>+IFERROR(AD71/(K71*$AQ$3),"")</f>
        <v>1.5584415584415584E-2</v>
      </c>
      <c r="AE73" s="369"/>
      <c r="AF73" s="347"/>
      <c r="AG73" s="347">
        <f t="shared" si="2"/>
        <v>0</v>
      </c>
      <c r="AH73" s="341">
        <f t="shared" si="3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8.3116883116883117E-2</v>
      </c>
      <c r="AV73" s="390"/>
    </row>
    <row r="74" spans="2:58" s="98" customFormat="1" ht="58.5" customHeight="1" thickTop="1" x14ac:dyDescent="0.9">
      <c r="B74" s="373">
        <f>+B75</f>
        <v>14</v>
      </c>
      <c r="C74" s="405"/>
      <c r="D74" s="106"/>
      <c r="E74" s="106"/>
      <c r="F74" s="106"/>
      <c r="G74" s="540" t="s">
        <v>481</v>
      </c>
      <c r="H74" s="106"/>
      <c r="I74" s="106"/>
      <c r="J74" s="107" t="s">
        <v>20</v>
      </c>
      <c r="K74" s="108" t="s">
        <v>23</v>
      </c>
      <c r="L74" s="100" t="s">
        <v>21</v>
      </c>
      <c r="M74" s="448">
        <v>60</v>
      </c>
      <c r="N74" s="448">
        <v>60</v>
      </c>
      <c r="O74" s="448">
        <v>60</v>
      </c>
      <c r="P74" s="448">
        <v>120</v>
      </c>
      <c r="Q74" s="448">
        <v>60</v>
      </c>
      <c r="R74" s="448"/>
      <c r="S74" s="448"/>
      <c r="T74" s="448"/>
      <c r="U74" s="448"/>
      <c r="V74" s="448"/>
      <c r="W74" s="448"/>
      <c r="X74" s="447">
        <f t="shared" ref="X74:X90" si="38">IF(AQ75="","",SUM(M74:W74)-(-(AQ75-SUM(M74:W74))/$AQ$3)*SUM($M$2:$W$2))</f>
        <v>360</v>
      </c>
      <c r="Y74" s="466">
        <v>-155</v>
      </c>
      <c r="Z74" s="533">
        <f>+X76</f>
        <v>0</v>
      </c>
      <c r="AA74" s="447">
        <f t="shared" ref="AA74:AA91" si="39">+SUM(L74:W74)</f>
        <v>360</v>
      </c>
      <c r="AB74" s="343">
        <f>+AC74+AA74</f>
        <v>2040</v>
      </c>
      <c r="AC74" s="343">
        <v>1680</v>
      </c>
      <c r="AD74" s="344"/>
      <c r="AE74" s="345"/>
      <c r="AF74" s="346"/>
      <c r="AG74" s="347">
        <f t="shared" si="2"/>
        <v>0</v>
      </c>
      <c r="AH74" s="341">
        <f t="shared" si="3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8" s="98" customFormat="1" ht="58.5" customHeight="1" x14ac:dyDescent="0.9">
      <c r="B75" s="374">
        <v>14</v>
      </c>
      <c r="C75" s="406">
        <f>+B75</f>
        <v>14</v>
      </c>
      <c r="D75" s="407" t="s">
        <v>480</v>
      </c>
      <c r="E75" s="111"/>
      <c r="F75" s="111" t="s">
        <v>35</v>
      </c>
      <c r="G75" s="541" t="str">
        <f t="shared" ref="G75:G77" si="40">+G74</f>
        <v>2396-593-600</v>
      </c>
      <c r="H75" s="111"/>
      <c r="I75" s="111" t="s">
        <v>33</v>
      </c>
      <c r="J75" s="113">
        <v>38.82</v>
      </c>
      <c r="K75" s="130">
        <v>60</v>
      </c>
      <c r="L75" s="101" t="s">
        <v>17</v>
      </c>
      <c r="M75" s="214">
        <v>60</v>
      </c>
      <c r="N75" s="214">
        <v>60</v>
      </c>
      <c r="O75" s="214">
        <v>60</v>
      </c>
      <c r="P75" s="214">
        <v>60</v>
      </c>
      <c r="Q75" s="214">
        <v>60</v>
      </c>
      <c r="R75" s="214">
        <v>60</v>
      </c>
      <c r="S75" s="214">
        <v>46</v>
      </c>
      <c r="T75" s="214">
        <v>60</v>
      </c>
      <c r="U75" s="214">
        <v>59</v>
      </c>
      <c r="V75" s="214"/>
      <c r="W75" s="214"/>
      <c r="X75" s="123">
        <f>+IF(H76="s",0,IF(AA75=0,0,IF(COUNTA(M75:W75)=AK77+0.25,SUMIF($C:$C,B75,$AA:$AA)/AK77,SUMIF($C:$C,B75,$AA:$AA)/(COUNTA(M75:W75)))))</f>
        <v>60</v>
      </c>
      <c r="Y75" s="466"/>
      <c r="Z75" s="534"/>
      <c r="AA75" s="134">
        <f t="shared" si="39"/>
        <v>525</v>
      </c>
      <c r="AB75" s="354">
        <f>+AA75+AC75</f>
        <v>1055</v>
      </c>
      <c r="AC75" s="354">
        <v>530</v>
      </c>
      <c r="AD75" s="355">
        <f>+AB74-AB75</f>
        <v>985</v>
      </c>
      <c r="AE75" s="131">
        <f>+IF(((AA76+(AA77/2))*60)=0,"",(J75*AA75)/((AA76+(AA77/2))*60))</f>
        <v>0.9158746208291203</v>
      </c>
      <c r="AF75" s="347">
        <f>+AA76+AA77/2</f>
        <v>370.875</v>
      </c>
      <c r="AG75" s="347">
        <f t="shared" si="2"/>
        <v>370.52499999999998</v>
      </c>
      <c r="AH75" s="341">
        <f t="shared" si="3"/>
        <v>22252.5</v>
      </c>
      <c r="AI75" s="341">
        <f>+AA75*J75</f>
        <v>20380.5</v>
      </c>
      <c r="AJ75" s="356">
        <f>+AA75-(AF75*K75/K77)</f>
        <v>7.5</v>
      </c>
      <c r="AK75" s="348"/>
      <c r="AL75" s="349"/>
      <c r="AM75" s="341"/>
      <c r="AN75" s="341"/>
      <c r="AO75" s="341"/>
      <c r="AP75" s="341"/>
      <c r="AQ75" s="339">
        <f>-360+AA74</f>
        <v>0</v>
      </c>
      <c r="AR75" s="434">
        <v>1.5</v>
      </c>
      <c r="AT75" s="390">
        <v>1150</v>
      </c>
      <c r="AV75" s="390">
        <f t="shared" ref="AV75" si="41">+AT75-AD75</f>
        <v>165</v>
      </c>
    </row>
    <row r="76" spans="2:58" s="98" customFormat="1" ht="58.5" customHeight="1" x14ac:dyDescent="0.9">
      <c r="B76" s="357">
        <f>+B75</f>
        <v>14</v>
      </c>
      <c r="C76" s="408"/>
      <c r="D76" s="184"/>
      <c r="E76" s="111">
        <f>+B75</f>
        <v>14</v>
      </c>
      <c r="F76" s="409"/>
      <c r="G76" s="541" t="str">
        <f t="shared" si="40"/>
        <v>2396-593-600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>
        <v>1</v>
      </c>
      <c r="K76" s="114" t="s">
        <v>22</v>
      </c>
      <c r="L76" s="102" t="s">
        <v>18</v>
      </c>
      <c r="M76" s="448">
        <v>40</v>
      </c>
      <c r="N76" s="448">
        <v>41</v>
      </c>
      <c r="O76" s="448">
        <v>41</v>
      </c>
      <c r="P76" s="448">
        <v>41</v>
      </c>
      <c r="Q76" s="448">
        <v>41</v>
      </c>
      <c r="R76" s="448">
        <v>41</v>
      </c>
      <c r="S76" s="448">
        <v>41</v>
      </c>
      <c r="T76" s="448">
        <v>41</v>
      </c>
      <c r="U76" s="448">
        <v>41</v>
      </c>
      <c r="V76" s="448"/>
      <c r="W76" s="448"/>
      <c r="X76" s="160">
        <f>+IF(H76="l",IF(COUNTA(M75:W75)=AK77+0.25,AA75-K75*AK77,AA75-(K75*COUNTA(M75:W75))),IF(H76="s",0,IF(COUNTA(M75:W75)=AK77+0.25,SUMIF($C:$C,B75,$AA:$AA)-K75*AK77,SUMIF($C:$C,B75,$AA:$AA)-K75*COUNTA(M75:W75))))</f>
        <v>0</v>
      </c>
      <c r="Y76" s="466"/>
      <c r="Z76" s="534"/>
      <c r="AA76" s="462">
        <f t="shared" ref="AA76:AA93" si="42">+SUM(M76:W76)-U76*0.25</f>
        <v>357.75</v>
      </c>
      <c r="AB76" s="360"/>
      <c r="AC76" s="360"/>
      <c r="AD76" s="362"/>
      <c r="AE76" s="363"/>
      <c r="AF76" s="346"/>
      <c r="AG76" s="347">
        <f t="shared" si="2"/>
        <v>0</v>
      </c>
      <c r="AH76" s="341">
        <f t="shared" si="3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357.75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8" s="98" customFormat="1" ht="58.5" customHeight="1" thickBot="1" x14ac:dyDescent="0.95">
      <c r="B77" s="364">
        <f>+B75</f>
        <v>14</v>
      </c>
      <c r="C77" s="410"/>
      <c r="D77" s="174" t="s">
        <v>112</v>
      </c>
      <c r="E77" s="175">
        <f>+E76+100</f>
        <v>114</v>
      </c>
      <c r="F77" s="175"/>
      <c r="G77" s="542" t="str">
        <f t="shared" si="40"/>
        <v>2396-593-600</v>
      </c>
      <c r="H77" s="117"/>
      <c r="I77" s="442"/>
      <c r="J77" s="165">
        <f>+IF(K77="","",IF(K75=0,"",(K75*J75)/(K77*60)))</f>
        <v>0.90279069767441855</v>
      </c>
      <c r="K77" s="118">
        <v>43</v>
      </c>
      <c r="L77" s="104" t="s">
        <v>19</v>
      </c>
      <c r="M77" s="216">
        <v>3</v>
      </c>
      <c r="N77" s="216">
        <v>3</v>
      </c>
      <c r="O77" s="216">
        <v>3</v>
      </c>
      <c r="P77" s="216">
        <v>3</v>
      </c>
      <c r="Q77" s="216">
        <v>3</v>
      </c>
      <c r="R77" s="216">
        <v>3</v>
      </c>
      <c r="S77" s="216">
        <v>3</v>
      </c>
      <c r="T77" s="216">
        <v>3</v>
      </c>
      <c r="U77" s="216">
        <v>3</v>
      </c>
      <c r="V77" s="216"/>
      <c r="W77" s="216"/>
      <c r="X77" s="173"/>
      <c r="Y77" s="467">
        <v>10.166666666666668</v>
      </c>
      <c r="Z77" s="371">
        <f>+IF(COUNTA(M75:W75)=$AJ$4+0.25,$AJ$4-(AA75/K75),COUNTA(M75:W75)-(AA75/K75))+Y77</f>
        <v>10.166666666666668</v>
      </c>
      <c r="AA77" s="465">
        <f t="shared" si="42"/>
        <v>26.25</v>
      </c>
      <c r="AB77" s="367"/>
      <c r="AC77" s="367"/>
      <c r="AD77" s="368">
        <f>+IFERROR(AD75/(K75*$AQ$3),"")</f>
        <v>1.8761904761904762</v>
      </c>
      <c r="AE77" s="369"/>
      <c r="AF77" s="347"/>
      <c r="AG77" s="347">
        <f t="shared" si="2"/>
        <v>0</v>
      </c>
      <c r="AH77" s="341">
        <f t="shared" si="3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26.25</v>
      </c>
      <c r="AM77" s="341">
        <f>+AL77-AA77</f>
        <v>0</v>
      </c>
      <c r="AN77" s="341"/>
      <c r="AO77" s="341"/>
      <c r="AP77" s="341"/>
      <c r="AQ77" s="369"/>
      <c r="AR77" s="434"/>
      <c r="AT77" s="390">
        <v>2.1904761904761907</v>
      </c>
      <c r="AV77" s="390"/>
    </row>
    <row r="78" spans="2:58" s="98" customFormat="1" ht="62.25" customHeight="1" thickTop="1" x14ac:dyDescent="0.9">
      <c r="B78" s="342">
        <f>+B79</f>
        <v>15</v>
      </c>
      <c r="C78" s="405"/>
      <c r="D78" s="106"/>
      <c r="E78" s="106"/>
      <c r="F78" s="106"/>
      <c r="G78" s="540" t="s">
        <v>486</v>
      </c>
      <c r="H78" s="106"/>
      <c r="I78" s="106"/>
      <c r="J78" s="107" t="s">
        <v>20</v>
      </c>
      <c r="K78" s="108" t="s">
        <v>23</v>
      </c>
      <c r="L78" s="100" t="s">
        <v>21</v>
      </c>
      <c r="M78" s="448">
        <v>70</v>
      </c>
      <c r="N78" s="448">
        <v>70</v>
      </c>
      <c r="O78" s="448">
        <v>140</v>
      </c>
      <c r="P78" s="448">
        <v>140</v>
      </c>
      <c r="Q78" s="448">
        <v>140</v>
      </c>
      <c r="R78" s="448"/>
      <c r="S78" s="448"/>
      <c r="T78" s="448"/>
      <c r="U78" s="448"/>
      <c r="V78" s="448"/>
      <c r="W78" s="448"/>
      <c r="X78" s="447">
        <f t="shared" si="38"/>
        <v>560</v>
      </c>
      <c r="Y78" s="466">
        <v>0</v>
      </c>
      <c r="Z78" s="533">
        <f>+X80</f>
        <v>-875</v>
      </c>
      <c r="AA78" s="447">
        <f t="shared" si="39"/>
        <v>560</v>
      </c>
      <c r="AB78" s="343">
        <f>+AC78+AA78</f>
        <v>1253</v>
      </c>
      <c r="AC78" s="343">
        <v>693</v>
      </c>
      <c r="AD78" s="344"/>
      <c r="AE78" s="345"/>
      <c r="AF78" s="346"/>
      <c r="AG78" s="347">
        <f t="shared" si="2"/>
        <v>0</v>
      </c>
      <c r="AH78" s="341">
        <f t="shared" si="3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8" s="98" customFormat="1" ht="62.25" customHeight="1" x14ac:dyDescent="1.35">
      <c r="B79" s="351">
        <v>15</v>
      </c>
      <c r="C79" s="406">
        <f>+B79</f>
        <v>15</v>
      </c>
      <c r="D79" s="407" t="s">
        <v>485</v>
      </c>
      <c r="E79" s="111"/>
      <c r="F79" s="111" t="s">
        <v>475</v>
      </c>
      <c r="G79" s="541" t="str">
        <f>+G78</f>
        <v>SARAH</v>
      </c>
      <c r="H79" s="111"/>
      <c r="I79" s="111" t="s">
        <v>487</v>
      </c>
      <c r="J79" s="113">
        <v>27.55</v>
      </c>
      <c r="K79" s="130">
        <v>100</v>
      </c>
      <c r="L79" s="101" t="s">
        <v>17</v>
      </c>
      <c r="M79" s="214">
        <v>0</v>
      </c>
      <c r="N79" s="214">
        <v>0</v>
      </c>
      <c r="O79" s="214">
        <v>0</v>
      </c>
      <c r="P79" s="214">
        <v>0</v>
      </c>
      <c r="Q79" s="214">
        <v>0</v>
      </c>
      <c r="R79" s="214">
        <v>0</v>
      </c>
      <c r="S79" s="214">
        <v>0</v>
      </c>
      <c r="T79" s="214">
        <v>0</v>
      </c>
      <c r="U79" s="214">
        <v>0</v>
      </c>
      <c r="V79" s="214"/>
      <c r="W79" s="214"/>
      <c r="X79" s="123">
        <f>+IF(H80="s",0,IF(AA79=0,0,IF(COUNTA(M79:W79)=AK81+0.25,SUMIF($C:$C,B79,$AA:$AA)/AK81,SUMIF($C:$C,B79,$AA:$AA)/(COUNTA(M79:W79)))))</f>
        <v>0</v>
      </c>
      <c r="Y79" s="466"/>
      <c r="Z79" s="534"/>
      <c r="AA79" s="134">
        <f t="shared" si="39"/>
        <v>0</v>
      </c>
      <c r="AB79" s="354">
        <f>+AA79+AC79</f>
        <v>0</v>
      </c>
      <c r="AC79" s="354">
        <v>0</v>
      </c>
      <c r="AD79" s="355">
        <f>+AB78-AB79</f>
        <v>1253</v>
      </c>
      <c r="AE79" s="131">
        <f>+IF(((AA80+(AA81/2))*60)=0,"",(J79*AA79)/((AA80+(AA81/2))*60))</f>
        <v>0</v>
      </c>
      <c r="AF79" s="347">
        <f>+AA80+AA81/2</f>
        <v>436.25</v>
      </c>
      <c r="AG79" s="347">
        <f t="shared" si="2"/>
        <v>436.15</v>
      </c>
      <c r="AH79" s="341">
        <f t="shared" si="3"/>
        <v>26175</v>
      </c>
      <c r="AI79" s="341">
        <f>+AA79*J79</f>
        <v>0</v>
      </c>
      <c r="AJ79" s="356">
        <f>+AA79-(AF79*K79/K81)</f>
        <v>-793.18181818181813</v>
      </c>
      <c r="AK79" s="348"/>
      <c r="AL79" s="349"/>
      <c r="AM79" s="341"/>
      <c r="AN79" s="341"/>
      <c r="AO79" s="341"/>
      <c r="AP79" s="341"/>
      <c r="AQ79" s="339">
        <f>-560+AA78</f>
        <v>0</v>
      </c>
      <c r="AR79" s="434">
        <v>1.5</v>
      </c>
      <c r="AT79" s="390">
        <v>693</v>
      </c>
      <c r="AV79" s="390">
        <f t="shared" ref="AV79" si="43">+AT79-AD79</f>
        <v>-560</v>
      </c>
      <c r="AW79" s="535"/>
      <c r="AX79" s="535"/>
      <c r="AY79" s="535"/>
      <c r="AZ79" s="535"/>
      <c r="BA79" s="535"/>
      <c r="BB79" s="535"/>
      <c r="BC79" s="535"/>
      <c r="BD79" s="535"/>
      <c r="BE79" s="535"/>
      <c r="BF79" s="535"/>
    </row>
    <row r="80" spans="2:58" s="98" customFormat="1" ht="62.25" customHeight="1" x14ac:dyDescent="0.9">
      <c r="B80" s="357">
        <f>+B79</f>
        <v>15</v>
      </c>
      <c r="C80" s="408"/>
      <c r="D80" s="184"/>
      <c r="E80" s="111">
        <f>+B79</f>
        <v>15</v>
      </c>
      <c r="F80" s="412"/>
      <c r="G80" s="541" t="str">
        <f>+G78</f>
        <v>SARAH</v>
      </c>
      <c r="H80" s="411" t="s">
        <v>412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48">
        <v>48</v>
      </c>
      <c r="N80" s="448">
        <v>48</v>
      </c>
      <c r="O80" s="448">
        <v>48</v>
      </c>
      <c r="P80" s="448">
        <v>48</v>
      </c>
      <c r="Q80" s="448">
        <v>48</v>
      </c>
      <c r="R80" s="448">
        <v>50</v>
      </c>
      <c r="S80" s="448">
        <v>50</v>
      </c>
      <c r="T80" s="448">
        <v>50</v>
      </c>
      <c r="U80" s="448">
        <v>50</v>
      </c>
      <c r="V80" s="448"/>
      <c r="W80" s="448"/>
      <c r="X80" s="160">
        <f>+IF(H80="l",IF(COUNTA(M79:W79)=AK81+0.25,AA79-K79*AK81,AA79-(K79*COUNTA(M79:W79))),IF(H80="s",0,IF(COUNTA(M79:W79)=AK81+0.25,SUMIF($C:$C,B79,$AA:$AA)-K79*AK81,SUMIF($C:$C,B79,$AA:$AA)-K79*COUNTA(M79:W79))))</f>
        <v>-875</v>
      </c>
      <c r="Y80" s="466"/>
      <c r="Z80" s="534"/>
      <c r="AA80" s="462">
        <f t="shared" si="42"/>
        <v>427.5</v>
      </c>
      <c r="AB80" s="360"/>
      <c r="AC80" s="360"/>
      <c r="AD80" s="362"/>
      <c r="AE80" s="363"/>
      <c r="AF80" s="346"/>
      <c r="AG80" s="347">
        <f t="shared" si="2"/>
        <v>0</v>
      </c>
      <c r="AH80" s="341">
        <f t="shared" si="3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427.5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59" s="98" customFormat="1" ht="62.25" customHeight="1" thickBot="1" x14ac:dyDescent="0.95">
      <c r="B81" s="364">
        <f>+B79</f>
        <v>15</v>
      </c>
      <c r="C81" s="410"/>
      <c r="D81" s="174" t="s">
        <v>93</v>
      </c>
      <c r="E81" s="175">
        <f>+E80+100</f>
        <v>115</v>
      </c>
      <c r="F81" s="175"/>
      <c r="G81" s="542" t="str">
        <f>+G78</f>
        <v>SARAH</v>
      </c>
      <c r="H81" s="117"/>
      <c r="I81" s="442"/>
      <c r="J81" s="165">
        <f>+IF(K81="","",IF(K79=0,"",(K79*J79)/(K81*60)))</f>
        <v>0.83484848484848484</v>
      </c>
      <c r="K81" s="118">
        <v>55</v>
      </c>
      <c r="L81" s="104" t="s">
        <v>19</v>
      </c>
      <c r="M81" s="216">
        <v>2</v>
      </c>
      <c r="N81" s="216">
        <v>2</v>
      </c>
      <c r="O81" s="216">
        <v>2</v>
      </c>
      <c r="P81" s="216">
        <v>2</v>
      </c>
      <c r="Q81" s="216">
        <v>2</v>
      </c>
      <c r="R81" s="216">
        <v>2</v>
      </c>
      <c r="S81" s="216">
        <v>2</v>
      </c>
      <c r="T81" s="216">
        <v>2</v>
      </c>
      <c r="U81" s="216">
        <v>2</v>
      </c>
      <c r="V81" s="216"/>
      <c r="W81" s="216"/>
      <c r="X81" s="173"/>
      <c r="Y81" s="467">
        <v>3.7328000000000001</v>
      </c>
      <c r="Z81" s="371">
        <f>+IF(COUNTA(M79:W79)=$AJ$4+0.25,$AJ$4-(AA79/K79),COUNTA(M79:W79)-(AA79/K79))+Y81</f>
        <v>12.482800000000001</v>
      </c>
      <c r="AA81" s="465">
        <f t="shared" si="42"/>
        <v>17.5</v>
      </c>
      <c r="AB81" s="367"/>
      <c r="AC81" s="367"/>
      <c r="AD81" s="368">
        <f>+IFERROR(AD79/(K79*$AQ$3),"")</f>
        <v>1.4319999999999999</v>
      </c>
      <c r="AE81" s="369"/>
      <c r="AF81" s="347"/>
      <c r="AG81" s="347">
        <f t="shared" si="2"/>
        <v>0</v>
      </c>
      <c r="AH81" s="341">
        <f t="shared" si="3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17.5</v>
      </c>
      <c r="AM81" s="341">
        <f>+AL81-AA81</f>
        <v>0</v>
      </c>
      <c r="AN81" s="341"/>
      <c r="AO81" s="341"/>
      <c r="AP81" s="341"/>
      <c r="AQ81" s="369"/>
      <c r="AR81" s="434"/>
      <c r="AT81" s="390">
        <v>0.79200000000000004</v>
      </c>
      <c r="AV81" s="390"/>
    </row>
    <row r="82" spans="2:59" s="98" customFormat="1" ht="62.25" customHeight="1" thickTop="1" x14ac:dyDescent="0.9">
      <c r="B82" s="373">
        <f>+B83</f>
        <v>16</v>
      </c>
      <c r="C82" s="405"/>
      <c r="D82" s="106"/>
      <c r="E82" s="106"/>
      <c r="F82" s="106"/>
      <c r="G82" s="540" t="s">
        <v>476</v>
      </c>
      <c r="H82" s="106"/>
      <c r="I82" s="106"/>
      <c r="J82" s="107" t="s">
        <v>20</v>
      </c>
      <c r="K82" s="108" t="s">
        <v>23</v>
      </c>
      <c r="L82" s="100" t="s">
        <v>21</v>
      </c>
      <c r="M82" s="448">
        <v>120</v>
      </c>
      <c r="N82" s="448">
        <v>120</v>
      </c>
      <c r="O82" s="448">
        <v>120</v>
      </c>
      <c r="P82" s="448">
        <v>120</v>
      </c>
      <c r="Q82" s="448">
        <v>120</v>
      </c>
      <c r="R82" s="448">
        <v>120</v>
      </c>
      <c r="S82" s="448">
        <v>120</v>
      </c>
      <c r="T82" s="448">
        <v>120</v>
      </c>
      <c r="U82" s="448"/>
      <c r="V82" s="448"/>
      <c r="W82" s="448"/>
      <c r="X82" s="447">
        <f t="shared" si="38"/>
        <v>960</v>
      </c>
      <c r="Y82" s="466">
        <v>-512</v>
      </c>
      <c r="Z82" s="533">
        <f>+X84</f>
        <v>-622</v>
      </c>
      <c r="AA82" s="447">
        <f t="shared" si="39"/>
        <v>960</v>
      </c>
      <c r="AB82" s="343">
        <f>+AC82+AA82</f>
        <v>4560</v>
      </c>
      <c r="AC82" s="343">
        <v>3600</v>
      </c>
      <c r="AD82" s="344"/>
      <c r="AE82" s="345"/>
      <c r="AF82" s="346"/>
      <c r="AG82" s="347">
        <f t="shared" si="2"/>
        <v>0</v>
      </c>
      <c r="AH82" s="341">
        <f t="shared" si="3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59" s="98" customFormat="1" ht="62.25" customHeight="1" x14ac:dyDescent="0.9">
      <c r="B83" s="374">
        <v>16</v>
      </c>
      <c r="C83" s="406">
        <f>+B83</f>
        <v>16</v>
      </c>
      <c r="D83" s="407" t="s">
        <v>474</v>
      </c>
      <c r="E83" s="111"/>
      <c r="F83" s="111" t="s">
        <v>475</v>
      </c>
      <c r="G83" s="541" t="str">
        <f t="shared" ref="G83:G85" si="44">+G82</f>
        <v>Cheristina-blanc</v>
      </c>
      <c r="H83" s="111"/>
      <c r="I83" s="111" t="s">
        <v>477</v>
      </c>
      <c r="J83" s="113">
        <v>21.04</v>
      </c>
      <c r="K83" s="130">
        <v>140</v>
      </c>
      <c r="L83" s="101" t="s">
        <v>17</v>
      </c>
      <c r="M83" s="214">
        <v>80</v>
      </c>
      <c r="N83" s="214">
        <v>90</v>
      </c>
      <c r="O83" s="214">
        <v>90</v>
      </c>
      <c r="P83" s="214">
        <v>48</v>
      </c>
      <c r="Q83" s="214">
        <v>100</v>
      </c>
      <c r="R83" s="214">
        <v>70</v>
      </c>
      <c r="S83" s="214">
        <v>100</v>
      </c>
      <c r="T83" s="214">
        <v>100</v>
      </c>
      <c r="U83" s="214">
        <v>80</v>
      </c>
      <c r="V83" s="214">
        <v>80</v>
      </c>
      <c r="W83" s="214">
        <v>80</v>
      </c>
      <c r="X83" s="123">
        <f>+IF(H84="s",0,IF(AA83=0,0,IF(COUNTA(M83:W83)=AK85+0.25,SUMIF($C:$C,B83,$AA:$AA)/AK85,SUMIF($C:$C,B83,$AA:$AA)/(COUNTA(M83:W83)))))</f>
        <v>83.454545454545453</v>
      </c>
      <c r="Y83" s="466"/>
      <c r="Z83" s="534"/>
      <c r="AA83" s="134">
        <f t="shared" si="39"/>
        <v>918</v>
      </c>
      <c r="AB83" s="354">
        <f>+AA83+AC83</f>
        <v>2996</v>
      </c>
      <c r="AC83" s="354">
        <v>2078</v>
      </c>
      <c r="AD83" s="355">
        <f>+AB82-AB83</f>
        <v>1564</v>
      </c>
      <c r="AE83" s="131">
        <f>+IF(((AA84+(AA85/2))*60)=0,"",(J83*AA83)/((AA84+(AA85/2))*60))</f>
        <v>0.52535618115055072</v>
      </c>
      <c r="AF83" s="347">
        <f>+AA84+AA85/2</f>
        <v>612.75</v>
      </c>
      <c r="AG83" s="347">
        <f t="shared" si="2"/>
        <v>612.45000000000005</v>
      </c>
      <c r="AH83" s="341">
        <f t="shared" si="3"/>
        <v>36765</v>
      </c>
      <c r="AI83" s="341">
        <f>+AA83*J83</f>
        <v>19314.719999999998</v>
      </c>
      <c r="AJ83" s="356">
        <f>+AA83-(AF83*K83/K85)</f>
        <v>-587</v>
      </c>
      <c r="AK83" s="348"/>
      <c r="AL83" s="349"/>
      <c r="AM83" s="341"/>
      <c r="AN83" s="341"/>
      <c r="AO83" s="341"/>
      <c r="AP83" s="341"/>
      <c r="AQ83" s="339">
        <f>-960+AA82</f>
        <v>0</v>
      </c>
      <c r="AR83" s="434">
        <v>1.5</v>
      </c>
      <c r="AT83" s="390">
        <v>1522</v>
      </c>
      <c r="AV83" s="390">
        <f t="shared" ref="AV83" si="45">+AT83-AD83</f>
        <v>-42</v>
      </c>
      <c r="AW83" s="536"/>
      <c r="AX83" s="536"/>
      <c r="AY83" s="536"/>
      <c r="AZ83" s="536"/>
      <c r="BA83" s="536"/>
      <c r="BB83" s="536"/>
      <c r="BC83" s="536"/>
      <c r="BD83" s="536"/>
      <c r="BE83" s="536"/>
      <c r="BF83" s="536"/>
      <c r="BG83" s="536"/>
    </row>
    <row r="84" spans="2:59" s="98" customFormat="1" ht="62.25" customHeight="1" x14ac:dyDescent="0.9">
      <c r="B84" s="357">
        <f>+B83</f>
        <v>16</v>
      </c>
      <c r="C84" s="408"/>
      <c r="D84" s="184"/>
      <c r="E84" s="111">
        <f>+B83</f>
        <v>16</v>
      </c>
      <c r="F84" s="409"/>
      <c r="G84" s="541" t="str">
        <f t="shared" si="44"/>
        <v>Cheristina-blanc</v>
      </c>
      <c r="H84" s="411" t="s">
        <v>413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48">
        <v>57</v>
      </c>
      <c r="N84" s="448">
        <v>57</v>
      </c>
      <c r="O84" s="448">
        <v>57</v>
      </c>
      <c r="P84" s="448">
        <v>57</v>
      </c>
      <c r="Q84" s="448">
        <v>57</v>
      </c>
      <c r="R84" s="448">
        <v>57</v>
      </c>
      <c r="S84" s="448">
        <v>57</v>
      </c>
      <c r="T84" s="448">
        <v>57</v>
      </c>
      <c r="U84" s="448">
        <v>57</v>
      </c>
      <c r="V84" s="448">
        <v>57</v>
      </c>
      <c r="W84" s="448">
        <v>57</v>
      </c>
      <c r="X84" s="160">
        <f>+IF(H84="l",IF(COUNTA(M83:W83)=AK85+0.25,AA83-K83*AK85,AA83-(K83*COUNTA(M83:W83))),IF(H84="s",0,IF(COUNTA(M83:W83)=AK85+0.25,SUMIF($C:$C,B83,$AA:$AA)-K83*AK85,SUMIF($C:$C,B83,$AA:$AA)-K83*COUNTA(M83:W83))))</f>
        <v>-622</v>
      </c>
      <c r="Y84" s="466"/>
      <c r="Z84" s="534"/>
      <c r="AA84" s="462">
        <f t="shared" si="42"/>
        <v>612.75</v>
      </c>
      <c r="AB84" s="360"/>
      <c r="AC84" s="360"/>
      <c r="AD84" s="362"/>
      <c r="AE84" s="363"/>
      <c r="AF84" s="346"/>
      <c r="AG84" s="347">
        <f t="shared" si="2"/>
        <v>0</v>
      </c>
      <c r="AH84" s="341">
        <f t="shared" si="3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498.75</v>
      </c>
      <c r="AM84" s="341">
        <f>+AL84-AA84</f>
        <v>-114</v>
      </c>
      <c r="AN84" s="341"/>
      <c r="AO84" s="341"/>
      <c r="AP84" s="341"/>
      <c r="AQ84" s="438"/>
      <c r="AR84" s="434"/>
      <c r="AT84" s="390"/>
      <c r="AV84" s="390"/>
    </row>
    <row r="85" spans="2:59" s="98" customFormat="1" ht="62.25" customHeight="1" thickBot="1" x14ac:dyDescent="0.95">
      <c r="B85" s="375">
        <f>+B83</f>
        <v>16</v>
      </c>
      <c r="C85" s="410"/>
      <c r="D85" s="413" t="s">
        <v>152</v>
      </c>
      <c r="E85" s="175">
        <f>+E84+100</f>
        <v>116</v>
      </c>
      <c r="F85" s="175"/>
      <c r="G85" s="542" t="str">
        <f t="shared" si="44"/>
        <v>Cheristina-blanc</v>
      </c>
      <c r="H85" s="117"/>
      <c r="I85" s="442"/>
      <c r="J85" s="165">
        <f>+IF(K85="","",IF(K83=0,"",(K83*J83)/(K85*60)))</f>
        <v>0.86128654970760232</v>
      </c>
      <c r="K85" s="118">
        <v>57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>
        <v>36.159999999999997</v>
      </c>
      <c r="Z85" s="371">
        <f>+IF(COUNTA(M83:W83)=$AJ$4+0.25,$AJ$4-(AA83/K83),COUNTA(M83:W83)-(AA83/K83))+Y85</f>
        <v>40.60285714285714</v>
      </c>
      <c r="AA85" s="465">
        <f t="shared" si="42"/>
        <v>0</v>
      </c>
      <c r="AB85" s="367"/>
      <c r="AC85" s="367"/>
      <c r="AD85" s="368">
        <f>+IFERROR(AD83/(K83*$AQ$3),"")</f>
        <v>1.276734693877551</v>
      </c>
      <c r="AE85" s="369"/>
      <c r="AF85" s="347"/>
      <c r="AG85" s="347">
        <f t="shared" si="2"/>
        <v>0</v>
      </c>
      <c r="AH85" s="341">
        <f t="shared" si="3"/>
        <v>0</v>
      </c>
      <c r="AI85" s="341"/>
      <c r="AJ85" s="356"/>
      <c r="AK85" s="370">
        <f>+$AJ$4</f>
        <v>8.75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1.2424489795918368</v>
      </c>
      <c r="AV85" s="390"/>
    </row>
    <row r="86" spans="2:59" s="98" customFormat="1" ht="62.25" customHeight="1" thickTop="1" x14ac:dyDescent="0.9">
      <c r="B86" s="342">
        <f>+B87</f>
        <v>17</v>
      </c>
      <c r="C86" s="405"/>
      <c r="D86" s="106"/>
      <c r="E86" s="106"/>
      <c r="F86" s="106"/>
      <c r="G86" s="539" t="s">
        <v>442</v>
      </c>
      <c r="H86" s="106"/>
      <c r="I86" s="111"/>
      <c r="J86" s="107" t="s">
        <v>20</v>
      </c>
      <c r="K86" s="108" t="s">
        <v>23</v>
      </c>
      <c r="L86" s="100" t="s">
        <v>21</v>
      </c>
      <c r="M86" s="448">
        <v>60</v>
      </c>
      <c r="N86" s="448">
        <v>60</v>
      </c>
      <c r="O86" s="448">
        <v>120</v>
      </c>
      <c r="P86" s="448">
        <v>60</v>
      </c>
      <c r="Q86" s="448">
        <v>60</v>
      </c>
      <c r="R86" s="448">
        <v>60</v>
      </c>
      <c r="S86" s="448">
        <v>60</v>
      </c>
      <c r="T86" s="448">
        <v>60</v>
      </c>
      <c r="U86" s="448"/>
      <c r="V86" s="448"/>
      <c r="W86" s="448"/>
      <c r="X86" s="447">
        <f t="shared" si="38"/>
        <v>540</v>
      </c>
      <c r="Y86" s="466">
        <v>-22.75</v>
      </c>
      <c r="Z86" s="533">
        <f>+X88</f>
        <v>-22.75</v>
      </c>
      <c r="AA86" s="447">
        <f t="shared" si="39"/>
        <v>540</v>
      </c>
      <c r="AB86" s="343">
        <f>+AC86+AA86</f>
        <v>3060</v>
      </c>
      <c r="AC86" s="343">
        <v>2520</v>
      </c>
      <c r="AD86" s="344"/>
      <c r="AE86" s="345"/>
      <c r="AF86" s="346"/>
      <c r="AG86" s="347">
        <f t="shared" ref="AG86:AG93" si="46">TRUNC(AF86)+(AF86-TRUNC(AF86))*60/100</f>
        <v>0</v>
      </c>
      <c r="AH86" s="341">
        <f t="shared" ref="AH86:AH93" si="47">+AF86*60</f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59" s="98" customFormat="1" ht="62.25" customHeight="1" x14ac:dyDescent="0.9">
      <c r="B87" s="351">
        <v>17</v>
      </c>
      <c r="C87" s="406">
        <f>+B87</f>
        <v>17</v>
      </c>
      <c r="D87" s="407" t="s">
        <v>441</v>
      </c>
      <c r="E87" s="111"/>
      <c r="F87" s="111" t="s">
        <v>35</v>
      </c>
      <c r="G87" s="539" t="str">
        <f t="shared" ref="G87:G89" si="48">+G86</f>
        <v>2259-600-730</v>
      </c>
      <c r="H87" s="111"/>
      <c r="I87" s="111" t="s">
        <v>33</v>
      </c>
      <c r="J87" s="113">
        <v>34.450000000000003</v>
      </c>
      <c r="K87" s="130">
        <v>61</v>
      </c>
      <c r="L87" s="101" t="s">
        <v>17</v>
      </c>
      <c r="M87" s="214">
        <v>45</v>
      </c>
      <c r="N87" s="214">
        <v>61</v>
      </c>
      <c r="O87" s="214">
        <v>61</v>
      </c>
      <c r="P87" s="214">
        <v>45</v>
      </c>
      <c r="Q87" s="214">
        <v>71</v>
      </c>
      <c r="R87" s="214">
        <v>61</v>
      </c>
      <c r="S87" s="214">
        <v>61</v>
      </c>
      <c r="T87" s="214">
        <v>61</v>
      </c>
      <c r="U87" s="214">
        <v>45</v>
      </c>
      <c r="V87" s="214"/>
      <c r="W87" s="214"/>
      <c r="X87" s="123">
        <f>+IF(H88="s",0,IF(AA87=0,0,IF(COUNTA(M87:W87)=AK89+0.25,SUMIF($C:$C,B87,$AA:$AA)/AK89,SUMIF($C:$C,B87,$AA:$AA)/(COUNTA(M87:W87)))))</f>
        <v>58.4</v>
      </c>
      <c r="Y87" s="466"/>
      <c r="Z87" s="534"/>
      <c r="AA87" s="134">
        <f t="shared" si="39"/>
        <v>511</v>
      </c>
      <c r="AB87" s="354">
        <f>+AA87+AC87</f>
        <v>2242</v>
      </c>
      <c r="AC87" s="354">
        <v>1731</v>
      </c>
      <c r="AD87" s="355">
        <f>+AB86-AB87</f>
        <v>818</v>
      </c>
      <c r="AE87" s="131">
        <f>+IF(((AA88+(AA89/2))*60)=0,"",(J87*AA87)/((AA88+(AA89/2))*60))</f>
        <v>0.83828333333333338</v>
      </c>
      <c r="AF87" s="347">
        <f>+AA88+AA89/2</f>
        <v>350</v>
      </c>
      <c r="AG87" s="347">
        <f t="shared" si="46"/>
        <v>350</v>
      </c>
      <c r="AH87" s="341">
        <f t="shared" si="47"/>
        <v>21000</v>
      </c>
      <c r="AI87" s="341">
        <f>+AA87*J87</f>
        <v>17603.95</v>
      </c>
      <c r="AJ87" s="356">
        <f>+AA87-(AF87*K87/K89)</f>
        <v>-50.842105263157919</v>
      </c>
      <c r="AK87" s="348"/>
      <c r="AL87" s="349"/>
      <c r="AM87" s="341"/>
      <c r="AN87" s="341"/>
      <c r="AO87" s="341"/>
      <c r="AP87" s="341"/>
      <c r="AQ87" s="339">
        <f t="shared" ref="AQ87:AQ91" si="49">IF(AR87=0,"",AT87-(($AQ$3*K87)+($AQ$3*K87)*AR87)+AA86)</f>
        <v>0.49624999999991815</v>
      </c>
      <c r="AR87" s="434">
        <v>1.4890000000000001</v>
      </c>
      <c r="AT87" s="390">
        <v>789</v>
      </c>
      <c r="AV87" s="390">
        <f t="shared" ref="AV87" si="50">+AT87-AD87</f>
        <v>-29</v>
      </c>
    </row>
    <row r="88" spans="2:59" s="98" customFormat="1" ht="62.25" customHeight="1" x14ac:dyDescent="0.9">
      <c r="B88" s="357">
        <f>+B87</f>
        <v>17</v>
      </c>
      <c r="C88" s="408"/>
      <c r="D88" s="184"/>
      <c r="E88" s="111">
        <f>+B87</f>
        <v>17</v>
      </c>
      <c r="F88" s="409"/>
      <c r="G88" s="539" t="str">
        <f t="shared" si="48"/>
        <v>2259-600-730</v>
      </c>
      <c r="H88" s="411" t="s">
        <v>413</v>
      </c>
      <c r="I88" s="113">
        <f>+IFERROR(IF(K89=0,0,IF((LOOKUP(2,1/(M88:W88&lt;&gt;""),M88:W88)-K89)&lt;0,0,IF(K89=0,"",LOOKUP(2,1/(M88:W88&lt;&gt;""),M88:W88)-K89))),0)</f>
        <v>2</v>
      </c>
      <c r="J88" s="113">
        <v>0</v>
      </c>
      <c r="K88" s="114" t="s">
        <v>22</v>
      </c>
      <c r="L88" s="102" t="s">
        <v>18</v>
      </c>
      <c r="M88" s="448">
        <v>40</v>
      </c>
      <c r="N88" s="448">
        <v>40</v>
      </c>
      <c r="O88" s="448">
        <v>40</v>
      </c>
      <c r="P88" s="448">
        <v>40</v>
      </c>
      <c r="Q88" s="448">
        <v>40</v>
      </c>
      <c r="R88" s="448">
        <v>40</v>
      </c>
      <c r="S88" s="448">
        <v>40</v>
      </c>
      <c r="T88" s="448">
        <v>40</v>
      </c>
      <c r="U88" s="448">
        <v>40</v>
      </c>
      <c r="V88" s="448"/>
      <c r="W88" s="448"/>
      <c r="X88" s="160">
        <f>+IF(H88="l",IF(COUNTA(M87:W87)=AK89+0.25,AA87-K87*AK89,AA87-(K87*COUNTA(M87:W87))),IF(H88="s",0,IF(COUNTA(M87:W87)=AK89+0.25,SUMIF($C:$C,B87,$AA:$AA)-K87*AK89,SUMIF($C:$C,B87,$AA:$AA)-K87*COUNTA(M87:W87))))</f>
        <v>-22.75</v>
      </c>
      <c r="Y88" s="466"/>
      <c r="Z88" s="534"/>
      <c r="AA88" s="462">
        <f t="shared" si="42"/>
        <v>350</v>
      </c>
      <c r="AB88" s="360"/>
      <c r="AC88" s="360"/>
      <c r="AD88" s="362"/>
      <c r="AE88" s="363"/>
      <c r="AF88" s="346"/>
      <c r="AG88" s="347">
        <f t="shared" si="46"/>
        <v>0</v>
      </c>
      <c r="AH88" s="341">
        <f t="shared" si="47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350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59" s="98" customFormat="1" ht="62.25" customHeight="1" thickBot="1" x14ac:dyDescent="0.95">
      <c r="B89" s="364">
        <f>+B87</f>
        <v>17</v>
      </c>
      <c r="C89" s="410"/>
      <c r="D89" s="174" t="s">
        <v>379</v>
      </c>
      <c r="E89" s="175">
        <f>+E88+100</f>
        <v>117</v>
      </c>
      <c r="F89" s="175"/>
      <c r="G89" s="539" t="str">
        <f t="shared" si="48"/>
        <v>2259-600-730</v>
      </c>
      <c r="H89" s="117"/>
      <c r="I89" s="442"/>
      <c r="J89" s="165">
        <f>+IF(K89="","",IF(K87=0,"",(K87*J87)/(K89*60)))</f>
        <v>0.92168859649122814</v>
      </c>
      <c r="K89" s="118">
        <v>38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50.497149180327867</v>
      </c>
      <c r="Z89" s="371">
        <f>6.1167+IF(COUNTA(M87:W87)=$AJ$4+0.25,$AJ$4-(AA87/K87),COUNTA(M87:W87)-(AA87/K87))+Y89</f>
        <v>56.986799999999995</v>
      </c>
      <c r="AA89" s="465">
        <f t="shared" si="42"/>
        <v>0</v>
      </c>
      <c r="AB89" s="367"/>
      <c r="AC89" s="367"/>
      <c r="AD89" s="368">
        <f>+IFERROR(AD87/(K87*$AQ$3),"")</f>
        <v>1.532552693208431</v>
      </c>
      <c r="AE89" s="369"/>
      <c r="AF89" s="347"/>
      <c r="AG89" s="347">
        <f t="shared" si="46"/>
        <v>0</v>
      </c>
      <c r="AH89" s="341">
        <f t="shared" si="47"/>
        <v>0</v>
      </c>
      <c r="AI89" s="341"/>
      <c r="AJ89" s="356"/>
      <c r="AK89" s="370">
        <f>+$AJ$4</f>
        <v>8.75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1.4782201405152224</v>
      </c>
      <c r="AV89" s="390"/>
    </row>
    <row r="90" spans="2:59" s="98" customFormat="1" ht="62.25" customHeight="1" thickTop="1" x14ac:dyDescent="0.9">
      <c r="B90" s="373">
        <f>+B91</f>
        <v>18</v>
      </c>
      <c r="C90" s="405"/>
      <c r="D90" s="106"/>
      <c r="E90" s="106"/>
      <c r="F90" s="106"/>
      <c r="G90" s="540" t="s">
        <v>481</v>
      </c>
      <c r="H90" s="106"/>
      <c r="I90" s="106"/>
      <c r="J90" s="107" t="s">
        <v>20</v>
      </c>
      <c r="K90" s="108" t="s">
        <v>23</v>
      </c>
      <c r="L90" s="100" t="s">
        <v>21</v>
      </c>
      <c r="M90" s="448">
        <v>120</v>
      </c>
      <c r="N90" s="448">
        <v>120</v>
      </c>
      <c r="O90" s="448">
        <v>120</v>
      </c>
      <c r="P90" s="448"/>
      <c r="Q90" s="448">
        <v>60</v>
      </c>
      <c r="R90" s="448"/>
      <c r="S90" s="448"/>
      <c r="T90" s="448"/>
      <c r="U90" s="448"/>
      <c r="V90" s="448"/>
      <c r="W90" s="448"/>
      <c r="X90" s="447">
        <f t="shared" si="38"/>
        <v>420</v>
      </c>
      <c r="Y90" s="466">
        <v>-98</v>
      </c>
      <c r="Z90" s="533">
        <f>+X92</f>
        <v>0</v>
      </c>
      <c r="AA90" s="447">
        <f t="shared" si="39"/>
        <v>420</v>
      </c>
      <c r="AB90" s="343">
        <f>+AC90+AA90</f>
        <v>1890</v>
      </c>
      <c r="AC90" s="343">
        <v>1470</v>
      </c>
      <c r="AD90" s="344"/>
      <c r="AE90" s="345"/>
      <c r="AF90" s="346"/>
      <c r="AG90" s="347">
        <f t="shared" si="46"/>
        <v>0</v>
      </c>
      <c r="AH90" s="341">
        <f t="shared" si="47"/>
        <v>0</v>
      </c>
      <c r="AI90" s="341"/>
      <c r="AJ90" s="341"/>
      <c r="AK90" s="348"/>
      <c r="AL90" s="349"/>
      <c r="AM90" s="341"/>
      <c r="AN90" s="341"/>
      <c r="AO90" s="341"/>
      <c r="AP90" s="341"/>
      <c r="AQ90" s="350"/>
      <c r="AR90" s="434"/>
      <c r="AT90" s="390"/>
      <c r="AV90" s="390"/>
    </row>
    <row r="91" spans="2:59" s="98" customFormat="1" ht="62.25" customHeight="1" x14ac:dyDescent="0.9">
      <c r="B91" s="374">
        <v>18</v>
      </c>
      <c r="C91" s="406">
        <f>+B91</f>
        <v>18</v>
      </c>
      <c r="D91" s="407" t="s">
        <v>480</v>
      </c>
      <c r="E91" s="111"/>
      <c r="F91" s="111" t="s">
        <v>35</v>
      </c>
      <c r="G91" s="541" t="str">
        <f t="shared" ref="G91:G93" si="51">+G90</f>
        <v>2396-593-600</v>
      </c>
      <c r="H91" s="111"/>
      <c r="I91" s="111" t="s">
        <v>33</v>
      </c>
      <c r="J91" s="113">
        <v>38.82</v>
      </c>
      <c r="K91" s="130">
        <v>60</v>
      </c>
      <c r="L91" s="101" t="s">
        <v>17</v>
      </c>
      <c r="M91" s="214">
        <v>60</v>
      </c>
      <c r="N91" s="214">
        <v>60</v>
      </c>
      <c r="O91" s="214">
        <v>60</v>
      </c>
      <c r="P91" s="214">
        <v>60</v>
      </c>
      <c r="Q91" s="214">
        <v>60</v>
      </c>
      <c r="R91" s="214">
        <v>60</v>
      </c>
      <c r="S91" s="214">
        <v>60</v>
      </c>
      <c r="T91" s="214">
        <v>60</v>
      </c>
      <c r="U91" s="214">
        <v>45</v>
      </c>
      <c r="V91" s="214"/>
      <c r="W91" s="214"/>
      <c r="X91" s="123">
        <f>+IF(H92="s",0,IF(AA91=0,0,IF(COUNTA(M91:W91)=AK93+0.25,SUMIF($C:$C,B91,$AA:$AA)/AK93,SUMIF($C:$C,B91,$AA:$AA)/(COUNTA(M91:W91)))))</f>
        <v>60</v>
      </c>
      <c r="Y91" s="466"/>
      <c r="Z91" s="534"/>
      <c r="AA91" s="134">
        <f t="shared" si="39"/>
        <v>525</v>
      </c>
      <c r="AB91" s="354">
        <f>+AA91+AC91</f>
        <v>1072</v>
      </c>
      <c r="AC91" s="354">
        <v>547</v>
      </c>
      <c r="AD91" s="355">
        <f>+AB90-AB91</f>
        <v>818</v>
      </c>
      <c r="AE91" s="131">
        <f>+IF(((AA92+(AA93/2))*60)=0,"",(J91*AA91)/((AA92+(AA93/2))*60))</f>
        <v>0.88084278768233393</v>
      </c>
      <c r="AF91" s="347">
        <f>+AA92+AA93/2</f>
        <v>385.625</v>
      </c>
      <c r="AG91" s="347">
        <f t="shared" si="46"/>
        <v>385.375</v>
      </c>
      <c r="AH91" s="341">
        <f t="shared" si="47"/>
        <v>23137.5</v>
      </c>
      <c r="AI91" s="341">
        <f>+AA91*J91</f>
        <v>20380.5</v>
      </c>
      <c r="AJ91" s="356">
        <f>+AA91-(AF91*K91/K93)</f>
        <v>-13.081395348837191</v>
      </c>
      <c r="AK91" s="348"/>
      <c r="AL91" s="349"/>
      <c r="AM91" s="341"/>
      <c r="AN91" s="341"/>
      <c r="AO91" s="341"/>
      <c r="AP91" s="341"/>
      <c r="AQ91" s="339">
        <f t="shared" si="49"/>
        <v>30.5</v>
      </c>
      <c r="AR91" s="434">
        <v>1.5</v>
      </c>
      <c r="AT91" s="390">
        <v>923</v>
      </c>
      <c r="AV91" s="390">
        <f t="shared" ref="AV91" si="52">+AT91-AD91</f>
        <v>105</v>
      </c>
    </row>
    <row r="92" spans="2:59" s="98" customFormat="1" ht="62.25" customHeight="1" x14ac:dyDescent="0.9">
      <c r="B92" s="357">
        <f>+B91</f>
        <v>18</v>
      </c>
      <c r="C92" s="408"/>
      <c r="D92" s="184"/>
      <c r="E92" s="111">
        <f>+B91</f>
        <v>18</v>
      </c>
      <c r="F92" s="409"/>
      <c r="G92" s="541" t="str">
        <f t="shared" si="51"/>
        <v>2396-593-600</v>
      </c>
      <c r="H92" s="411" t="s">
        <v>413</v>
      </c>
      <c r="I92" s="113">
        <f>+IFERROR(IF(K93=0,0,IF((LOOKUP(2,1/(M92:W92&lt;&gt;""),M92:W92)-K93)&lt;0,0,IF(K93=0,"",LOOKUP(2,1/(M92:W92&lt;&gt;""),M92:W92)-K93))),0)</f>
        <v>0</v>
      </c>
      <c r="J92" s="113">
        <v>1</v>
      </c>
      <c r="K92" s="114" t="s">
        <v>22</v>
      </c>
      <c r="L92" s="102" t="s">
        <v>18</v>
      </c>
      <c r="M92" s="448">
        <v>44</v>
      </c>
      <c r="N92" s="448">
        <v>44</v>
      </c>
      <c r="O92" s="448">
        <v>44</v>
      </c>
      <c r="P92" s="448">
        <v>44</v>
      </c>
      <c r="Q92" s="448">
        <v>44</v>
      </c>
      <c r="R92" s="448">
        <v>43</v>
      </c>
      <c r="S92" s="448">
        <v>43</v>
      </c>
      <c r="T92" s="448">
        <v>43</v>
      </c>
      <c r="U92" s="448">
        <v>43</v>
      </c>
      <c r="V92" s="448"/>
      <c r="W92" s="448"/>
      <c r="X92" s="160">
        <f>+IF(H92="l",IF(COUNTA(M91:W91)=AK93+0.25,AA91-K91*AK93,AA91-(K91*COUNTA(M91:W91))),IF(H92="s",0,IF(COUNTA(M91:W91)=AK93+0.25,SUMIF($C:$C,B91,$AA:$AA)-K91*AK93,SUMIF($C:$C,B91,$AA:$AA)-K91*COUNTA(M91:W91))))</f>
        <v>0</v>
      </c>
      <c r="Y92" s="466"/>
      <c r="Z92" s="534"/>
      <c r="AA92" s="462">
        <f t="shared" si="42"/>
        <v>381.25</v>
      </c>
      <c r="AB92" s="361"/>
      <c r="AC92" s="361"/>
      <c r="AD92" s="362"/>
      <c r="AE92" s="363"/>
      <c r="AF92" s="346"/>
      <c r="AG92" s="347">
        <f t="shared" si="46"/>
        <v>0</v>
      </c>
      <c r="AH92" s="341">
        <f t="shared" si="47"/>
        <v>0</v>
      </c>
      <c r="AI92" s="341"/>
      <c r="AJ92" s="341"/>
      <c r="AK92" s="348"/>
      <c r="AL92" s="349" t="e">
        <f>+IF(AK93=7.75,SUM(M92:S92)+U92*0.75,IF(AK93=8,SUM(M92:U92),IF(AK93=7.25,SUM(M92:S92)+U92*0.25,IF(AK93=8.25,SUM(M92:U92)+#REF!*0.25,IF(AK93=8.75,SUM(M92:U92)+#REF!*0.75,0)))))</f>
        <v>#REF!</v>
      </c>
      <c r="AM92" s="341" t="e">
        <f>+AL92-AA92</f>
        <v>#REF!</v>
      </c>
      <c r="AN92" s="341"/>
      <c r="AO92" s="341"/>
      <c r="AP92" s="341"/>
      <c r="AQ92" s="438"/>
      <c r="AR92" s="434"/>
      <c r="AT92" s="390"/>
      <c r="AV92" s="390"/>
    </row>
    <row r="93" spans="2:59" s="98" customFormat="1" ht="62.25" customHeight="1" thickBot="1" x14ac:dyDescent="0.95">
      <c r="B93" s="375">
        <f>+B91</f>
        <v>18</v>
      </c>
      <c r="C93" s="410"/>
      <c r="D93" s="413" t="s">
        <v>308</v>
      </c>
      <c r="E93" s="175">
        <f>+E92+100</f>
        <v>118</v>
      </c>
      <c r="F93" s="175"/>
      <c r="G93" s="542" t="str">
        <f t="shared" si="51"/>
        <v>2396-593-600</v>
      </c>
      <c r="H93" s="117"/>
      <c r="I93" s="442"/>
      <c r="J93" s="165">
        <f>+IF(K93="","",IF(K91=0,"",(K91*J91)/(K93*60)))</f>
        <v>0.90279069767441855</v>
      </c>
      <c r="K93" s="118">
        <v>43</v>
      </c>
      <c r="L93" s="104" t="s">
        <v>19</v>
      </c>
      <c r="M93" s="216">
        <v>1</v>
      </c>
      <c r="N93" s="216">
        <v>1</v>
      </c>
      <c r="O93" s="216">
        <v>1</v>
      </c>
      <c r="P93" s="216">
        <v>1</v>
      </c>
      <c r="Q93" s="216">
        <v>1</v>
      </c>
      <c r="R93" s="216">
        <v>1</v>
      </c>
      <c r="S93" s="216">
        <v>1</v>
      </c>
      <c r="T93" s="216">
        <v>1</v>
      </c>
      <c r="U93" s="216">
        <v>1</v>
      </c>
      <c r="V93" s="216"/>
      <c r="W93" s="216"/>
      <c r="X93" s="173"/>
      <c r="Y93" s="467">
        <v>12.460333333333335</v>
      </c>
      <c r="Z93" s="371">
        <f>+IF(COUNTA(M91:W91)=$AJ$4+0.25,$AJ$4-(AA91/K91),COUNTA(M91:W91)-(AA91/K91))+Y93</f>
        <v>12.460333333333335</v>
      </c>
      <c r="AA93" s="465">
        <f t="shared" si="42"/>
        <v>8.75</v>
      </c>
      <c r="AB93" s="367"/>
      <c r="AC93" s="367"/>
      <c r="AD93" s="368">
        <f>+IFERROR(AD91/(K91*$AQ$3),"")</f>
        <v>1.5580952380952382</v>
      </c>
      <c r="AE93" s="369"/>
      <c r="AF93" s="347"/>
      <c r="AG93" s="347">
        <f t="shared" si="46"/>
        <v>0</v>
      </c>
      <c r="AH93" s="341">
        <f t="shared" si="47"/>
        <v>0</v>
      </c>
      <c r="AI93" s="341"/>
      <c r="AJ93" s="356"/>
      <c r="AK93" s="370">
        <f>+$AJ$4</f>
        <v>8.75</v>
      </c>
      <c r="AL93" s="349">
        <f>+IF(AK93=7.75,SUM(M93:S93)+T93*0.75,IF(AK93=8,SUM(M93:T93),IF(AK93=7.25,SUM(M93:S93)+T93*0.25,IF(AK93=8.25,SUM(M93:T93)+U93*0.25,IF(AK93=8.75,SUM(M93:T93)+U93*0.75,0)))))</f>
        <v>8.75</v>
      </c>
      <c r="AM93" s="341">
        <f>+AL93-AA93</f>
        <v>0</v>
      </c>
      <c r="AN93" s="341"/>
      <c r="AO93" s="341"/>
      <c r="AP93" s="341"/>
      <c r="AQ93" s="369"/>
      <c r="AR93" s="434"/>
      <c r="AT93" s="390">
        <v>1.7580952380952382</v>
      </c>
      <c r="AV93" s="390"/>
    </row>
    <row r="94" spans="2:59" s="419" customFormat="1" ht="91.5" customHeight="1" thickTop="1" thickBot="1" x14ac:dyDescent="0.95">
      <c r="B94" s="414"/>
      <c r="C94" s="414"/>
      <c r="D94" s="415"/>
      <c r="E94" s="415"/>
      <c r="F94" s="415"/>
      <c r="G94" s="415"/>
      <c r="H94" s="415"/>
      <c r="I94" s="415"/>
      <c r="J94" s="415"/>
      <c r="K94" s="415"/>
      <c r="L94" s="416"/>
      <c r="M94" s="416"/>
      <c r="N94" s="416"/>
      <c r="O94" s="416"/>
      <c r="P94" s="416"/>
      <c r="Q94" s="416"/>
      <c r="R94" s="416"/>
      <c r="S94" s="416"/>
      <c r="T94" s="416"/>
      <c r="U94" s="416"/>
      <c r="V94" s="416"/>
      <c r="W94" s="416"/>
      <c r="X94" s="415"/>
      <c r="Y94" s="415"/>
      <c r="Z94" s="415"/>
      <c r="AA94" s="415"/>
      <c r="AB94" s="415"/>
      <c r="AC94" s="415"/>
      <c r="AD94" s="415"/>
      <c r="AE94" s="417"/>
      <c r="AF94" s="418"/>
      <c r="AG94" s="418"/>
      <c r="AK94" s="420"/>
      <c r="AL94" s="421"/>
      <c r="AR94" s="435"/>
    </row>
    <row r="95" spans="2:59" s="419" customFormat="1" ht="91.5" customHeight="1" thickTop="1" thickBot="1" x14ac:dyDescent="0.95">
      <c r="B95" s="414"/>
      <c r="C95" s="414"/>
      <c r="D95" s="415"/>
      <c r="E95" s="415"/>
      <c r="F95" s="415"/>
      <c r="G95" s="415"/>
      <c r="H95" s="415"/>
      <c r="I95" s="415"/>
      <c r="J95" s="415"/>
      <c r="K95" s="415"/>
      <c r="L95" s="378" t="s">
        <v>21</v>
      </c>
      <c r="M95" s="379">
        <f t="shared" ref="M95:W95" si="53">+SUMIF($L$6:$L$94,$L$95,M6:M94)</f>
        <v>1150</v>
      </c>
      <c r="N95" s="379">
        <f t="shared" si="53"/>
        <v>1210</v>
      </c>
      <c r="O95" s="379">
        <f t="shared" si="53"/>
        <v>1531</v>
      </c>
      <c r="P95" s="379">
        <f t="shared" si="53"/>
        <v>760</v>
      </c>
      <c r="Q95" s="379">
        <f t="shared" si="53"/>
        <v>880</v>
      </c>
      <c r="R95" s="379">
        <f t="shared" si="53"/>
        <v>600</v>
      </c>
      <c r="S95" s="379">
        <f t="shared" si="53"/>
        <v>490</v>
      </c>
      <c r="T95" s="379">
        <f t="shared" si="53"/>
        <v>480</v>
      </c>
      <c r="U95" s="379">
        <f t="shared" si="53"/>
        <v>120</v>
      </c>
      <c r="V95" s="379">
        <f t="shared" si="53"/>
        <v>0</v>
      </c>
      <c r="W95" s="379">
        <f t="shared" si="53"/>
        <v>0</v>
      </c>
      <c r="X95" s="332"/>
      <c r="Y95" s="332"/>
      <c r="Z95" s="537">
        <f>+SUM(M95:W95)</f>
        <v>7221</v>
      </c>
      <c r="AA95" s="538"/>
      <c r="AB95" s="415"/>
      <c r="AC95" s="415"/>
      <c r="AD95" s="415"/>
      <c r="AE95" s="417"/>
      <c r="AF95" s="418"/>
      <c r="AG95" s="418"/>
      <c r="AK95" s="420"/>
      <c r="AR95" s="435"/>
    </row>
    <row r="96" spans="2:59" s="419" customFormat="1" ht="91.5" customHeight="1" thickTop="1" thickBot="1" x14ac:dyDescent="0.95">
      <c r="B96" s="414"/>
      <c r="C96" s="414"/>
      <c r="D96" s="415"/>
      <c r="E96" s="415"/>
      <c r="F96" s="415"/>
      <c r="G96" s="415"/>
      <c r="H96" s="415"/>
      <c r="I96" s="415"/>
      <c r="J96" s="415"/>
      <c r="K96" s="415"/>
      <c r="L96" s="380"/>
      <c r="M96" s="376"/>
      <c r="N96" s="376"/>
      <c r="O96" s="376"/>
      <c r="P96" s="376"/>
      <c r="Q96" s="376"/>
      <c r="R96" s="376"/>
      <c r="S96" s="376"/>
      <c r="T96" s="376"/>
      <c r="U96" s="376"/>
      <c r="V96" s="376"/>
      <c r="W96" s="376"/>
      <c r="X96" s="332"/>
      <c r="Y96" s="332"/>
      <c r="Z96" s="332"/>
      <c r="AA96" s="332"/>
      <c r="AB96" s="415"/>
      <c r="AC96" s="415"/>
      <c r="AD96" s="415"/>
      <c r="AE96" s="417"/>
      <c r="AF96" s="418"/>
      <c r="AG96" s="418"/>
      <c r="AK96" s="420"/>
      <c r="AR96" s="435"/>
    </row>
    <row r="97" spans="2:44" s="419" customFormat="1" ht="91.5" customHeight="1" thickTop="1" thickBot="1" x14ac:dyDescent="0.95">
      <c r="B97" s="414"/>
      <c r="C97" s="414"/>
      <c r="D97" s="415"/>
      <c r="E97" s="415"/>
      <c r="F97" s="415"/>
      <c r="G97" s="415"/>
      <c r="H97" s="415"/>
      <c r="I97" s="415"/>
      <c r="J97" s="415"/>
      <c r="K97" s="415"/>
      <c r="L97" s="378" t="s">
        <v>17</v>
      </c>
      <c r="M97" s="379">
        <f t="shared" ref="M97:W97" si="54">+SUMIF($L$6:$L$94,$L$97,M6:M94)</f>
        <v>623</v>
      </c>
      <c r="N97" s="379">
        <f t="shared" si="54"/>
        <v>580</v>
      </c>
      <c r="O97" s="379">
        <f t="shared" si="54"/>
        <v>636</v>
      </c>
      <c r="P97" s="379">
        <f t="shared" si="54"/>
        <v>568</v>
      </c>
      <c r="Q97" s="379">
        <f t="shared" si="54"/>
        <v>729</v>
      </c>
      <c r="R97" s="379">
        <f t="shared" si="54"/>
        <v>603</v>
      </c>
      <c r="S97" s="379">
        <f t="shared" si="54"/>
        <v>669</v>
      </c>
      <c r="T97" s="379">
        <f t="shared" si="54"/>
        <v>730</v>
      </c>
      <c r="U97" s="379">
        <f t="shared" si="54"/>
        <v>573</v>
      </c>
      <c r="V97" s="379">
        <f t="shared" si="54"/>
        <v>80</v>
      </c>
      <c r="W97" s="379">
        <f t="shared" si="54"/>
        <v>80</v>
      </c>
      <c r="X97" s="332"/>
      <c r="Y97" s="332"/>
      <c r="Z97" s="537">
        <f>+SUM(M97:W97)</f>
        <v>5871</v>
      </c>
      <c r="AA97" s="538"/>
      <c r="AB97" s="415"/>
      <c r="AC97" s="415"/>
      <c r="AD97" s="415"/>
      <c r="AE97" s="417"/>
      <c r="AF97" s="418"/>
      <c r="AG97" s="418"/>
      <c r="AK97" s="420"/>
      <c r="AR97" s="435"/>
    </row>
    <row r="98" spans="2:44" s="419" customFormat="1" ht="91.5" customHeight="1" thickTop="1" thickBot="1" x14ac:dyDescent="0.95">
      <c r="B98" s="414"/>
      <c r="C98" s="414"/>
      <c r="D98" s="415"/>
      <c r="E98" s="415"/>
      <c r="F98" s="415"/>
      <c r="G98" s="415"/>
      <c r="H98" s="415"/>
      <c r="I98" s="415"/>
      <c r="J98" s="415"/>
      <c r="K98" s="415"/>
      <c r="L98" s="380"/>
      <c r="M98" s="376"/>
      <c r="N98" s="376"/>
      <c r="O98" s="376"/>
      <c r="P98" s="376"/>
      <c r="Q98" s="376"/>
      <c r="R98" s="376"/>
      <c r="S98" s="376"/>
      <c r="T98" s="376"/>
      <c r="U98" s="376"/>
      <c r="V98" s="376"/>
      <c r="W98" s="376"/>
      <c r="X98" s="332"/>
      <c r="Y98" s="332"/>
      <c r="Z98" s="332"/>
      <c r="AA98" s="332"/>
      <c r="AB98" s="415"/>
      <c r="AC98" s="415"/>
      <c r="AD98" s="415"/>
      <c r="AE98" s="417"/>
      <c r="AF98" s="418"/>
      <c r="AG98" s="418"/>
      <c r="AK98" s="420"/>
      <c r="AR98" s="435"/>
    </row>
    <row r="99" spans="2:44" s="419" customFormat="1" ht="91.5" customHeight="1" thickTop="1" thickBot="1" x14ac:dyDescent="0.95">
      <c r="B99" s="414"/>
      <c r="C99" s="414"/>
      <c r="D99" s="422"/>
      <c r="E99" s="422"/>
      <c r="F99" s="422"/>
      <c r="G99" s="422"/>
      <c r="H99" s="422"/>
      <c r="I99" s="422"/>
      <c r="J99" s="423"/>
      <c r="K99" s="422"/>
      <c r="L99" s="378" t="s">
        <v>19</v>
      </c>
      <c r="M99" s="379">
        <f t="shared" ref="M99:W99" si="55">+SUMIF($L$6:$L$94,$L$99,M6:M94)</f>
        <v>6</v>
      </c>
      <c r="N99" s="379">
        <f t="shared" si="55"/>
        <v>7</v>
      </c>
      <c r="O99" s="379">
        <f t="shared" si="55"/>
        <v>7</v>
      </c>
      <c r="P99" s="379">
        <f t="shared" si="55"/>
        <v>7</v>
      </c>
      <c r="Q99" s="379">
        <f t="shared" si="55"/>
        <v>7</v>
      </c>
      <c r="R99" s="379">
        <f t="shared" si="55"/>
        <v>7</v>
      </c>
      <c r="S99" s="379">
        <f t="shared" si="55"/>
        <v>7</v>
      </c>
      <c r="T99" s="379">
        <f t="shared" si="55"/>
        <v>7</v>
      </c>
      <c r="U99" s="379">
        <f t="shared" si="55"/>
        <v>7</v>
      </c>
      <c r="V99" s="379">
        <f t="shared" si="55"/>
        <v>0</v>
      </c>
      <c r="W99" s="379">
        <f t="shared" si="55"/>
        <v>0</v>
      </c>
      <c r="X99" s="381"/>
      <c r="Y99" s="381"/>
      <c r="Z99" s="332"/>
      <c r="AA99" s="332"/>
      <c r="AB99" s="415"/>
      <c r="AC99" s="415"/>
      <c r="AD99" s="415"/>
      <c r="AE99" s="417"/>
      <c r="AF99" s="418"/>
      <c r="AG99" s="418"/>
      <c r="AK99" s="420"/>
      <c r="AR99" s="435"/>
    </row>
    <row r="100" spans="2:44" s="419" customFormat="1" ht="62.25" customHeight="1" thickTop="1" x14ac:dyDescent="0.9">
      <c r="B100" s="414"/>
      <c r="C100" s="414"/>
      <c r="D100" s="422"/>
      <c r="E100" s="422"/>
      <c r="F100" s="422"/>
      <c r="G100" s="422"/>
      <c r="H100" s="422"/>
      <c r="I100" s="424"/>
      <c r="J100" s="423"/>
      <c r="K100" s="422"/>
      <c r="L100" s="380"/>
      <c r="M100" s="382"/>
      <c r="N100" s="377"/>
      <c r="O100" s="377"/>
      <c r="P100" s="377"/>
      <c r="Q100" s="377"/>
      <c r="R100" s="377"/>
      <c r="S100" s="377"/>
      <c r="T100" s="377"/>
      <c r="U100" s="377"/>
      <c r="V100" s="377"/>
      <c r="W100" s="377"/>
      <c r="X100" s="332"/>
      <c r="Y100" s="332"/>
      <c r="Z100" s="332"/>
      <c r="AA100" s="332"/>
      <c r="AB100" s="415"/>
      <c r="AC100" s="415"/>
      <c r="AD100" s="425"/>
      <c r="AE100" s="417"/>
      <c r="AF100" s="418"/>
      <c r="AG100" s="418"/>
      <c r="AK100" s="420"/>
      <c r="AR100" s="435"/>
    </row>
    <row r="101" spans="2:44" s="98" customFormat="1" ht="62.25" customHeight="1" thickBot="1" x14ac:dyDescent="0.95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384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  <c r="AA101" s="340"/>
      <c r="AB101" s="91"/>
      <c r="AC101" s="91"/>
      <c r="AD101" s="91"/>
      <c r="AE101" s="95"/>
      <c r="AF101" s="158"/>
      <c r="AG101" s="158"/>
      <c r="AK101" s="183"/>
      <c r="AR101" s="434"/>
    </row>
    <row r="102" spans="2:44" s="98" customFormat="1" ht="88.5" customHeight="1" thickTop="1" thickBot="1" x14ac:dyDescent="0.95">
      <c r="B102" s="94"/>
      <c r="C102" s="94"/>
      <c r="D102" s="92"/>
      <c r="E102" s="92"/>
      <c r="F102" s="92"/>
      <c r="G102" s="92"/>
      <c r="H102" s="92"/>
      <c r="I102" s="91"/>
      <c r="J102" s="93"/>
      <c r="K102" s="212" t="s">
        <v>18</v>
      </c>
      <c r="L102" s="385" t="s">
        <v>180</v>
      </c>
      <c r="M102" s="379">
        <f t="shared" ref="M102:W102" si="56">+IF(M105=0,0,SUMIFS($J$6:$J$94,$L$6:$L$94,$K$102))</f>
        <v>10</v>
      </c>
      <c r="N102" s="379">
        <f t="shared" si="56"/>
        <v>10</v>
      </c>
      <c r="O102" s="379">
        <f t="shared" si="56"/>
        <v>10</v>
      </c>
      <c r="P102" s="379">
        <f t="shared" si="56"/>
        <v>10</v>
      </c>
      <c r="Q102" s="379">
        <f t="shared" si="56"/>
        <v>10</v>
      </c>
      <c r="R102" s="379">
        <f t="shared" si="56"/>
        <v>10</v>
      </c>
      <c r="S102" s="379">
        <f t="shared" si="56"/>
        <v>10</v>
      </c>
      <c r="T102" s="379">
        <f t="shared" si="56"/>
        <v>10</v>
      </c>
      <c r="U102" s="379">
        <f t="shared" si="56"/>
        <v>10</v>
      </c>
      <c r="V102" s="379">
        <f t="shared" si="56"/>
        <v>10</v>
      </c>
      <c r="W102" s="379">
        <f t="shared" si="56"/>
        <v>10</v>
      </c>
      <c r="X102" s="383"/>
      <c r="Y102" s="383"/>
      <c r="Z102" s="340"/>
      <c r="AA102" s="340"/>
      <c r="AB102" s="91"/>
      <c r="AC102" s="91"/>
      <c r="AD102" s="91"/>
      <c r="AE102" s="95"/>
      <c r="AF102" s="158"/>
      <c r="AG102" s="158"/>
      <c r="AK102" s="183"/>
      <c r="AR102" s="434"/>
    </row>
    <row r="103" spans="2:44" s="98" customFormat="1" ht="62.25" customHeight="1" thickTop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84"/>
      <c r="M103" s="386"/>
      <c r="N103" s="386"/>
      <c r="O103" s="386"/>
      <c r="P103" s="386"/>
      <c r="Q103" s="386"/>
      <c r="R103" s="386"/>
      <c r="S103" s="386"/>
      <c r="T103" s="386"/>
      <c r="U103" s="386"/>
      <c r="V103" s="386"/>
      <c r="W103" s="386"/>
      <c r="X103" s="340"/>
      <c r="Y103" s="340"/>
      <c r="Z103" s="340"/>
      <c r="AA103" s="340"/>
      <c r="AB103" s="91"/>
      <c r="AC103" s="91"/>
      <c r="AD103" s="91"/>
      <c r="AE103" s="95"/>
      <c r="AF103" s="158"/>
      <c r="AG103" s="158"/>
      <c r="AK103" s="183"/>
      <c r="AR103" s="434"/>
    </row>
    <row r="104" spans="2:44" s="98" customFormat="1" ht="62.25" customHeight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212"/>
      <c r="L104" s="384"/>
      <c r="M104" s="340"/>
      <c r="N104" s="340"/>
      <c r="O104" s="340"/>
      <c r="P104" s="340"/>
      <c r="Q104" s="387"/>
      <c r="R104" s="387"/>
      <c r="S104" s="387"/>
      <c r="T104" s="387"/>
      <c r="U104" s="387"/>
      <c r="V104" s="387"/>
      <c r="W104" s="387"/>
      <c r="X104" s="340"/>
      <c r="Y104" s="340"/>
      <c r="Z104" s="340"/>
      <c r="AA104" s="340"/>
      <c r="AB104" s="91"/>
      <c r="AC104" s="91"/>
      <c r="AD104" s="91"/>
      <c r="AE104" s="95"/>
      <c r="AF104" s="158"/>
      <c r="AG104" s="158"/>
      <c r="AK104" s="183"/>
      <c r="AR104" s="434"/>
    </row>
    <row r="105" spans="2:44" s="98" customFormat="1" ht="98.25" customHeight="1" thickTop="1" thickBot="1" x14ac:dyDescent="0.95">
      <c r="B105" s="94"/>
      <c r="C105" s="94"/>
      <c r="D105" s="92"/>
      <c r="E105" s="92"/>
      <c r="F105" s="92"/>
      <c r="G105" s="92"/>
      <c r="H105" s="92"/>
      <c r="I105" s="92"/>
      <c r="J105" s="93"/>
      <c r="K105" s="212"/>
      <c r="L105" s="385" t="s">
        <v>18</v>
      </c>
      <c r="M105" s="379">
        <f t="shared" ref="M105:W105" si="57">+SUMIF($L$6:$L$94,$L$105,M6:M94)</f>
        <v>588</v>
      </c>
      <c r="N105" s="379">
        <f t="shared" si="57"/>
        <v>589</v>
      </c>
      <c r="O105" s="379">
        <f t="shared" si="57"/>
        <v>589</v>
      </c>
      <c r="P105" s="379">
        <f t="shared" si="57"/>
        <v>589</v>
      </c>
      <c r="Q105" s="379">
        <f t="shared" si="57"/>
        <v>589</v>
      </c>
      <c r="R105" s="379">
        <f t="shared" si="57"/>
        <v>590</v>
      </c>
      <c r="S105" s="379">
        <f t="shared" si="57"/>
        <v>590</v>
      </c>
      <c r="T105" s="379">
        <f t="shared" si="57"/>
        <v>590</v>
      </c>
      <c r="U105" s="379">
        <f t="shared" si="57"/>
        <v>582</v>
      </c>
      <c r="V105" s="379">
        <f t="shared" si="57"/>
        <v>99</v>
      </c>
      <c r="W105" s="379">
        <f t="shared" si="57"/>
        <v>99</v>
      </c>
      <c r="X105" s="340"/>
      <c r="Y105" s="340"/>
      <c r="Z105" s="340"/>
      <c r="AA105" s="340"/>
      <c r="AB105" s="91"/>
      <c r="AC105" s="91"/>
      <c r="AD105" s="91"/>
      <c r="AE105" s="95"/>
      <c r="AF105" s="158"/>
      <c r="AG105" s="158"/>
      <c r="AK105" s="183"/>
      <c r="AR105" s="434"/>
    </row>
    <row r="106" spans="2:44" s="98" customFormat="1" ht="62.25" customHeight="1" thickTop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212"/>
      <c r="L106" s="384"/>
      <c r="M106" s="388"/>
      <c r="N106" s="388"/>
      <c r="O106" s="388"/>
      <c r="P106" s="388"/>
      <c r="Q106" s="388"/>
      <c r="R106" s="388"/>
      <c r="S106" s="388"/>
      <c r="T106" s="388"/>
      <c r="U106" s="388"/>
      <c r="V106" s="388"/>
      <c r="W106" s="388"/>
      <c r="X106" s="340"/>
      <c r="Y106" s="340"/>
      <c r="Z106" s="340"/>
      <c r="AA106" s="340"/>
      <c r="AB106" s="91"/>
      <c r="AC106" s="91"/>
      <c r="AD106" s="91"/>
      <c r="AE106" s="95"/>
      <c r="AF106" s="158"/>
      <c r="AG106" s="158"/>
      <c r="AK106" s="183"/>
      <c r="AR106" s="434"/>
    </row>
    <row r="107" spans="2:44" s="98" customFormat="1" ht="62.25" customHeight="1" thickBot="1" x14ac:dyDescent="0.95">
      <c r="B107" s="94"/>
      <c r="C107" s="94"/>
      <c r="D107" s="92"/>
      <c r="E107" s="92"/>
      <c r="F107" s="92"/>
      <c r="G107" s="92"/>
      <c r="H107" s="92"/>
      <c r="I107" s="92"/>
      <c r="J107" s="93"/>
      <c r="K107" s="212"/>
      <c r="L107" s="384"/>
      <c r="M107" s="340"/>
      <c r="N107" s="340"/>
      <c r="O107" s="340"/>
      <c r="P107" s="340"/>
      <c r="Q107" s="387"/>
      <c r="R107" s="387"/>
      <c r="S107" s="387"/>
      <c r="T107" s="387"/>
      <c r="U107" s="387"/>
      <c r="V107" s="387"/>
      <c r="W107" s="387"/>
      <c r="X107" s="340"/>
      <c r="Y107" s="340"/>
      <c r="Z107" s="340"/>
      <c r="AA107" s="340"/>
      <c r="AB107" s="91"/>
      <c r="AC107" s="91"/>
      <c r="AD107" s="91"/>
      <c r="AE107" s="95"/>
      <c r="AF107" s="158"/>
      <c r="AG107" s="158"/>
      <c r="AK107" s="183"/>
      <c r="AR107" s="434"/>
    </row>
    <row r="108" spans="2:44" s="98" customFormat="1" ht="94.5" customHeight="1" thickTop="1" thickBot="1" x14ac:dyDescent="0.95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385" t="s">
        <v>13</v>
      </c>
      <c r="M108" s="379">
        <f>+M105+M102+M99</f>
        <v>604</v>
      </c>
      <c r="N108" s="379">
        <f t="shared" ref="N108:W108" si="58">+N105+N102+N99</f>
        <v>606</v>
      </c>
      <c r="O108" s="379">
        <f t="shared" si="58"/>
        <v>606</v>
      </c>
      <c r="P108" s="379">
        <f t="shared" si="58"/>
        <v>606</v>
      </c>
      <c r="Q108" s="379">
        <f t="shared" si="58"/>
        <v>606</v>
      </c>
      <c r="R108" s="379">
        <f t="shared" si="58"/>
        <v>607</v>
      </c>
      <c r="S108" s="379">
        <f t="shared" si="58"/>
        <v>607</v>
      </c>
      <c r="T108" s="379">
        <f t="shared" si="58"/>
        <v>607</v>
      </c>
      <c r="U108" s="379">
        <f t="shared" si="58"/>
        <v>599</v>
      </c>
      <c r="V108" s="379">
        <f t="shared" si="58"/>
        <v>109</v>
      </c>
      <c r="W108" s="379">
        <f t="shared" si="58"/>
        <v>109</v>
      </c>
      <c r="X108" s="340"/>
      <c r="Y108" s="340"/>
      <c r="Z108" s="340"/>
      <c r="AA108" s="340"/>
      <c r="AB108" s="91"/>
      <c r="AC108" s="91"/>
      <c r="AD108" s="91"/>
      <c r="AE108" s="95"/>
      <c r="AF108" s="155"/>
      <c r="AG108" s="155"/>
      <c r="AK108" s="183"/>
      <c r="AR108" s="434"/>
    </row>
    <row r="109" spans="2:44" s="98" customFormat="1" ht="62.25" thickTop="1" x14ac:dyDescent="0.9">
      <c r="B109" s="94"/>
      <c r="C109" s="94"/>
      <c r="D109" s="92"/>
      <c r="E109" s="92"/>
      <c r="F109" s="92"/>
      <c r="G109" s="92"/>
      <c r="H109" s="92"/>
      <c r="I109" s="92"/>
      <c r="J109" s="93"/>
      <c r="K109" s="92"/>
      <c r="L109" s="389"/>
      <c r="M109" s="340"/>
      <c r="N109" s="340"/>
      <c r="O109" s="340"/>
      <c r="P109" s="340"/>
      <c r="Q109" s="340"/>
      <c r="R109" s="340"/>
      <c r="S109" s="340"/>
      <c r="T109" s="340"/>
      <c r="U109" s="340"/>
      <c r="V109" s="340"/>
      <c r="W109" s="340"/>
      <c r="X109" s="340"/>
      <c r="Y109" s="340"/>
      <c r="Z109" s="340"/>
      <c r="AA109" s="340"/>
      <c r="AB109" s="91"/>
      <c r="AC109" s="91"/>
      <c r="AD109" s="91"/>
      <c r="AE109" s="95"/>
      <c r="AF109" s="158"/>
      <c r="AG109" s="158"/>
      <c r="AK109" s="183"/>
      <c r="AR109" s="434"/>
    </row>
    <row r="110" spans="2:44" x14ac:dyDescent="0.9">
      <c r="J110" s="91"/>
      <c r="K110" s="91"/>
      <c r="T110" s="515"/>
      <c r="U110" s="515"/>
      <c r="V110" s="515"/>
      <c r="AF110" s="158"/>
      <c r="AG110" s="158"/>
    </row>
    <row r="111" spans="2:44" ht="105" customHeight="1" x14ac:dyDescent="0.9">
      <c r="B111" s="426"/>
      <c r="AF111" s="158"/>
      <c r="AG111" s="158"/>
    </row>
    <row r="112" spans="2:44" s="98" customFormat="1" x14ac:dyDescent="0.9">
      <c r="B112" s="94"/>
      <c r="C112" s="94"/>
      <c r="D112" s="92"/>
      <c r="E112" s="92"/>
      <c r="F112" s="92"/>
      <c r="G112" s="92"/>
      <c r="H112" s="92"/>
      <c r="I112" s="92"/>
      <c r="J112" s="93"/>
      <c r="K112" s="92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5"/>
      <c r="AF112" s="158"/>
      <c r="AG112" s="158"/>
      <c r="AK112" s="183"/>
      <c r="AR112" s="434"/>
    </row>
    <row r="113" spans="2:44" s="98" customFormat="1" x14ac:dyDescent="0.9">
      <c r="B113" s="94"/>
      <c r="C113" s="94"/>
      <c r="D113" s="92"/>
      <c r="E113" s="92"/>
      <c r="F113" s="92"/>
      <c r="G113" s="92"/>
      <c r="H113" s="92"/>
      <c r="I113" s="91"/>
      <c r="J113" s="93"/>
      <c r="K113" s="92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/>
      <c r="AF113" s="158"/>
      <c r="AG113" s="158"/>
      <c r="AK113" s="183"/>
      <c r="AR113" s="434"/>
    </row>
    <row r="114" spans="2:44" s="98" customFormat="1" x14ac:dyDescent="0.9">
      <c r="B114" s="94"/>
      <c r="C114" s="94"/>
      <c r="D114" s="92"/>
      <c r="E114" s="92"/>
      <c r="F114" s="92"/>
      <c r="G114" s="92"/>
      <c r="H114" s="92"/>
      <c r="I114" s="92"/>
      <c r="J114" s="93"/>
      <c r="K114" s="92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/>
      <c r="AF114" s="158"/>
      <c r="AG114" s="158"/>
      <c r="AK114" s="183"/>
      <c r="AR114" s="434"/>
    </row>
    <row r="115" spans="2:44" s="98" customFormat="1" ht="66" customHeight="1" x14ac:dyDescent="0.9">
      <c r="B115" s="94"/>
      <c r="C115" s="94"/>
      <c r="D115" s="92"/>
      <c r="E115" s="92"/>
      <c r="F115" s="92"/>
      <c r="G115" s="92"/>
      <c r="H115" s="92"/>
      <c r="I115" s="92"/>
      <c r="J115" s="93"/>
      <c r="K115" s="92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/>
      <c r="AF115" s="158"/>
      <c r="AG115" s="158"/>
      <c r="AK115" s="183"/>
      <c r="AR115" s="434"/>
    </row>
    <row r="117" spans="2:44" s="92" customFormat="1" x14ac:dyDescent="0.7">
      <c r="B117" s="94"/>
      <c r="C117" s="94"/>
      <c r="D117" s="92">
        <v>2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5"/>
      <c r="AG117" s="155"/>
      <c r="AH117" s="98"/>
      <c r="AI117" s="98"/>
      <c r="AJ117" s="98"/>
      <c r="AK117" s="183"/>
      <c r="AL117" s="91"/>
      <c r="AM117" s="91"/>
      <c r="AR117" s="243"/>
    </row>
    <row r="118" spans="2:44" s="92" customFormat="1" x14ac:dyDescent="0.7">
      <c r="B118" s="94"/>
      <c r="C118" s="94"/>
      <c r="H118" s="92">
        <v>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5"/>
      <c r="AG118" s="155"/>
      <c r="AH118" s="98"/>
      <c r="AI118" s="98"/>
      <c r="AJ118" s="98"/>
      <c r="AK118" s="183"/>
      <c r="AL118" s="91"/>
      <c r="AM118" s="91"/>
      <c r="AR118" s="243"/>
    </row>
    <row r="119" spans="2:44" s="92" customFormat="1" x14ac:dyDescent="0.7">
      <c r="B119" s="94"/>
      <c r="C119" s="94"/>
      <c r="H119" s="92">
        <v>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5"/>
      <c r="AG119" s="155"/>
      <c r="AH119" s="98"/>
      <c r="AI119" s="98"/>
      <c r="AJ119" s="98"/>
      <c r="AK119" s="183"/>
      <c r="AL119" s="91"/>
      <c r="AM119" s="91"/>
      <c r="AR119" s="243"/>
    </row>
    <row r="120" spans="2:44" s="92" customFormat="1" x14ac:dyDescent="0.7">
      <c r="B120" s="94"/>
      <c r="C120" s="94"/>
      <c r="H120" s="92">
        <v>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5"/>
      <c r="AG120" s="155"/>
      <c r="AH120" s="98"/>
      <c r="AI120" s="98"/>
      <c r="AJ120" s="98"/>
      <c r="AK120" s="183"/>
      <c r="AL120" s="91"/>
      <c r="AM120" s="91"/>
      <c r="AR120" s="243"/>
    </row>
    <row r="121" spans="2:44" s="92" customFormat="1" x14ac:dyDescent="0.7">
      <c r="B121" s="94"/>
      <c r="C121" s="94"/>
      <c r="H121" s="92">
        <v>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22" spans="2:44" s="92" customFormat="1" x14ac:dyDescent="0.7">
      <c r="B122" s="94"/>
      <c r="C122" s="94"/>
      <c r="H122" s="92">
        <v>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5"/>
      <c r="AG122" s="155"/>
      <c r="AH122" s="98"/>
      <c r="AI122" s="98"/>
      <c r="AJ122" s="98"/>
      <c r="AK122" s="183"/>
      <c r="AL122" s="91"/>
      <c r="AM122" s="91"/>
      <c r="AR122" s="243"/>
    </row>
    <row r="123" spans="2:44" s="92" customFormat="1" x14ac:dyDescent="0.7">
      <c r="B123" s="94"/>
      <c r="C123" s="94"/>
      <c r="H123" s="92">
        <v>6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5"/>
      <c r="AG123" s="155"/>
      <c r="AH123" s="98"/>
      <c r="AI123" s="98"/>
      <c r="AJ123" s="98"/>
      <c r="AK123" s="183"/>
      <c r="AL123" s="91"/>
      <c r="AM123" s="91"/>
      <c r="AR123" s="243"/>
    </row>
    <row r="124" spans="2:44" s="92" customFormat="1" x14ac:dyDescent="0.7">
      <c r="B124" s="94"/>
      <c r="C124" s="94"/>
      <c r="H124" s="92">
        <v>7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/>
      <c r="AF124" s="155"/>
      <c r="AG124" s="155"/>
      <c r="AH124" s="98"/>
      <c r="AI124" s="98"/>
      <c r="AJ124" s="98"/>
      <c r="AK124" s="183"/>
      <c r="AL124" s="91"/>
      <c r="AM124" s="91"/>
      <c r="AR124" s="243"/>
    </row>
    <row r="125" spans="2:44" s="92" customFormat="1" x14ac:dyDescent="0.7">
      <c r="B125" s="94"/>
      <c r="C125" s="94"/>
      <c r="H125" s="92">
        <v>8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11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12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13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14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30" spans="2:44" s="92" customFormat="1" x14ac:dyDescent="0.7">
      <c r="B130" s="94"/>
      <c r="C130" s="94"/>
      <c r="H130" s="92">
        <v>15</v>
      </c>
      <c r="J130" s="93"/>
      <c r="L130" s="99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  <c r="AC130" s="91"/>
      <c r="AD130" s="91"/>
      <c r="AE130" s="95"/>
      <c r="AF130" s="155"/>
      <c r="AG130" s="155"/>
      <c r="AH130" s="98"/>
      <c r="AI130" s="98"/>
      <c r="AJ130" s="98"/>
      <c r="AK130" s="183"/>
      <c r="AL130" s="91"/>
      <c r="AM130" s="91"/>
      <c r="AR130" s="243"/>
    </row>
    <row r="131" spans="2:44" s="92" customFormat="1" x14ac:dyDescent="0.7">
      <c r="B131" s="94"/>
      <c r="C131" s="94"/>
      <c r="H131" s="92">
        <v>17</v>
      </c>
      <c r="J131" s="93"/>
      <c r="L131" s="99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  <c r="AC131" s="91"/>
      <c r="AD131" s="91"/>
      <c r="AE131" s="95"/>
      <c r="AF131" s="155"/>
      <c r="AG131" s="155"/>
      <c r="AH131" s="98"/>
      <c r="AI131" s="98"/>
      <c r="AJ131" s="98"/>
      <c r="AK131" s="183"/>
      <c r="AL131" s="91"/>
      <c r="AM131" s="91"/>
      <c r="AR131" s="243"/>
    </row>
    <row r="132" spans="2:44" s="92" customFormat="1" x14ac:dyDescent="0.7">
      <c r="B132" s="94"/>
      <c r="C132" s="94"/>
      <c r="H132" s="92">
        <v>18</v>
      </c>
      <c r="J132" s="93"/>
      <c r="L132" s="99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  <c r="AC132" s="91"/>
      <c r="AD132" s="91"/>
      <c r="AE132" s="95"/>
      <c r="AF132" s="155"/>
      <c r="AG132" s="155"/>
      <c r="AH132" s="98"/>
      <c r="AI132" s="98"/>
      <c r="AJ132" s="98"/>
      <c r="AK132" s="183"/>
      <c r="AL132" s="91"/>
      <c r="AM132" s="91"/>
      <c r="AR132" s="243"/>
    </row>
    <row r="133" spans="2:44" s="92" customFormat="1" x14ac:dyDescent="0.7">
      <c r="B133" s="94"/>
      <c r="C133" s="94"/>
      <c r="H133" s="92">
        <v>19</v>
      </c>
      <c r="J133" s="93"/>
      <c r="L133" s="99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  <c r="AC133" s="91"/>
      <c r="AD133" s="91"/>
      <c r="AE133" s="95"/>
      <c r="AF133" s="155"/>
      <c r="AG133" s="155"/>
      <c r="AH133" s="98"/>
      <c r="AI133" s="98"/>
      <c r="AJ133" s="98"/>
      <c r="AK133" s="183"/>
      <c r="AL133" s="91"/>
      <c r="AM133" s="91"/>
      <c r="AR133" s="243"/>
    </row>
    <row r="189" spans="2:44" s="92" customFormat="1" x14ac:dyDescent="0.7">
      <c r="B189" s="94"/>
      <c r="C189" s="94"/>
      <c r="G189" s="92">
        <v>1</v>
      </c>
      <c r="J189" s="93"/>
      <c r="L189" s="99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  <c r="AC189" s="91"/>
      <c r="AD189" s="91"/>
      <c r="AE189" s="95"/>
      <c r="AF189" s="155"/>
      <c r="AG189" s="155"/>
      <c r="AH189" s="98"/>
      <c r="AI189" s="98"/>
      <c r="AJ189" s="98"/>
      <c r="AK189" s="183"/>
      <c r="AL189" s="91"/>
      <c r="AM189" s="91"/>
      <c r="AR189" s="243"/>
    </row>
  </sheetData>
  <sheetProtection algorithmName="SHA-512" hashValue="CYsva+ieXdJE5P3mCdZ7x+mAkI3MZmqRiTd1FXIyitsv/pfekZXTEtiFbTSrXPlnLv1C+CqH6W8PyoWnyGQ3iw==" saltValue="l5gnQLUkhNjBh6WWdcM5xw==" spinCount="100000" sheet="1" autoFilter="0"/>
  <autoFilter ref="A5:CR93">
    <filterColumn colId="9" showButton="0"/>
  </autoFilter>
  <mergeCells count="64">
    <mergeCell ref="Z95:AA95"/>
    <mergeCell ref="Z97:AA97"/>
    <mergeCell ref="T110:V110"/>
    <mergeCell ref="G82:G85"/>
    <mergeCell ref="Z82:Z84"/>
    <mergeCell ref="AW83:BG83"/>
    <mergeCell ref="G86:G89"/>
    <mergeCell ref="Z86:Z88"/>
    <mergeCell ref="G90:G93"/>
    <mergeCell ref="Z90:Z92"/>
    <mergeCell ref="G78:G81"/>
    <mergeCell ref="Z78:Z80"/>
    <mergeCell ref="AW79:BF79"/>
    <mergeCell ref="G66:G69"/>
    <mergeCell ref="Z66:Z68"/>
    <mergeCell ref="G70:G73"/>
    <mergeCell ref="Z70:Z72"/>
    <mergeCell ref="G74:G77"/>
    <mergeCell ref="Z74:Z76"/>
    <mergeCell ref="G62:G65"/>
    <mergeCell ref="Z62:Z64"/>
    <mergeCell ref="AW43:BF43"/>
    <mergeCell ref="G46:G49"/>
    <mergeCell ref="Z46:Z48"/>
    <mergeCell ref="G50:G53"/>
    <mergeCell ref="Z50:Z52"/>
    <mergeCell ref="AW51:BF51"/>
    <mergeCell ref="G54:G57"/>
    <mergeCell ref="Z54:Z56"/>
    <mergeCell ref="AW55:BF55"/>
    <mergeCell ref="G58:G61"/>
    <mergeCell ref="Z58:Z60"/>
    <mergeCell ref="G34:G37"/>
    <mergeCell ref="Z34:Z36"/>
    <mergeCell ref="G38:G41"/>
    <mergeCell ref="Z38:Z40"/>
    <mergeCell ref="G42:G45"/>
    <mergeCell ref="Z42:Z44"/>
    <mergeCell ref="G22:G25"/>
    <mergeCell ref="Z22:Z24"/>
    <mergeCell ref="G26:G29"/>
    <mergeCell ref="Z26:Z28"/>
    <mergeCell ref="G30:G33"/>
    <mergeCell ref="Z30:Z32"/>
    <mergeCell ref="G14:G17"/>
    <mergeCell ref="Z14:Z16"/>
    <mergeCell ref="AW15:BF15"/>
    <mergeCell ref="G18:G21"/>
    <mergeCell ref="Z18:Z20"/>
    <mergeCell ref="AW19:BF19"/>
    <mergeCell ref="J5:K5"/>
    <mergeCell ref="G6:G9"/>
    <mergeCell ref="Z6:Z8"/>
    <mergeCell ref="AW7:BF7"/>
    <mergeCell ref="G10:G13"/>
    <mergeCell ref="Z10:Z12"/>
    <mergeCell ref="AW11:BF11"/>
    <mergeCell ref="AD1:AE1"/>
    <mergeCell ref="AD2:AE3"/>
    <mergeCell ref="H3:I3"/>
    <mergeCell ref="K3:L3"/>
    <mergeCell ref="B4:G4"/>
    <mergeCell ref="K4:L4"/>
    <mergeCell ref="AD4:AE4"/>
  </mergeCells>
  <conditionalFormatting sqref="AD2:AE3">
    <cfRule type="cellIs" dxfId="8709" priority="496" operator="lessThan">
      <formula>0.85</formula>
    </cfRule>
  </conditionalFormatting>
  <conditionalFormatting sqref="AM1:AM5 AM94:AM1048576">
    <cfRule type="cellIs" dxfId="8708" priority="495" operator="notEqual">
      <formula>0</formula>
    </cfRule>
  </conditionalFormatting>
  <conditionalFormatting sqref="AQ94:AQ96">
    <cfRule type="cellIs" dxfId="8707" priority="494" operator="lessThan">
      <formula>0</formula>
    </cfRule>
  </conditionalFormatting>
  <conditionalFormatting sqref="X94:Y94 X10:X93">
    <cfRule type="cellIs" dxfId="8706" priority="493" operator="lessThan">
      <formula>0</formula>
    </cfRule>
  </conditionalFormatting>
  <conditionalFormatting sqref="AM22:AM25">
    <cfRule type="cellIs" dxfId="8705" priority="491" operator="notEqual">
      <formula>0</formula>
    </cfRule>
  </conditionalFormatting>
  <conditionalFormatting sqref="I24">
    <cfRule type="cellIs" dxfId="8704" priority="490" operator="greaterThan">
      <formula>0</formula>
    </cfRule>
  </conditionalFormatting>
  <conditionalFormatting sqref="J24">
    <cfRule type="cellIs" dxfId="8703" priority="489" operator="greaterThan">
      <formula>0</formula>
    </cfRule>
  </conditionalFormatting>
  <conditionalFormatting sqref="AM70:AM73">
    <cfRule type="cellIs" dxfId="8702" priority="487" operator="notEqual">
      <formula>0</formula>
    </cfRule>
  </conditionalFormatting>
  <conditionalFormatting sqref="I72">
    <cfRule type="cellIs" dxfId="8701" priority="486" operator="greaterThan">
      <formula>0</formula>
    </cfRule>
  </conditionalFormatting>
  <conditionalFormatting sqref="AM18:AM21">
    <cfRule type="cellIs" dxfId="8700" priority="484" operator="notEqual">
      <formula>0</formula>
    </cfRule>
  </conditionalFormatting>
  <conditionalFormatting sqref="I20">
    <cfRule type="cellIs" dxfId="8699" priority="483" operator="greaterThan">
      <formula>0</formula>
    </cfRule>
  </conditionalFormatting>
  <conditionalFormatting sqref="J20">
    <cfRule type="cellIs" dxfId="8698" priority="482" operator="greaterThan">
      <formula>0</formula>
    </cfRule>
  </conditionalFormatting>
  <conditionalFormatting sqref="AM10:AM13">
    <cfRule type="cellIs" dxfId="8697" priority="480" operator="notEqual">
      <formula>0</formula>
    </cfRule>
  </conditionalFormatting>
  <conditionalFormatting sqref="I12">
    <cfRule type="cellIs" dxfId="8696" priority="479" operator="greaterThan">
      <formula>0</formula>
    </cfRule>
  </conditionalFormatting>
  <conditionalFormatting sqref="AM58:AM61">
    <cfRule type="cellIs" dxfId="8695" priority="477" operator="notEqual">
      <formula>0</formula>
    </cfRule>
  </conditionalFormatting>
  <conditionalFormatting sqref="I60">
    <cfRule type="cellIs" dxfId="8694" priority="476" operator="greaterThan">
      <formula>0</formula>
    </cfRule>
  </conditionalFormatting>
  <conditionalFormatting sqref="J60">
    <cfRule type="cellIs" dxfId="8693" priority="475" operator="greaterThan">
      <formula>0</formula>
    </cfRule>
  </conditionalFormatting>
  <conditionalFormatting sqref="AM62:AM65">
    <cfRule type="cellIs" dxfId="8692" priority="473" operator="notEqual">
      <formula>0</formula>
    </cfRule>
  </conditionalFormatting>
  <conditionalFormatting sqref="I64">
    <cfRule type="cellIs" dxfId="8691" priority="472" operator="greaterThan">
      <formula>0</formula>
    </cfRule>
  </conditionalFormatting>
  <conditionalFormatting sqref="J64">
    <cfRule type="cellIs" dxfId="8690" priority="471" operator="greaterThan">
      <formula>0</formula>
    </cfRule>
  </conditionalFormatting>
  <conditionalFormatting sqref="AM30:AM33">
    <cfRule type="cellIs" dxfId="8689" priority="465" operator="notEqual">
      <formula>0</formula>
    </cfRule>
  </conditionalFormatting>
  <conditionalFormatting sqref="I32">
    <cfRule type="cellIs" dxfId="8688" priority="464" operator="greaterThan">
      <formula>0</formula>
    </cfRule>
  </conditionalFormatting>
  <conditionalFormatting sqref="J32">
    <cfRule type="cellIs" dxfId="8687" priority="463" operator="greaterThan">
      <formula>0</formula>
    </cfRule>
  </conditionalFormatting>
  <conditionalFormatting sqref="J12">
    <cfRule type="cellIs" dxfId="8686" priority="462" operator="greaterThan">
      <formula>0</formula>
    </cfRule>
  </conditionalFormatting>
  <conditionalFormatting sqref="AM50:AM53">
    <cfRule type="cellIs" dxfId="8685" priority="460" operator="notEqual">
      <formula>0</formula>
    </cfRule>
  </conditionalFormatting>
  <conditionalFormatting sqref="I52">
    <cfRule type="cellIs" dxfId="8684" priority="459" operator="greaterThan">
      <formula>0</formula>
    </cfRule>
  </conditionalFormatting>
  <conditionalFormatting sqref="J52">
    <cfRule type="cellIs" dxfId="8683" priority="458" operator="greaterThan">
      <formula>0</formula>
    </cfRule>
  </conditionalFormatting>
  <conditionalFormatting sqref="J72">
    <cfRule type="cellIs" dxfId="8682" priority="457" operator="greaterThan">
      <formula>0</formula>
    </cfRule>
  </conditionalFormatting>
  <conditionalFormatting sqref="AM46:AM49">
    <cfRule type="cellIs" dxfId="8681" priority="455" operator="notEqual">
      <formula>0</formula>
    </cfRule>
  </conditionalFormatting>
  <conditionalFormatting sqref="I48">
    <cfRule type="cellIs" dxfId="8680" priority="454" operator="greaterThan">
      <formula>0</formula>
    </cfRule>
  </conditionalFormatting>
  <conditionalFormatting sqref="J48">
    <cfRule type="cellIs" dxfId="8679" priority="453" operator="greaterThan">
      <formula>0</formula>
    </cfRule>
  </conditionalFormatting>
  <conditionalFormatting sqref="AM26:AM29">
    <cfRule type="cellIs" dxfId="8678" priority="451" operator="notEqual">
      <formula>0</formula>
    </cfRule>
  </conditionalFormatting>
  <conditionalFormatting sqref="I28">
    <cfRule type="cellIs" dxfId="8677" priority="450" operator="greaterThan">
      <formula>0</formula>
    </cfRule>
  </conditionalFormatting>
  <conditionalFormatting sqref="J28">
    <cfRule type="cellIs" dxfId="8676" priority="449" operator="greaterThan">
      <formula>0</formula>
    </cfRule>
  </conditionalFormatting>
  <conditionalFormatting sqref="AM86:AM89">
    <cfRule type="cellIs" dxfId="8675" priority="447" operator="notEqual">
      <formula>0</formula>
    </cfRule>
  </conditionalFormatting>
  <conditionalFormatting sqref="I88">
    <cfRule type="cellIs" dxfId="8674" priority="446" operator="greaterThan">
      <formula>0</formula>
    </cfRule>
  </conditionalFormatting>
  <conditionalFormatting sqref="AM82:AM85">
    <cfRule type="cellIs" dxfId="8673" priority="444" operator="notEqual">
      <formula>0</formula>
    </cfRule>
  </conditionalFormatting>
  <conditionalFormatting sqref="I84">
    <cfRule type="cellIs" dxfId="8672" priority="443" operator="greaterThan">
      <formula>0</formula>
    </cfRule>
  </conditionalFormatting>
  <conditionalFormatting sqref="J84">
    <cfRule type="cellIs" dxfId="8671" priority="442" operator="greaterThan">
      <formula>0</formula>
    </cfRule>
  </conditionalFormatting>
  <conditionalFormatting sqref="Y12 Y20 Y24 Y28 Y32 Y48 Y52 Y60 Y64 Y72 Y84 Y88">
    <cfRule type="cellIs" dxfId="8670" priority="441" operator="lessThan">
      <formula>0</formula>
    </cfRule>
  </conditionalFormatting>
  <conditionalFormatting sqref="Y10:Y12 Y18:Y20 Y22:Y24 Y26:Y28 Y30:Y32 Y46:Y48 Y50:Y52 Y58:Y60 Y62:Y64 Y70:Y72 Y82:Y84 Y86:Y88">
    <cfRule type="cellIs" dxfId="8669" priority="440" operator="lessThan">
      <formula>0</formula>
    </cfRule>
  </conditionalFormatting>
  <conditionalFormatting sqref="Y13 Y21 Y25 Y29 Y33 Y49 Y53 Y61 Y65 Y85 Y89">
    <cfRule type="cellIs" dxfId="8668" priority="439" operator="lessThan">
      <formula>0</formula>
    </cfRule>
  </conditionalFormatting>
  <conditionalFormatting sqref="AM38:AM41">
    <cfRule type="cellIs" dxfId="8667" priority="437" operator="notEqual">
      <formula>0</formula>
    </cfRule>
  </conditionalFormatting>
  <conditionalFormatting sqref="I40">
    <cfRule type="cellIs" dxfId="8666" priority="436" operator="greaterThan">
      <formula>0</formula>
    </cfRule>
  </conditionalFormatting>
  <conditionalFormatting sqref="Y39">
    <cfRule type="iconSet" priority="435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8665" priority="434" operator="lessThan">
      <formula>0</formula>
    </cfRule>
  </conditionalFormatting>
  <conditionalFormatting sqref="Y38:Y40">
    <cfRule type="cellIs" dxfId="8664" priority="433" operator="lessThan">
      <formula>0</formula>
    </cfRule>
  </conditionalFormatting>
  <conditionalFormatting sqref="Y41">
    <cfRule type="cellIs" dxfId="8663" priority="432" operator="lessThan">
      <formula>0</formula>
    </cfRule>
  </conditionalFormatting>
  <conditionalFormatting sqref="AM42:AM45">
    <cfRule type="cellIs" dxfId="8662" priority="430" operator="notEqual">
      <formula>0</formula>
    </cfRule>
  </conditionalFormatting>
  <conditionalFormatting sqref="I44">
    <cfRule type="cellIs" dxfId="8661" priority="429" operator="greaterThan">
      <formula>0</formula>
    </cfRule>
  </conditionalFormatting>
  <conditionalFormatting sqref="Y43">
    <cfRule type="iconSet" priority="428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8660" priority="427" operator="lessThan">
      <formula>0</formula>
    </cfRule>
  </conditionalFormatting>
  <conditionalFormatting sqref="Y42:Y44">
    <cfRule type="cellIs" dxfId="8659" priority="426" operator="lessThan">
      <formula>0</formula>
    </cfRule>
  </conditionalFormatting>
  <conditionalFormatting sqref="Y45">
    <cfRule type="cellIs" dxfId="8658" priority="425" operator="lessThan">
      <formula>0</formula>
    </cfRule>
  </conditionalFormatting>
  <conditionalFormatting sqref="AM74:AM77">
    <cfRule type="cellIs" dxfId="8657" priority="423" operator="notEqual">
      <formula>0</formula>
    </cfRule>
  </conditionalFormatting>
  <conditionalFormatting sqref="I76">
    <cfRule type="cellIs" dxfId="8656" priority="422" operator="greaterThan">
      <formula>0</formula>
    </cfRule>
  </conditionalFormatting>
  <conditionalFormatting sqref="Y75">
    <cfRule type="iconSet" priority="421">
      <iconSet>
        <cfvo type="percent" val="0"/>
        <cfvo type="percent" val="&quot;$I$6&quot;"/>
        <cfvo type="percent" val="#REF!"/>
      </iconSet>
    </cfRule>
  </conditionalFormatting>
  <conditionalFormatting sqref="Y76">
    <cfRule type="cellIs" dxfId="8655" priority="420" operator="lessThan">
      <formula>0</formula>
    </cfRule>
  </conditionalFormatting>
  <conditionalFormatting sqref="Y74:Y76">
    <cfRule type="cellIs" dxfId="8654" priority="419" operator="lessThan">
      <formula>0</formula>
    </cfRule>
  </conditionalFormatting>
  <conditionalFormatting sqref="Y77">
    <cfRule type="cellIs" dxfId="8653" priority="418" operator="lessThan">
      <formula>0</formula>
    </cfRule>
  </conditionalFormatting>
  <conditionalFormatting sqref="AM14:AM17">
    <cfRule type="cellIs" dxfId="8652" priority="416" operator="notEqual">
      <formula>0</formula>
    </cfRule>
  </conditionalFormatting>
  <conditionalFormatting sqref="Y15">
    <cfRule type="iconSet" priority="414">
      <iconSet>
        <cfvo type="percent" val="0"/>
        <cfvo type="percent" val="&quot;$I$6&quot;"/>
        <cfvo type="percent" val="#REF!"/>
      </iconSet>
    </cfRule>
  </conditionalFormatting>
  <conditionalFormatting sqref="Y16">
    <cfRule type="cellIs" dxfId="8651" priority="413" operator="lessThan">
      <formula>0</formula>
    </cfRule>
  </conditionalFormatting>
  <conditionalFormatting sqref="Y14:Y16">
    <cfRule type="cellIs" dxfId="8650" priority="412" operator="lessThan">
      <formula>0</formula>
    </cfRule>
  </conditionalFormatting>
  <conditionalFormatting sqref="Y17">
    <cfRule type="cellIs" dxfId="8649" priority="411" operator="lessThan">
      <formula>0</formula>
    </cfRule>
  </conditionalFormatting>
  <conditionalFormatting sqref="AM90:AM93">
    <cfRule type="cellIs" dxfId="8648" priority="409" operator="notEqual">
      <formula>0</formula>
    </cfRule>
  </conditionalFormatting>
  <conditionalFormatting sqref="I92">
    <cfRule type="cellIs" dxfId="8647" priority="408" operator="greaterThan">
      <formula>0</formula>
    </cfRule>
  </conditionalFormatting>
  <conditionalFormatting sqref="Y91">
    <cfRule type="iconSet" priority="407">
      <iconSet>
        <cfvo type="percent" val="0"/>
        <cfvo type="percent" val="&quot;$I$6&quot;"/>
        <cfvo type="percent" val="#REF!"/>
      </iconSet>
    </cfRule>
  </conditionalFormatting>
  <conditionalFormatting sqref="Y92">
    <cfRule type="cellIs" dxfId="8646" priority="406" operator="lessThan">
      <formula>0</formula>
    </cfRule>
  </conditionalFormatting>
  <conditionalFormatting sqref="Y90:Y92">
    <cfRule type="cellIs" dxfId="8645" priority="405" operator="lessThan">
      <formula>0</formula>
    </cfRule>
  </conditionalFormatting>
  <conditionalFormatting sqref="Y93">
    <cfRule type="cellIs" dxfId="8644" priority="404" operator="lessThan">
      <formula>0</formula>
    </cfRule>
  </conditionalFormatting>
  <conditionalFormatting sqref="AM54:AM57">
    <cfRule type="cellIs" dxfId="8643" priority="402" operator="notEqual">
      <formula>0</formula>
    </cfRule>
  </conditionalFormatting>
  <conditionalFormatting sqref="I56">
    <cfRule type="cellIs" dxfId="8642" priority="401" operator="greaterThan">
      <formula>0</formula>
    </cfRule>
  </conditionalFormatting>
  <conditionalFormatting sqref="Y55">
    <cfRule type="iconSet" priority="400">
      <iconSet>
        <cfvo type="percent" val="0"/>
        <cfvo type="percent" val="&quot;$I$6&quot;"/>
        <cfvo type="percent" val="#REF!"/>
      </iconSet>
    </cfRule>
  </conditionalFormatting>
  <conditionalFormatting sqref="Y56">
    <cfRule type="cellIs" dxfId="8641" priority="399" operator="lessThan">
      <formula>0</formula>
    </cfRule>
  </conditionalFormatting>
  <conditionalFormatting sqref="Y54:Y56">
    <cfRule type="cellIs" dxfId="8640" priority="398" operator="lessThan">
      <formula>0</formula>
    </cfRule>
  </conditionalFormatting>
  <conditionalFormatting sqref="Y57">
    <cfRule type="cellIs" dxfId="8639" priority="397" operator="lessThan">
      <formula>0</formula>
    </cfRule>
  </conditionalFormatting>
  <conditionalFormatting sqref="AQ6">
    <cfRule type="cellIs" dxfId="8638" priority="396" operator="lessThan">
      <formula>0</formula>
    </cfRule>
  </conditionalFormatting>
  <conditionalFormatting sqref="AQ6">
    <cfRule type="cellIs" dxfId="8637" priority="395" operator="lessThan">
      <formula>0</formula>
    </cfRule>
  </conditionalFormatting>
  <conditionalFormatting sqref="AQ8:AQ9">
    <cfRule type="cellIs" dxfId="8636" priority="394" operator="lessThan">
      <formula>0</formula>
    </cfRule>
  </conditionalFormatting>
  <conditionalFormatting sqref="AQ8:AQ9">
    <cfRule type="cellIs" dxfId="8635" priority="393" operator="lessThan">
      <formula>0</formula>
    </cfRule>
  </conditionalFormatting>
  <conditionalFormatting sqref="AQ8:AQ9">
    <cfRule type="cellIs" dxfId="8634" priority="392" operator="lessThan">
      <formula>0</formula>
    </cfRule>
  </conditionalFormatting>
  <conditionalFormatting sqref="AQ8:AQ9">
    <cfRule type="cellIs" dxfId="8633" priority="391" operator="lessThan">
      <formula>0</formula>
    </cfRule>
  </conditionalFormatting>
  <conditionalFormatting sqref="AQ8:AQ9">
    <cfRule type="cellIs" dxfId="8632" priority="390" operator="lessThan">
      <formula>0</formula>
    </cfRule>
  </conditionalFormatting>
  <conditionalFormatting sqref="AQ8:AQ9">
    <cfRule type="cellIs" dxfId="8631" priority="389" operator="lessThan">
      <formula>0</formula>
    </cfRule>
  </conditionalFormatting>
  <conditionalFormatting sqref="AQ8:AQ9">
    <cfRule type="cellIs" dxfId="8630" priority="388" operator="lessThan">
      <formula>0</formula>
    </cfRule>
  </conditionalFormatting>
  <conditionalFormatting sqref="AQ8:AQ9">
    <cfRule type="cellIs" dxfId="8629" priority="387" operator="lessThan">
      <formula>0</formula>
    </cfRule>
  </conditionalFormatting>
  <conditionalFormatting sqref="AQ6">
    <cfRule type="cellIs" dxfId="8628" priority="386" operator="lessThan">
      <formula>0</formula>
    </cfRule>
  </conditionalFormatting>
  <conditionalFormatting sqref="AQ6 AQ8:AQ9">
    <cfRule type="cellIs" dxfId="8627" priority="385" operator="lessThan">
      <formula>0</formula>
    </cfRule>
  </conditionalFormatting>
  <conditionalFormatting sqref="AM6:AM9">
    <cfRule type="cellIs" dxfId="8626" priority="384" operator="notEqual">
      <formula>0</formula>
    </cfRule>
  </conditionalFormatting>
  <conditionalFormatting sqref="I8">
    <cfRule type="cellIs" dxfId="8625" priority="383" operator="greaterThan">
      <formula>0</formula>
    </cfRule>
  </conditionalFormatting>
  <conditionalFormatting sqref="AQ6 AQ8:AQ9">
    <cfRule type="cellIs" dxfId="8624" priority="382" operator="lessThan">
      <formula>0</formula>
    </cfRule>
  </conditionalFormatting>
  <conditionalFormatting sqref="AQ6 AQ8:AQ9">
    <cfRule type="cellIs" dxfId="8623" priority="381" operator="lessThan">
      <formula>0</formula>
    </cfRule>
  </conditionalFormatting>
  <conditionalFormatting sqref="AQ6 AQ8:AQ9">
    <cfRule type="cellIs" dxfId="8622" priority="380" operator="lessThan">
      <formula>0</formula>
    </cfRule>
  </conditionalFormatting>
  <conditionalFormatting sqref="J8">
    <cfRule type="cellIs" dxfId="8621" priority="379" operator="greaterThan">
      <formula>0</formula>
    </cfRule>
  </conditionalFormatting>
  <conditionalFormatting sqref="AQ8:AQ9">
    <cfRule type="cellIs" dxfId="8620" priority="378" operator="lessThan">
      <formula>0</formula>
    </cfRule>
  </conditionalFormatting>
  <conditionalFormatting sqref="AQ8:AQ9">
    <cfRule type="cellIs" dxfId="8619" priority="377" operator="lessThan">
      <formula>0</formula>
    </cfRule>
  </conditionalFormatting>
  <conditionalFormatting sqref="AQ8:AQ9">
    <cfRule type="cellIs" dxfId="8618" priority="376" operator="lessThan">
      <formula>0</formula>
    </cfRule>
  </conditionalFormatting>
  <conditionalFormatting sqref="AQ8:AQ9">
    <cfRule type="cellIs" dxfId="8617" priority="375" operator="lessThan">
      <formula>0</formula>
    </cfRule>
  </conditionalFormatting>
  <conditionalFormatting sqref="Y7">
    <cfRule type="iconSet" priority="373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8616" priority="372" operator="lessThan">
      <formula>0</formula>
    </cfRule>
  </conditionalFormatting>
  <conditionalFormatting sqref="Y6:Y8">
    <cfRule type="cellIs" dxfId="8615" priority="371" operator="lessThan">
      <formula>0</formula>
    </cfRule>
  </conditionalFormatting>
  <conditionalFormatting sqref="Y9">
    <cfRule type="cellIs" dxfId="8614" priority="370" operator="lessThan">
      <formula>0</formula>
    </cfRule>
  </conditionalFormatting>
  <conditionalFormatting sqref="J40">
    <cfRule type="cellIs" dxfId="8613" priority="369" operator="greaterThan">
      <formula>0</formula>
    </cfRule>
  </conditionalFormatting>
  <conditionalFormatting sqref="J44">
    <cfRule type="cellIs" dxfId="8612" priority="368" operator="greaterThan">
      <formula>0</formula>
    </cfRule>
  </conditionalFormatting>
  <conditionalFormatting sqref="J88">
    <cfRule type="cellIs" dxfId="8611" priority="367" operator="greaterThan">
      <formula>0</formula>
    </cfRule>
  </conditionalFormatting>
  <conditionalFormatting sqref="AM66:AM69">
    <cfRule type="cellIs" dxfId="8610" priority="365" operator="notEqual">
      <formula>0</formula>
    </cfRule>
  </conditionalFormatting>
  <conditionalFormatting sqref="Y67">
    <cfRule type="iconSet" priority="364">
      <iconSet>
        <cfvo type="percent" val="0"/>
        <cfvo type="percent" val="&quot;$I$6&quot;"/>
        <cfvo type="percent" val="#REF!"/>
      </iconSet>
    </cfRule>
  </conditionalFormatting>
  <conditionalFormatting sqref="Y68">
    <cfRule type="cellIs" dxfId="8609" priority="363" operator="lessThan">
      <formula>0</formula>
    </cfRule>
  </conditionalFormatting>
  <conditionalFormatting sqref="Y66:Y68">
    <cfRule type="cellIs" dxfId="8608" priority="362" operator="lessThan">
      <formula>0</formula>
    </cfRule>
  </conditionalFormatting>
  <conditionalFormatting sqref="Y69">
    <cfRule type="cellIs" dxfId="8607" priority="361" operator="lessThan">
      <formula>0</formula>
    </cfRule>
  </conditionalFormatting>
  <conditionalFormatting sqref="I68">
    <cfRule type="cellIs" dxfId="8606" priority="360" operator="greaterThan">
      <formula>0</formula>
    </cfRule>
  </conditionalFormatting>
  <conditionalFormatting sqref="AM34:AM37">
    <cfRule type="cellIs" dxfId="8605" priority="358" operator="notEqual">
      <formula>0</formula>
    </cfRule>
  </conditionalFormatting>
  <conditionalFormatting sqref="I36">
    <cfRule type="cellIs" dxfId="8604" priority="357" operator="greaterThan">
      <formula>0</formula>
    </cfRule>
  </conditionalFormatting>
  <conditionalFormatting sqref="Y35">
    <cfRule type="iconSet" priority="356">
      <iconSet>
        <cfvo type="percent" val="0"/>
        <cfvo type="percent" val="&quot;$I$6&quot;"/>
        <cfvo type="percent" val="#REF!"/>
      </iconSet>
    </cfRule>
  </conditionalFormatting>
  <conditionalFormatting sqref="Y36">
    <cfRule type="cellIs" dxfId="8603" priority="355" operator="lessThan">
      <formula>0</formula>
    </cfRule>
  </conditionalFormatting>
  <conditionalFormatting sqref="Y34:Y36">
    <cfRule type="cellIs" dxfId="8602" priority="354" operator="lessThan">
      <formula>0</formula>
    </cfRule>
  </conditionalFormatting>
  <conditionalFormatting sqref="Y37">
    <cfRule type="cellIs" dxfId="8601" priority="353" operator="lessThan">
      <formula>0</formula>
    </cfRule>
  </conditionalFormatting>
  <conditionalFormatting sqref="Y73">
    <cfRule type="cellIs" dxfId="8600" priority="352" operator="lessThan">
      <formula>0</formula>
    </cfRule>
  </conditionalFormatting>
  <conditionalFormatting sqref="J56">
    <cfRule type="cellIs" dxfId="8599" priority="351" operator="greaterThan">
      <formula>0</formula>
    </cfRule>
  </conditionalFormatting>
  <conditionalFormatting sqref="Z29">
    <cfRule type="cellIs" dxfId="8598" priority="350" operator="lessThan">
      <formula>0</formula>
    </cfRule>
  </conditionalFormatting>
  <conditionalFormatting sqref="Y87 Y51 Y11 Y19 Y23 Y27 Y31 Y47 Y59 Y63 Y71 Y83">
    <cfRule type="iconSet" priority="497">
      <iconSet>
        <cfvo type="percent" val="0"/>
        <cfvo type="percent" val="&quot;$I$6&quot;"/>
        <cfvo type="percent" val="#REF!"/>
      </iconSet>
    </cfRule>
  </conditionalFormatting>
  <conditionalFormatting sqref="AQ7">
    <cfRule type="cellIs" dxfId="8597" priority="346" operator="lessThan">
      <formula>0</formula>
    </cfRule>
  </conditionalFormatting>
  <conditionalFormatting sqref="AQ7">
    <cfRule type="cellIs" dxfId="8596" priority="345" operator="lessThan">
      <formula>0</formula>
    </cfRule>
  </conditionalFormatting>
  <conditionalFormatting sqref="AQ7">
    <cfRule type="cellIs" dxfId="8595" priority="344" operator="lessThan">
      <formula>0</formula>
    </cfRule>
  </conditionalFormatting>
  <conditionalFormatting sqref="AQ7">
    <cfRule type="cellIs" dxfId="8594" priority="343" operator="lessThan">
      <formula>0</formula>
    </cfRule>
  </conditionalFormatting>
  <conditionalFormatting sqref="AQ7">
    <cfRule type="cellIs" dxfId="8593" priority="342" operator="lessThan">
      <formula>0</formula>
    </cfRule>
  </conditionalFormatting>
  <conditionalFormatting sqref="AQ7">
    <cfRule type="cellIs" dxfId="8592" priority="341" operator="lessThan">
      <formula>0</formula>
    </cfRule>
  </conditionalFormatting>
  <conditionalFormatting sqref="AQ7">
    <cfRule type="cellIs" dxfId="8591" priority="340" operator="lessThan">
      <formula>0</formula>
    </cfRule>
  </conditionalFormatting>
  <conditionalFormatting sqref="AQ7">
    <cfRule type="cellIs" dxfId="8590" priority="339" operator="lessThan">
      <formula>0</formula>
    </cfRule>
  </conditionalFormatting>
  <conditionalFormatting sqref="AQ7">
    <cfRule type="cellIs" dxfId="8589" priority="338" operator="lessThan">
      <formula>0</formula>
    </cfRule>
  </conditionalFormatting>
  <conditionalFormatting sqref="AQ7">
    <cfRule type="cellIs" dxfId="8588" priority="337" operator="lessThan">
      <formula>0</formula>
    </cfRule>
  </conditionalFormatting>
  <conditionalFormatting sqref="AQ7">
    <cfRule type="cellIs" dxfId="8587" priority="336" operator="lessThan">
      <formula>0</formula>
    </cfRule>
  </conditionalFormatting>
  <conditionalFormatting sqref="AQ7">
    <cfRule type="cellIs" dxfId="8586" priority="335" operator="lessThan">
      <formula>0</formula>
    </cfRule>
  </conditionalFormatting>
  <conditionalFormatting sqref="AQ7">
    <cfRule type="cellIs" dxfId="8585" priority="334" operator="lessThan">
      <formula>0</formula>
    </cfRule>
  </conditionalFormatting>
  <conditionalFormatting sqref="AQ7">
    <cfRule type="cellIs" dxfId="8584" priority="333" operator="lessThan">
      <formula>0</formula>
    </cfRule>
  </conditionalFormatting>
  <conditionalFormatting sqref="AQ7">
    <cfRule type="cellIs" dxfId="8583" priority="332" operator="lessThan">
      <formula>0</formula>
    </cfRule>
  </conditionalFormatting>
  <conditionalFormatting sqref="AQ7">
    <cfRule type="cellIs" dxfId="8582" priority="331" operator="lessThan">
      <formula>0</formula>
    </cfRule>
  </conditionalFormatting>
  <conditionalFormatting sqref="AQ7">
    <cfRule type="cellIs" dxfId="8581" priority="330" operator="lessThan">
      <formula>0</formula>
    </cfRule>
  </conditionalFormatting>
  <conditionalFormatting sqref="AQ7">
    <cfRule type="cellIs" dxfId="8580" priority="329" operator="lessThan">
      <formula>0</formula>
    </cfRule>
  </conditionalFormatting>
  <conditionalFormatting sqref="AQ7">
    <cfRule type="cellIs" dxfId="8579" priority="328" operator="lessThan">
      <formula>0</formula>
    </cfRule>
  </conditionalFormatting>
  <conditionalFormatting sqref="AQ7">
    <cfRule type="cellIs" dxfId="8578" priority="327" operator="lessThan">
      <formula>0</formula>
    </cfRule>
  </conditionalFormatting>
  <conditionalFormatting sqref="AQ7">
    <cfRule type="cellIs" dxfId="8577" priority="326" operator="lessThan">
      <formula>0</formula>
    </cfRule>
  </conditionalFormatting>
  <conditionalFormatting sqref="AQ7">
    <cfRule type="cellIs" dxfId="8576" priority="325" operator="lessThan">
      <formula>0</formula>
    </cfRule>
  </conditionalFormatting>
  <conditionalFormatting sqref="AQ7">
    <cfRule type="cellIs" dxfId="8575" priority="324" operator="lessThan">
      <formula>0</formula>
    </cfRule>
  </conditionalFormatting>
  <conditionalFormatting sqref="AQ7">
    <cfRule type="cellIs" dxfId="8574" priority="323" operator="lessThan">
      <formula>0</formula>
    </cfRule>
  </conditionalFormatting>
  <conditionalFormatting sqref="AQ7">
    <cfRule type="cellIs" dxfId="8573" priority="322" operator="lessThan">
      <formula>0</formula>
    </cfRule>
  </conditionalFormatting>
  <conditionalFormatting sqref="AQ7">
    <cfRule type="cellIs" dxfId="8572" priority="321" operator="lessThan">
      <formula>0</formula>
    </cfRule>
  </conditionalFormatting>
  <conditionalFormatting sqref="AQ7">
    <cfRule type="cellIs" dxfId="8571" priority="320" operator="lessThan">
      <formula>0</formula>
    </cfRule>
  </conditionalFormatting>
  <conditionalFormatting sqref="AQ7">
    <cfRule type="cellIs" dxfId="8570" priority="319" operator="lessThan">
      <formula>0</formula>
    </cfRule>
  </conditionalFormatting>
  <conditionalFormatting sqref="AQ7">
    <cfRule type="cellIs" dxfId="8569" priority="318" operator="lessThan">
      <formula>0</formula>
    </cfRule>
  </conditionalFormatting>
  <conditionalFormatting sqref="AQ7">
    <cfRule type="cellIs" dxfId="8568" priority="317" operator="lessThan">
      <formula>0</formula>
    </cfRule>
  </conditionalFormatting>
  <conditionalFormatting sqref="AQ7">
    <cfRule type="cellIs" dxfId="8567" priority="316" operator="lessThan">
      <formula>0</formula>
    </cfRule>
  </conditionalFormatting>
  <conditionalFormatting sqref="AQ7">
    <cfRule type="cellIs" dxfId="8566" priority="315" operator="lessThan">
      <formula>0</formula>
    </cfRule>
  </conditionalFormatting>
  <conditionalFormatting sqref="AQ7">
    <cfRule type="cellIs" dxfId="8565" priority="314" operator="lessThan">
      <formula>0</formula>
    </cfRule>
  </conditionalFormatting>
  <conditionalFormatting sqref="AQ7">
    <cfRule type="cellIs" dxfId="8564" priority="313" operator="lessThan">
      <formula>0</formula>
    </cfRule>
  </conditionalFormatting>
  <conditionalFormatting sqref="AQ7">
    <cfRule type="cellIs" dxfId="8563" priority="312" operator="lessThan">
      <formula>0</formula>
    </cfRule>
  </conditionalFormatting>
  <conditionalFormatting sqref="AQ7">
    <cfRule type="cellIs" dxfId="8562" priority="311" operator="lessThan">
      <formula>0</formula>
    </cfRule>
  </conditionalFormatting>
  <conditionalFormatting sqref="AQ7">
    <cfRule type="cellIs" dxfId="8561" priority="310" operator="lessThan">
      <formula>0</formula>
    </cfRule>
  </conditionalFormatting>
  <conditionalFormatting sqref="AQ7">
    <cfRule type="cellIs" dxfId="8560" priority="309" operator="lessThan">
      <formula>0</formula>
    </cfRule>
  </conditionalFormatting>
  <conditionalFormatting sqref="AQ7">
    <cfRule type="cellIs" dxfId="8559" priority="308" operator="lessThan">
      <formula>0</formula>
    </cfRule>
  </conditionalFormatting>
  <conditionalFormatting sqref="AQ7">
    <cfRule type="cellIs" dxfId="8558" priority="307" operator="lessThan">
      <formula>0</formula>
    </cfRule>
  </conditionalFormatting>
  <conditionalFormatting sqref="AQ7">
    <cfRule type="cellIs" dxfId="8557" priority="306" operator="lessThan">
      <formula>0</formula>
    </cfRule>
  </conditionalFormatting>
  <conditionalFormatting sqref="AQ7">
    <cfRule type="cellIs" dxfId="8556" priority="305" operator="lessThan">
      <formula>0</formula>
    </cfRule>
  </conditionalFormatting>
  <conditionalFormatting sqref="AQ7">
    <cfRule type="cellIs" dxfId="8555" priority="304" operator="lessThan">
      <formula>0</formula>
    </cfRule>
  </conditionalFormatting>
  <conditionalFormatting sqref="AQ7">
    <cfRule type="cellIs" dxfId="8554" priority="303" operator="lessThan">
      <formula>0</formula>
    </cfRule>
  </conditionalFormatting>
  <conditionalFormatting sqref="AQ7">
    <cfRule type="cellIs" dxfId="8553" priority="302" operator="lessThan">
      <formula>0</formula>
    </cfRule>
  </conditionalFormatting>
  <conditionalFormatting sqref="AQ7">
    <cfRule type="cellIs" dxfId="8552" priority="301" operator="lessThan">
      <formula>0</formula>
    </cfRule>
  </conditionalFormatting>
  <conditionalFormatting sqref="AQ7">
    <cfRule type="cellIs" dxfId="8551" priority="300" operator="lessThan">
      <formula>0</formula>
    </cfRule>
  </conditionalFormatting>
  <conditionalFormatting sqref="AQ7">
    <cfRule type="cellIs" dxfId="8550" priority="299" operator="lessThan">
      <formula>0</formula>
    </cfRule>
  </conditionalFormatting>
  <conditionalFormatting sqref="AQ7">
    <cfRule type="cellIs" dxfId="8549" priority="298" operator="lessThan">
      <formula>0</formula>
    </cfRule>
  </conditionalFormatting>
  <conditionalFormatting sqref="AQ7">
    <cfRule type="cellIs" dxfId="8548" priority="297" operator="lessThan">
      <formula>0</formula>
    </cfRule>
  </conditionalFormatting>
  <conditionalFormatting sqref="AQ7">
    <cfRule type="cellIs" dxfId="8547" priority="296" operator="lessThan">
      <formula>0</formula>
    </cfRule>
  </conditionalFormatting>
  <conditionalFormatting sqref="AQ7">
    <cfRule type="cellIs" dxfId="8546" priority="295" operator="lessThan">
      <formula>0</formula>
    </cfRule>
  </conditionalFormatting>
  <conditionalFormatting sqref="AQ7">
    <cfRule type="cellIs" dxfId="8545" priority="294" operator="lessThan">
      <formula>0</formula>
    </cfRule>
  </conditionalFormatting>
  <conditionalFormatting sqref="AQ7">
    <cfRule type="cellIs" dxfId="8544" priority="293" operator="lessThan">
      <formula>0</formula>
    </cfRule>
  </conditionalFormatting>
  <conditionalFormatting sqref="AQ7">
    <cfRule type="cellIs" dxfId="8543" priority="292" operator="lessThan">
      <formula>0</formula>
    </cfRule>
  </conditionalFormatting>
  <conditionalFormatting sqref="AQ7">
    <cfRule type="cellIs" dxfId="8542" priority="291" operator="lessThan">
      <formula>0</formula>
    </cfRule>
  </conditionalFormatting>
  <conditionalFormatting sqref="AQ7">
    <cfRule type="cellIs" dxfId="8541" priority="290" operator="lessThan">
      <formula>0</formula>
    </cfRule>
  </conditionalFormatting>
  <conditionalFormatting sqref="AQ7">
    <cfRule type="cellIs" dxfId="8540" priority="289" operator="lessThan">
      <formula>0</formula>
    </cfRule>
  </conditionalFormatting>
  <conditionalFormatting sqref="AQ7">
    <cfRule type="cellIs" dxfId="8539" priority="288" operator="lessThan">
      <formula>0</formula>
    </cfRule>
  </conditionalFormatting>
  <conditionalFormatting sqref="AQ7">
    <cfRule type="cellIs" dxfId="8538" priority="287" operator="lessThan">
      <formula>0</formula>
    </cfRule>
  </conditionalFormatting>
  <conditionalFormatting sqref="AQ7">
    <cfRule type="cellIs" dxfId="8537" priority="286" operator="lessThan">
      <formula>0</formula>
    </cfRule>
  </conditionalFormatting>
  <conditionalFormatting sqref="AQ7">
    <cfRule type="cellIs" dxfId="8536" priority="285" operator="lessThan">
      <formula>0</formula>
    </cfRule>
  </conditionalFormatting>
  <conditionalFormatting sqref="AQ7">
    <cfRule type="cellIs" dxfId="8535" priority="284" operator="lessThan">
      <formula>0</formula>
    </cfRule>
  </conditionalFormatting>
  <conditionalFormatting sqref="AQ7">
    <cfRule type="cellIs" dxfId="8534" priority="283" operator="lessThan">
      <formula>0</formula>
    </cfRule>
  </conditionalFormatting>
  <conditionalFormatting sqref="AQ7">
    <cfRule type="cellIs" dxfId="8533" priority="282" operator="lessThan">
      <formula>0</formula>
    </cfRule>
  </conditionalFormatting>
  <conditionalFormatting sqref="AQ7">
    <cfRule type="cellIs" dxfId="8532" priority="281" operator="lessThan">
      <formula>0</formula>
    </cfRule>
  </conditionalFormatting>
  <conditionalFormatting sqref="AQ7">
    <cfRule type="cellIs" dxfId="8531" priority="280" operator="lessThan">
      <formula>0</formula>
    </cfRule>
  </conditionalFormatting>
  <conditionalFormatting sqref="AQ7">
    <cfRule type="cellIs" dxfId="8530" priority="279" operator="lessThan">
      <formula>0</formula>
    </cfRule>
  </conditionalFormatting>
  <conditionalFormatting sqref="AQ7">
    <cfRule type="cellIs" dxfId="8529" priority="278" operator="lessThan">
      <formula>0</formula>
    </cfRule>
  </conditionalFormatting>
  <conditionalFormatting sqref="AQ7">
    <cfRule type="cellIs" dxfId="8528" priority="277" operator="lessThan">
      <formula>0</formula>
    </cfRule>
  </conditionalFormatting>
  <conditionalFormatting sqref="AQ7">
    <cfRule type="cellIs" dxfId="8527" priority="276" operator="lessThan">
      <formula>0</formula>
    </cfRule>
  </conditionalFormatting>
  <conditionalFormatting sqref="AQ7">
    <cfRule type="cellIs" dxfId="8526" priority="275" operator="lessThan">
      <formula>0</formula>
    </cfRule>
  </conditionalFormatting>
  <conditionalFormatting sqref="AQ7">
    <cfRule type="cellIs" dxfId="8525" priority="274" operator="lessThan">
      <formula>0</formula>
    </cfRule>
  </conditionalFormatting>
  <conditionalFormatting sqref="AQ7">
    <cfRule type="cellIs" dxfId="8524" priority="273" operator="lessThan">
      <formula>0</formula>
    </cfRule>
  </conditionalFormatting>
  <conditionalFormatting sqref="AQ7">
    <cfRule type="cellIs" dxfId="8523" priority="272" operator="lessThan">
      <formula>0</formula>
    </cfRule>
  </conditionalFormatting>
  <conditionalFormatting sqref="AQ7">
    <cfRule type="cellIs" dxfId="8522" priority="271" operator="lessThan">
      <formula>0</formula>
    </cfRule>
  </conditionalFormatting>
  <conditionalFormatting sqref="AQ7">
    <cfRule type="cellIs" dxfId="8521" priority="270" operator="lessThan">
      <formula>0</formula>
    </cfRule>
  </conditionalFormatting>
  <conditionalFormatting sqref="AQ7">
    <cfRule type="cellIs" dxfId="8520" priority="269" operator="lessThan">
      <formula>0</formula>
    </cfRule>
  </conditionalFormatting>
  <conditionalFormatting sqref="AQ7">
    <cfRule type="cellIs" dxfId="8519" priority="268" operator="lessThan">
      <formula>0</formula>
    </cfRule>
  </conditionalFormatting>
  <conditionalFormatting sqref="AQ7">
    <cfRule type="cellIs" dxfId="8518" priority="267" operator="lessThan">
      <formula>0</formula>
    </cfRule>
  </conditionalFormatting>
  <conditionalFormatting sqref="AQ7">
    <cfRule type="cellIs" dxfId="8517" priority="251" operator="lessThan">
      <formula>0</formula>
    </cfRule>
  </conditionalFormatting>
  <conditionalFormatting sqref="AQ7">
    <cfRule type="cellIs" dxfId="8516" priority="266" operator="lessThan">
      <formula>0</formula>
    </cfRule>
  </conditionalFormatting>
  <conditionalFormatting sqref="AQ7">
    <cfRule type="cellIs" dxfId="8515" priority="265" operator="lessThan">
      <formula>0</formula>
    </cfRule>
  </conditionalFormatting>
  <conditionalFormatting sqref="AQ7">
    <cfRule type="cellIs" dxfId="8514" priority="264" operator="lessThan">
      <formula>0</formula>
    </cfRule>
  </conditionalFormatting>
  <conditionalFormatting sqref="AQ7">
    <cfRule type="cellIs" dxfId="8513" priority="263" operator="lessThan">
      <formula>0</formula>
    </cfRule>
  </conditionalFormatting>
  <conditionalFormatting sqref="AQ7">
    <cfRule type="cellIs" dxfId="8512" priority="262" operator="lessThan">
      <formula>0</formula>
    </cfRule>
  </conditionalFormatting>
  <conditionalFormatting sqref="AQ7">
    <cfRule type="cellIs" dxfId="8511" priority="261" operator="lessThan">
      <formula>0</formula>
    </cfRule>
  </conditionalFormatting>
  <conditionalFormatting sqref="AQ7">
    <cfRule type="cellIs" dxfId="8510" priority="260" operator="lessThan">
      <formula>0</formula>
    </cfRule>
  </conditionalFormatting>
  <conditionalFormatting sqref="AQ7">
    <cfRule type="cellIs" dxfId="8509" priority="259" operator="lessThan">
      <formula>0</formula>
    </cfRule>
  </conditionalFormatting>
  <conditionalFormatting sqref="AQ7">
    <cfRule type="cellIs" dxfId="8508" priority="258" operator="lessThan">
      <formula>0</formula>
    </cfRule>
  </conditionalFormatting>
  <conditionalFormatting sqref="AQ7">
    <cfRule type="cellIs" dxfId="8507" priority="257" operator="lessThan">
      <formula>0</formula>
    </cfRule>
  </conditionalFormatting>
  <conditionalFormatting sqref="AQ7">
    <cfRule type="cellIs" dxfId="8506" priority="256" operator="lessThan">
      <formula>0</formula>
    </cfRule>
  </conditionalFormatting>
  <conditionalFormatting sqref="AQ7">
    <cfRule type="cellIs" dxfId="8505" priority="255" operator="lessThan">
      <formula>0</formula>
    </cfRule>
  </conditionalFormatting>
  <conditionalFormatting sqref="AQ7">
    <cfRule type="cellIs" dxfId="8504" priority="254" operator="lessThan">
      <formula>0</formula>
    </cfRule>
  </conditionalFormatting>
  <conditionalFormatting sqref="AQ7">
    <cfRule type="cellIs" dxfId="8503" priority="253" operator="lessThan">
      <formula>0</formula>
    </cfRule>
  </conditionalFormatting>
  <conditionalFormatting sqref="AQ7">
    <cfRule type="cellIs" dxfId="8502" priority="252" operator="lessThan">
      <formula>0</formula>
    </cfRule>
  </conditionalFormatting>
  <conditionalFormatting sqref="J68">
    <cfRule type="cellIs" dxfId="8501" priority="250" operator="greaterThan">
      <formula>0</formula>
    </cfRule>
  </conditionalFormatting>
  <conditionalFormatting sqref="AM78:AM81">
    <cfRule type="cellIs" dxfId="8500" priority="247" operator="notEqual">
      <formula>0</formula>
    </cfRule>
  </conditionalFormatting>
  <conditionalFormatting sqref="I80">
    <cfRule type="cellIs" dxfId="8499" priority="246" operator="greaterThan">
      <formula>0</formula>
    </cfRule>
  </conditionalFormatting>
  <conditionalFormatting sqref="J80">
    <cfRule type="cellIs" dxfId="8498" priority="245" operator="greaterThan">
      <formula>0</formula>
    </cfRule>
  </conditionalFormatting>
  <conditionalFormatting sqref="Y80">
    <cfRule type="cellIs" dxfId="8497" priority="244" operator="lessThan">
      <formula>0</formula>
    </cfRule>
  </conditionalFormatting>
  <conditionalFormatting sqref="Y78:Y80">
    <cfRule type="cellIs" dxfId="8496" priority="243" operator="lessThan">
      <formula>0</formula>
    </cfRule>
  </conditionalFormatting>
  <conditionalFormatting sqref="Y81">
    <cfRule type="cellIs" dxfId="8495" priority="242" operator="lessThan">
      <formula>0</formula>
    </cfRule>
  </conditionalFormatting>
  <conditionalFormatting sqref="Y79">
    <cfRule type="iconSet" priority="249">
      <iconSet>
        <cfvo type="percent" val="0"/>
        <cfvo type="percent" val="&quot;$I$6&quot;"/>
        <cfvo type="percent" val="#REF!"/>
      </iconSet>
    </cfRule>
  </conditionalFormatting>
  <conditionalFormatting sqref="X7">
    <cfRule type="iconSet" priority="241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8494" priority="240" operator="lessThan">
      <formula>0</formula>
    </cfRule>
  </conditionalFormatting>
  <conditionalFormatting sqref="X6:X9">
    <cfRule type="cellIs" dxfId="8493" priority="239" operator="lessThan">
      <formula>0</formula>
    </cfRule>
  </conditionalFormatting>
  <conditionalFormatting sqref="X79 X11 X15 X19 X23 X27 X31 X35 X39 X43 X47 X51 X55 X59 X63 X67 X71 X75 X83 X87 X91">
    <cfRule type="iconSet" priority="238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 X88 X92">
    <cfRule type="cellIs" dxfId="8492" priority="237" operator="lessThan">
      <formula>0</formula>
    </cfRule>
  </conditionalFormatting>
  <conditionalFormatting sqref="J36">
    <cfRule type="cellIs" dxfId="8491" priority="120" operator="greaterThan">
      <formula>0</formula>
    </cfRule>
  </conditionalFormatting>
  <conditionalFormatting sqref="AQ10 AQ14 AQ18 AQ22 AQ26 AQ30 AQ34 AQ38 AQ42 AQ46 AQ50 AQ54 AQ58 AQ62 AQ66 AQ70 AQ74 AQ78 AQ82 AQ86 AQ90">
    <cfRule type="cellIs" dxfId="8490" priority="119" operator="lessThan">
      <formula>0</formula>
    </cfRule>
  </conditionalFormatting>
  <conditionalFormatting sqref="AQ10 AQ14 AQ18 AQ22 AQ26 AQ30 AQ34 AQ38 AQ42 AQ46 AQ50 AQ54 AQ58 AQ62 AQ66 AQ70 AQ74 AQ78 AQ82 AQ86 AQ90">
    <cfRule type="cellIs" dxfId="8489" priority="118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88" priority="117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87" priority="116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86" priority="115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85" priority="114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84" priority="113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83" priority="112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82" priority="111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81" priority="110" operator="lessThan">
      <formula>0</formula>
    </cfRule>
  </conditionalFormatting>
  <conditionalFormatting sqref="AQ10 AQ14 AQ18 AQ22 AQ26 AQ30 AQ34 AQ38 AQ42 AQ46 AQ50 AQ54 AQ58 AQ62 AQ66 AQ70 AQ74 AQ78 AQ82 AQ86 AQ90">
    <cfRule type="cellIs" dxfId="8480" priority="109" operator="lessThan">
      <formula>0</formula>
    </cfRule>
  </conditionalFormatting>
  <conditionalFormatting sqref="AQ10 AQ12:AQ14 AQ16:AQ18 AQ20:AQ22 AQ24:AQ26 AQ28:AQ30 AQ32:AQ34 AQ36:AQ38 AQ40:AQ42 AQ44:AQ46 AQ48:AQ50 AQ52:AQ54 AQ56:AQ58 AQ60:AQ62 AQ64:AQ66 AQ68:AQ70 AQ72:AQ74 AQ76:AQ78 AQ80:AQ82 AQ84:AQ86 AQ88:AQ90 AQ92:AQ93">
    <cfRule type="cellIs" dxfId="8479" priority="108" operator="lessThan">
      <formula>0</formula>
    </cfRule>
  </conditionalFormatting>
  <conditionalFormatting sqref="AQ10 AQ12:AQ14 AQ16:AQ18 AQ20:AQ22 AQ24:AQ26 AQ28:AQ30 AQ32:AQ34 AQ36:AQ38 AQ40:AQ42 AQ44:AQ46 AQ48:AQ50 AQ52:AQ54 AQ56:AQ58 AQ60:AQ62 AQ64:AQ66 AQ68:AQ70 AQ72:AQ74 AQ76:AQ78 AQ80:AQ82 AQ84:AQ86 AQ88:AQ90 AQ92:AQ93">
    <cfRule type="cellIs" dxfId="8478" priority="107" operator="lessThan">
      <formula>0</formula>
    </cfRule>
  </conditionalFormatting>
  <conditionalFormatting sqref="AQ10 AQ12:AQ14 AQ16:AQ18 AQ20:AQ22 AQ24:AQ26 AQ28:AQ30 AQ32:AQ34 AQ36:AQ38 AQ40:AQ42 AQ44:AQ46 AQ48:AQ50 AQ52:AQ54 AQ56:AQ58 AQ60:AQ62 AQ64:AQ66 AQ68:AQ70 AQ72:AQ74 AQ76:AQ78 AQ80:AQ82 AQ84:AQ86 AQ88:AQ90 AQ92:AQ93">
    <cfRule type="cellIs" dxfId="8477" priority="106" operator="lessThan">
      <formula>0</formula>
    </cfRule>
  </conditionalFormatting>
  <conditionalFormatting sqref="AQ10 AQ12:AQ14 AQ16:AQ18 AQ20:AQ22 AQ24:AQ26 AQ28:AQ30 AQ32:AQ34 AQ36:AQ38 AQ40:AQ42 AQ44:AQ46 AQ48:AQ50 AQ52:AQ54 AQ56:AQ58 AQ60:AQ62 AQ64:AQ66 AQ68:AQ70 AQ72:AQ74 AQ76:AQ78 AQ80:AQ82 AQ84:AQ86 AQ88:AQ90 AQ92:AQ93">
    <cfRule type="cellIs" dxfId="8476" priority="105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75" priority="104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74" priority="103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73" priority="102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 AQ88:AQ89 AQ92:AQ93">
    <cfRule type="cellIs" dxfId="8472" priority="101" operator="lessThan">
      <formula>0</formula>
    </cfRule>
  </conditionalFormatting>
  <conditionalFormatting sqref="AQ11 AQ15 AQ19 AQ23 AQ27 AQ31 AQ35 AQ39 AQ43 AQ47 AQ51 AQ55 AQ59 AQ63 AQ67 AQ71 AQ75 AQ79 AQ83 AQ87 AQ91">
    <cfRule type="cellIs" dxfId="8471" priority="100" operator="lessThan">
      <formula>0</formula>
    </cfRule>
  </conditionalFormatting>
  <conditionalFormatting sqref="AQ11 AQ15 AQ19 AQ23 AQ27 AQ31 AQ35 AQ39 AQ43 AQ47 AQ51 AQ55 AQ59 AQ63 AQ67 AQ71 AQ75 AQ79 AQ83 AQ87 AQ91">
    <cfRule type="cellIs" dxfId="8470" priority="99" operator="lessThan">
      <formula>0</formula>
    </cfRule>
  </conditionalFormatting>
  <conditionalFormatting sqref="AQ11 AQ15 AQ19 AQ23 AQ27 AQ31 AQ35 AQ39 AQ43 AQ47 AQ51 AQ55 AQ59 AQ63 AQ67 AQ71 AQ75 AQ79 AQ83 AQ87 AQ91">
    <cfRule type="cellIs" dxfId="8469" priority="98" operator="lessThan">
      <formula>0</formula>
    </cfRule>
  </conditionalFormatting>
  <conditionalFormatting sqref="AQ11 AQ15 AQ19 AQ23 AQ27 AQ31 AQ35 AQ39 AQ43 AQ47 AQ51 AQ55 AQ59 AQ63 AQ67 AQ71 AQ75 AQ79 AQ83 AQ87 AQ91">
    <cfRule type="cellIs" dxfId="8468" priority="97" operator="lessThan">
      <formula>0</formula>
    </cfRule>
  </conditionalFormatting>
  <conditionalFormatting sqref="AQ11 AQ15 AQ19 AQ23 AQ27 AQ31 AQ35 AQ39 AQ43 AQ47 AQ51 AQ55 AQ59 AQ63 AQ67 AQ71 AQ75 AQ79 AQ83 AQ87 AQ91">
    <cfRule type="cellIs" dxfId="8467" priority="96" operator="lessThan">
      <formula>0</formula>
    </cfRule>
  </conditionalFormatting>
  <conditionalFormatting sqref="AQ11 AQ15 AQ19 AQ23 AQ27 AQ31 AQ35 AQ39 AQ43 AQ47 AQ51 AQ55 AQ59 AQ63 AQ67 AQ71 AQ75 AQ79 AQ83 AQ87 AQ91">
    <cfRule type="cellIs" dxfId="8466" priority="95" operator="lessThan">
      <formula>0</formula>
    </cfRule>
  </conditionalFormatting>
  <conditionalFormatting sqref="AQ11 AQ15 AQ19 AQ23 AQ27 AQ31 AQ35 AQ39 AQ43 AQ47 AQ51 AQ55 AQ59 AQ63 AQ67 AQ71 AQ75 AQ79 AQ83 AQ87 AQ91">
    <cfRule type="cellIs" dxfId="8465" priority="94" operator="lessThan">
      <formula>0</formula>
    </cfRule>
  </conditionalFormatting>
  <conditionalFormatting sqref="AQ11 AQ15 AQ19 AQ23 AQ27 AQ31 AQ35 AQ39 AQ43 AQ47 AQ51 AQ55 AQ59 AQ63 AQ67 AQ71 AQ75 AQ79 AQ83 AQ87 AQ91">
    <cfRule type="cellIs" dxfId="8464" priority="93" operator="lessThan">
      <formula>0</formula>
    </cfRule>
  </conditionalFormatting>
  <conditionalFormatting sqref="AQ11 AQ15 AQ19 AQ23 AQ27 AQ31 AQ35 AQ39 AQ43 AQ47 AQ51 AQ55 AQ59 AQ63 AQ67 AQ71 AQ75 AQ79 AQ83 AQ87 AQ91">
    <cfRule type="cellIs" dxfId="8463" priority="92" operator="lessThan">
      <formula>0</formula>
    </cfRule>
  </conditionalFormatting>
  <conditionalFormatting sqref="AQ11 AQ15 AQ19 AQ23 AQ27 AQ31 AQ35 AQ39 AQ43 AQ47 AQ51 AQ55 AQ59 AQ63 AQ67 AQ71 AQ75 AQ79 AQ83 AQ87 AQ91">
    <cfRule type="cellIs" dxfId="8462" priority="91" operator="lessThan">
      <formula>0</formula>
    </cfRule>
  </conditionalFormatting>
  <conditionalFormatting sqref="AQ11 AQ15 AQ19 AQ23 AQ27 AQ31 AQ35 AQ39 AQ43 AQ47 AQ51 AQ55 AQ59 AQ63 AQ67 AQ71 AQ75 AQ79 AQ83 AQ87 AQ91">
    <cfRule type="cellIs" dxfId="8461" priority="90" operator="lessThan">
      <formula>0</formula>
    </cfRule>
  </conditionalFormatting>
  <conditionalFormatting sqref="AQ11 AQ15 AQ19 AQ23 AQ27 AQ31 AQ35 AQ39 AQ43 AQ47 AQ51 AQ55 AQ59 AQ63 AQ67 AQ71 AQ75 AQ79 AQ83 AQ87 AQ91">
    <cfRule type="cellIs" dxfId="8460" priority="89" operator="lessThan">
      <formula>0</formula>
    </cfRule>
  </conditionalFormatting>
  <conditionalFormatting sqref="AQ11 AQ15 AQ19 AQ23 AQ27 AQ31 AQ35 AQ39 AQ43 AQ47 AQ51 AQ55 AQ59 AQ63 AQ67 AQ71 AQ75 AQ79 AQ83 AQ87 AQ91">
    <cfRule type="cellIs" dxfId="8459" priority="88" operator="lessThan">
      <formula>0</formula>
    </cfRule>
  </conditionalFormatting>
  <conditionalFormatting sqref="AQ11 AQ15 AQ19 AQ23 AQ27 AQ31 AQ35 AQ39 AQ43 AQ47 AQ51 AQ55 AQ59 AQ63 AQ67 AQ71 AQ75 AQ79 AQ83 AQ87 AQ91">
    <cfRule type="cellIs" dxfId="8458" priority="87" operator="lessThan">
      <formula>0</formula>
    </cfRule>
  </conditionalFormatting>
  <conditionalFormatting sqref="AQ11 AQ15 AQ19 AQ23 AQ27 AQ31 AQ35 AQ39 AQ43 AQ47 AQ51 AQ55 AQ59 AQ63 AQ67 AQ71 AQ75 AQ79 AQ83 AQ87 AQ91">
    <cfRule type="cellIs" dxfId="8457" priority="86" operator="lessThan">
      <formula>0</formula>
    </cfRule>
  </conditionalFormatting>
  <conditionalFormatting sqref="AQ11 AQ15 AQ19 AQ23 AQ27 AQ31 AQ35 AQ39 AQ43 AQ47 AQ51 AQ55 AQ59 AQ63 AQ67 AQ71 AQ75 AQ79 AQ83 AQ87 AQ91">
    <cfRule type="cellIs" dxfId="8456" priority="85" operator="lessThan">
      <formula>0</formula>
    </cfRule>
  </conditionalFormatting>
  <conditionalFormatting sqref="AQ11 AQ15 AQ19 AQ23 AQ27 AQ31 AQ35 AQ39 AQ43 AQ47 AQ51 AQ55 AQ59 AQ63 AQ67 AQ71 AQ75 AQ79 AQ83 AQ87 AQ91">
    <cfRule type="cellIs" dxfId="8455" priority="84" operator="lessThan">
      <formula>0</formula>
    </cfRule>
  </conditionalFormatting>
  <conditionalFormatting sqref="AQ11 AQ15 AQ19 AQ23 AQ27 AQ31 AQ35 AQ39 AQ43 AQ47 AQ51 AQ55 AQ59 AQ63 AQ67 AQ71 AQ75 AQ79 AQ83 AQ87 AQ91">
    <cfRule type="cellIs" dxfId="8454" priority="83" operator="lessThan">
      <formula>0</formula>
    </cfRule>
  </conditionalFormatting>
  <conditionalFormatting sqref="AQ11 AQ15 AQ19 AQ23 AQ27 AQ31 AQ35 AQ39 AQ43 AQ47 AQ51 AQ55 AQ59 AQ63 AQ67 AQ71 AQ75 AQ79 AQ83 AQ87 AQ91">
    <cfRule type="cellIs" dxfId="8453" priority="82" operator="lessThan">
      <formula>0</formula>
    </cfRule>
  </conditionalFormatting>
  <conditionalFormatting sqref="AQ11 AQ15 AQ19 AQ23 AQ27 AQ31 AQ35 AQ39 AQ43 AQ47 AQ51 AQ55 AQ59 AQ63 AQ67 AQ71 AQ75 AQ79 AQ83 AQ87 AQ91">
    <cfRule type="cellIs" dxfId="8452" priority="81" operator="lessThan">
      <formula>0</formula>
    </cfRule>
  </conditionalFormatting>
  <conditionalFormatting sqref="AQ11 AQ15 AQ19 AQ23 AQ27 AQ31 AQ35 AQ39 AQ43 AQ47 AQ51 AQ55 AQ59 AQ63 AQ67 AQ71 AQ75 AQ79 AQ83 AQ87 AQ91">
    <cfRule type="cellIs" dxfId="8451" priority="80" operator="lessThan">
      <formula>0</formula>
    </cfRule>
  </conditionalFormatting>
  <conditionalFormatting sqref="AQ11 AQ15 AQ19 AQ23 AQ27 AQ31 AQ35 AQ39 AQ43 AQ47 AQ51 AQ55 AQ59 AQ63 AQ67 AQ71 AQ75 AQ79 AQ83 AQ87 AQ91">
    <cfRule type="cellIs" dxfId="8450" priority="79" operator="lessThan">
      <formula>0</formula>
    </cfRule>
  </conditionalFormatting>
  <conditionalFormatting sqref="AQ11 AQ15 AQ19 AQ23 AQ27 AQ31 AQ35 AQ39 AQ43 AQ47 AQ51 AQ55 AQ59 AQ63 AQ67 AQ71 AQ75 AQ79 AQ83 AQ87 AQ91">
    <cfRule type="cellIs" dxfId="8449" priority="78" operator="lessThan">
      <formula>0</formula>
    </cfRule>
  </conditionalFormatting>
  <conditionalFormatting sqref="AQ11 AQ15 AQ19 AQ23 AQ27 AQ31 AQ35 AQ39 AQ43 AQ47 AQ51 AQ55 AQ59 AQ63 AQ67 AQ71 AQ75 AQ79 AQ83 AQ87 AQ91">
    <cfRule type="cellIs" dxfId="8448" priority="77" operator="lessThan">
      <formula>0</formula>
    </cfRule>
  </conditionalFormatting>
  <conditionalFormatting sqref="AQ11 AQ15 AQ19 AQ23 AQ27 AQ31 AQ35 AQ39 AQ43 AQ47 AQ51 AQ55 AQ59 AQ63 AQ67 AQ71 AQ75 AQ79 AQ83 AQ87 AQ91">
    <cfRule type="cellIs" dxfId="8447" priority="76" operator="lessThan">
      <formula>0</formula>
    </cfRule>
  </conditionalFormatting>
  <conditionalFormatting sqref="AQ11 AQ15 AQ19 AQ23 AQ27 AQ31 AQ35 AQ39 AQ43 AQ47 AQ51 AQ55 AQ59 AQ63 AQ67 AQ71 AQ75 AQ79 AQ83 AQ87 AQ91">
    <cfRule type="cellIs" dxfId="8446" priority="75" operator="lessThan">
      <formula>0</formula>
    </cfRule>
  </conditionalFormatting>
  <conditionalFormatting sqref="AQ11 AQ15 AQ19 AQ23 AQ27 AQ31 AQ35 AQ39 AQ43 AQ47 AQ51 AQ55 AQ59 AQ63 AQ67 AQ71 AQ75 AQ79 AQ83 AQ87 AQ91">
    <cfRule type="cellIs" dxfId="8445" priority="74" operator="lessThan">
      <formula>0</formula>
    </cfRule>
  </conditionalFormatting>
  <conditionalFormatting sqref="AQ11 AQ15 AQ19 AQ23 AQ27 AQ31 AQ35 AQ39 AQ43 AQ47 AQ51 AQ55 AQ59 AQ63 AQ67 AQ71 AQ75 AQ79 AQ83 AQ87 AQ91">
    <cfRule type="cellIs" dxfId="8444" priority="73" operator="lessThan">
      <formula>0</formula>
    </cfRule>
  </conditionalFormatting>
  <conditionalFormatting sqref="AQ11 AQ15 AQ19 AQ23 AQ27 AQ31 AQ35 AQ39 AQ43 AQ47 AQ51 AQ55 AQ59 AQ63 AQ67 AQ71 AQ75 AQ79 AQ83 AQ87 AQ91">
    <cfRule type="cellIs" dxfId="8443" priority="72" operator="lessThan">
      <formula>0</formula>
    </cfRule>
  </conditionalFormatting>
  <conditionalFormatting sqref="AQ11 AQ15 AQ19 AQ23 AQ27 AQ31 AQ35 AQ39 AQ43 AQ47 AQ51 AQ55 AQ59 AQ63 AQ67 AQ71 AQ75 AQ79 AQ83 AQ87 AQ91">
    <cfRule type="cellIs" dxfId="8442" priority="71" operator="lessThan">
      <formula>0</formula>
    </cfRule>
  </conditionalFormatting>
  <conditionalFormatting sqref="AQ11 AQ15 AQ19 AQ23 AQ27 AQ31 AQ35 AQ39 AQ43 AQ47 AQ51 AQ55 AQ59 AQ63 AQ67 AQ71 AQ75 AQ79 AQ83 AQ87 AQ91">
    <cfRule type="cellIs" dxfId="8441" priority="70" operator="lessThan">
      <formula>0</formula>
    </cfRule>
  </conditionalFormatting>
  <conditionalFormatting sqref="AQ11 AQ15 AQ19 AQ23 AQ27 AQ31 AQ35 AQ39 AQ43 AQ47 AQ51 AQ55 AQ59 AQ63 AQ67 AQ71 AQ75 AQ79 AQ83 AQ87 AQ91">
    <cfRule type="cellIs" dxfId="8440" priority="69" operator="lessThan">
      <formula>0</formula>
    </cfRule>
  </conditionalFormatting>
  <conditionalFormatting sqref="AQ11 AQ15 AQ19 AQ23 AQ27 AQ31 AQ35 AQ39 AQ43 AQ47 AQ51 AQ55 AQ59 AQ63 AQ67 AQ71 AQ75 AQ79 AQ83 AQ87 AQ91">
    <cfRule type="cellIs" dxfId="8439" priority="68" operator="lessThan">
      <formula>0</formula>
    </cfRule>
  </conditionalFormatting>
  <conditionalFormatting sqref="AQ11 AQ15 AQ19 AQ23 AQ27 AQ31 AQ35 AQ39 AQ43 AQ47 AQ51 AQ55 AQ59 AQ63 AQ67 AQ71 AQ75 AQ79 AQ83 AQ87 AQ91">
    <cfRule type="cellIs" dxfId="8438" priority="67" operator="lessThan">
      <formula>0</formula>
    </cfRule>
  </conditionalFormatting>
  <conditionalFormatting sqref="AQ11 AQ15 AQ19 AQ23 AQ27 AQ31 AQ35 AQ39 AQ43 AQ47 AQ51 AQ55 AQ59 AQ63 AQ67 AQ71 AQ75 AQ79 AQ83 AQ87 AQ91">
    <cfRule type="cellIs" dxfId="8437" priority="66" operator="lessThan">
      <formula>0</formula>
    </cfRule>
  </conditionalFormatting>
  <conditionalFormatting sqref="AQ11 AQ15 AQ19 AQ23 AQ27 AQ31 AQ35 AQ39 AQ43 AQ47 AQ51 AQ55 AQ59 AQ63 AQ67 AQ71 AQ75 AQ79 AQ83 AQ87 AQ91">
    <cfRule type="cellIs" dxfId="8436" priority="65" operator="lessThan">
      <formula>0</formula>
    </cfRule>
  </conditionalFormatting>
  <conditionalFormatting sqref="AQ11 AQ15 AQ19 AQ23 AQ27 AQ31 AQ35 AQ39 AQ43 AQ47 AQ51 AQ55 AQ59 AQ63 AQ67 AQ71 AQ75 AQ79 AQ83 AQ87 AQ91">
    <cfRule type="cellIs" dxfId="8435" priority="64" operator="lessThan">
      <formula>0</formula>
    </cfRule>
  </conditionalFormatting>
  <conditionalFormatting sqref="AQ11 AQ15 AQ19 AQ23 AQ27 AQ31 AQ35 AQ39 AQ43 AQ47 AQ51 AQ55 AQ59 AQ63 AQ67 AQ71 AQ75 AQ79 AQ83 AQ87 AQ91">
    <cfRule type="cellIs" dxfId="8434" priority="63" operator="lessThan">
      <formula>0</formula>
    </cfRule>
  </conditionalFormatting>
  <conditionalFormatting sqref="AQ11 AQ15 AQ19 AQ23 AQ27 AQ31 AQ35 AQ39 AQ43 AQ47 AQ51 AQ55 AQ59 AQ63 AQ67 AQ71 AQ75 AQ79 AQ83 AQ87 AQ91">
    <cfRule type="cellIs" dxfId="8433" priority="62" operator="lessThan">
      <formula>0</formula>
    </cfRule>
  </conditionalFormatting>
  <conditionalFormatting sqref="AQ11 AQ15 AQ19 AQ23 AQ27 AQ31 AQ35 AQ39 AQ43 AQ47 AQ51 AQ55 AQ59 AQ63 AQ67 AQ71 AQ75 AQ79 AQ83 AQ87 AQ91">
    <cfRule type="cellIs" dxfId="8432" priority="61" operator="lessThan">
      <formula>0</formula>
    </cfRule>
  </conditionalFormatting>
  <conditionalFormatting sqref="AQ11 AQ15 AQ19 AQ23 AQ27 AQ31 AQ35 AQ39 AQ43 AQ47 AQ51 AQ55 AQ59 AQ63 AQ67 AQ71 AQ75 AQ79 AQ83 AQ87 AQ91">
    <cfRule type="cellIs" dxfId="8431" priority="60" operator="lessThan">
      <formula>0</formula>
    </cfRule>
  </conditionalFormatting>
  <conditionalFormatting sqref="AQ11 AQ15 AQ19 AQ23 AQ27 AQ31 AQ35 AQ39 AQ43 AQ47 AQ51 AQ55 AQ59 AQ63 AQ67 AQ71 AQ75 AQ79 AQ83 AQ87 AQ91">
    <cfRule type="cellIs" dxfId="8430" priority="59" operator="lessThan">
      <formula>0</formula>
    </cfRule>
  </conditionalFormatting>
  <conditionalFormatting sqref="AQ11 AQ15 AQ19 AQ23 AQ27 AQ31 AQ35 AQ39 AQ43 AQ47 AQ51 AQ55 AQ59 AQ63 AQ67 AQ71 AQ75 AQ79 AQ83 AQ87 AQ91">
    <cfRule type="cellIs" dxfId="8429" priority="58" operator="lessThan">
      <formula>0</formula>
    </cfRule>
  </conditionalFormatting>
  <conditionalFormatting sqref="AQ11 AQ15 AQ19 AQ23 AQ27 AQ31 AQ35 AQ39 AQ43 AQ47 AQ51 AQ55 AQ59 AQ63 AQ67 AQ71 AQ75 AQ79 AQ83 AQ87 AQ91">
    <cfRule type="cellIs" dxfId="8428" priority="57" operator="lessThan">
      <formula>0</formula>
    </cfRule>
  </conditionalFormatting>
  <conditionalFormatting sqref="AQ11 AQ15 AQ19 AQ23 AQ27 AQ31 AQ35 AQ39 AQ43 AQ47 AQ51 AQ55 AQ59 AQ63 AQ67 AQ71 AQ75 AQ79 AQ83 AQ87 AQ91">
    <cfRule type="cellIs" dxfId="8427" priority="56" operator="lessThan">
      <formula>0</formula>
    </cfRule>
  </conditionalFormatting>
  <conditionalFormatting sqref="AQ11 AQ15 AQ19 AQ23 AQ27 AQ31 AQ35 AQ39 AQ43 AQ47 AQ51 AQ55 AQ59 AQ63 AQ67 AQ71 AQ75 AQ79 AQ83 AQ87 AQ91">
    <cfRule type="cellIs" dxfId="8426" priority="55" operator="lessThan">
      <formula>0</formula>
    </cfRule>
  </conditionalFormatting>
  <conditionalFormatting sqref="AQ11 AQ15 AQ19 AQ23 AQ27 AQ31 AQ35 AQ39 AQ43 AQ47 AQ51 AQ55 AQ59 AQ63 AQ67 AQ71 AQ75 AQ79 AQ83 AQ87 AQ91">
    <cfRule type="cellIs" dxfId="8425" priority="54" operator="lessThan">
      <formula>0</formula>
    </cfRule>
  </conditionalFormatting>
  <conditionalFormatting sqref="AQ11 AQ15 AQ19 AQ23 AQ27 AQ31 AQ35 AQ39 AQ43 AQ47 AQ51 AQ55 AQ59 AQ63 AQ67 AQ71 AQ75 AQ79 AQ83 AQ87 AQ91">
    <cfRule type="cellIs" dxfId="8424" priority="53" operator="lessThan">
      <formula>0</formula>
    </cfRule>
  </conditionalFormatting>
  <conditionalFormatting sqref="AQ11 AQ15 AQ19 AQ23 AQ27 AQ31 AQ35 AQ39 AQ43 AQ47 AQ51 AQ55 AQ59 AQ63 AQ67 AQ71 AQ75 AQ79 AQ83 AQ87 AQ91">
    <cfRule type="cellIs" dxfId="8423" priority="52" operator="lessThan">
      <formula>0</formula>
    </cfRule>
  </conditionalFormatting>
  <conditionalFormatting sqref="AQ11 AQ15 AQ19 AQ23 AQ27 AQ31 AQ35 AQ39 AQ43 AQ47 AQ51 AQ55 AQ59 AQ63 AQ67 AQ71 AQ75 AQ79 AQ83 AQ87 AQ91">
    <cfRule type="cellIs" dxfId="8422" priority="51" operator="lessThan">
      <formula>0</formula>
    </cfRule>
  </conditionalFormatting>
  <conditionalFormatting sqref="AQ11 AQ15 AQ19 AQ23 AQ27 AQ31 AQ35 AQ39 AQ43 AQ47 AQ51 AQ55 AQ59 AQ63 AQ67 AQ71 AQ75 AQ79 AQ83 AQ87 AQ91">
    <cfRule type="cellIs" dxfId="8421" priority="50" operator="lessThan">
      <formula>0</formula>
    </cfRule>
  </conditionalFormatting>
  <conditionalFormatting sqref="AQ11 AQ15 AQ19 AQ23 AQ27 AQ31 AQ35 AQ39 AQ43 AQ47 AQ51 AQ55 AQ59 AQ63 AQ67 AQ71 AQ75 AQ79 AQ83 AQ87 AQ91">
    <cfRule type="cellIs" dxfId="8420" priority="49" operator="lessThan">
      <formula>0</formula>
    </cfRule>
  </conditionalFormatting>
  <conditionalFormatting sqref="AQ11 AQ15 AQ19 AQ23 AQ27 AQ31 AQ35 AQ39 AQ43 AQ47 AQ51 AQ55 AQ59 AQ63 AQ67 AQ71 AQ75 AQ79 AQ83 AQ87 AQ91">
    <cfRule type="cellIs" dxfId="8419" priority="48" operator="lessThan">
      <formula>0</formula>
    </cfRule>
  </conditionalFormatting>
  <conditionalFormatting sqref="AQ11 AQ15 AQ19 AQ23 AQ27 AQ31 AQ35 AQ39 AQ43 AQ47 AQ51 AQ55 AQ59 AQ63 AQ67 AQ71 AQ75 AQ79 AQ83 AQ87 AQ91">
    <cfRule type="cellIs" dxfId="8418" priority="47" operator="lessThan">
      <formula>0</formula>
    </cfRule>
  </conditionalFormatting>
  <conditionalFormatting sqref="AQ11 AQ15 AQ19 AQ23 AQ27 AQ31 AQ35 AQ39 AQ43 AQ47 AQ51 AQ55 AQ59 AQ63 AQ67 AQ71 AQ75 AQ79 AQ83 AQ87 AQ91">
    <cfRule type="cellIs" dxfId="8417" priority="46" operator="lessThan">
      <formula>0</formula>
    </cfRule>
  </conditionalFormatting>
  <conditionalFormatting sqref="AQ11 AQ15 AQ19 AQ23 AQ27 AQ31 AQ35 AQ39 AQ43 AQ47 AQ51 AQ55 AQ59 AQ63 AQ67 AQ71 AQ75 AQ79 AQ83 AQ87 AQ91">
    <cfRule type="cellIs" dxfId="8416" priority="45" operator="lessThan">
      <formula>0</formula>
    </cfRule>
  </conditionalFormatting>
  <conditionalFormatting sqref="AQ11 AQ15 AQ19 AQ23 AQ27 AQ31 AQ35 AQ39 AQ43 AQ47 AQ51 AQ55 AQ59 AQ63 AQ67 AQ71 AQ75 AQ79 AQ83 AQ87 AQ91">
    <cfRule type="cellIs" dxfId="8415" priority="44" operator="lessThan">
      <formula>0</formula>
    </cfRule>
  </conditionalFormatting>
  <conditionalFormatting sqref="AQ11 AQ15 AQ19 AQ23 AQ27 AQ31 AQ35 AQ39 AQ43 AQ47 AQ51 AQ55 AQ59 AQ63 AQ67 AQ71 AQ75 AQ79 AQ83 AQ87 AQ91">
    <cfRule type="cellIs" dxfId="8414" priority="43" operator="lessThan">
      <formula>0</formula>
    </cfRule>
  </conditionalFormatting>
  <conditionalFormatting sqref="AQ11 AQ15 AQ19 AQ23 AQ27 AQ31 AQ35 AQ39 AQ43 AQ47 AQ51 AQ55 AQ59 AQ63 AQ67 AQ71 AQ75 AQ79 AQ83 AQ87 AQ91">
    <cfRule type="cellIs" dxfId="8413" priority="42" operator="lessThan">
      <formula>0</formula>
    </cfRule>
  </conditionalFormatting>
  <conditionalFormatting sqref="AQ11 AQ15 AQ19 AQ23 AQ27 AQ31 AQ35 AQ39 AQ43 AQ47 AQ51 AQ55 AQ59 AQ63 AQ67 AQ71 AQ75 AQ79 AQ83 AQ87 AQ91">
    <cfRule type="cellIs" dxfId="8412" priority="41" operator="lessThan">
      <formula>0</formula>
    </cfRule>
  </conditionalFormatting>
  <conditionalFormatting sqref="AQ11 AQ15 AQ19 AQ23 AQ27 AQ31 AQ35 AQ39 AQ43 AQ47 AQ51 AQ55 AQ59 AQ63 AQ67 AQ71 AQ75 AQ79 AQ83 AQ87 AQ91">
    <cfRule type="cellIs" dxfId="8411" priority="40" operator="lessThan">
      <formula>0</formula>
    </cfRule>
  </conditionalFormatting>
  <conditionalFormatting sqref="AQ11 AQ15 AQ19 AQ23 AQ27 AQ31 AQ35 AQ39 AQ43 AQ47 AQ51 AQ55 AQ59 AQ63 AQ67 AQ71 AQ75 AQ79 AQ83 AQ87 AQ91">
    <cfRule type="cellIs" dxfId="8410" priority="39" operator="lessThan">
      <formula>0</formula>
    </cfRule>
  </conditionalFormatting>
  <conditionalFormatting sqref="AQ11 AQ15 AQ19 AQ23 AQ27 AQ31 AQ35 AQ39 AQ43 AQ47 AQ51 AQ55 AQ59 AQ63 AQ67 AQ71 AQ75 AQ79 AQ83 AQ87 AQ91">
    <cfRule type="cellIs" dxfId="8409" priority="38" operator="lessThan">
      <formula>0</formula>
    </cfRule>
  </conditionalFormatting>
  <conditionalFormatting sqref="AQ11 AQ15 AQ19 AQ23 AQ27 AQ31 AQ35 AQ39 AQ43 AQ47 AQ51 AQ55 AQ59 AQ63 AQ67 AQ71 AQ75 AQ79 AQ83 AQ87 AQ91">
    <cfRule type="cellIs" dxfId="8408" priority="37" operator="lessThan">
      <formula>0</formula>
    </cfRule>
  </conditionalFormatting>
  <conditionalFormatting sqref="AQ11 AQ15 AQ19 AQ23 AQ27 AQ31 AQ35 AQ39 AQ43 AQ47 AQ51 AQ55 AQ59 AQ63 AQ67 AQ71 AQ75 AQ79 AQ83 AQ87 AQ91">
    <cfRule type="cellIs" dxfId="8407" priority="36" operator="lessThan">
      <formula>0</formula>
    </cfRule>
  </conditionalFormatting>
  <conditionalFormatting sqref="AQ11 AQ15 AQ19 AQ23 AQ27 AQ31 AQ35 AQ39 AQ43 AQ47 AQ51 AQ55 AQ59 AQ63 AQ67 AQ71 AQ75 AQ79 AQ83 AQ87 AQ91">
    <cfRule type="cellIs" dxfId="8406" priority="35" operator="lessThan">
      <formula>0</formula>
    </cfRule>
  </conditionalFormatting>
  <conditionalFormatting sqref="AQ11 AQ15 AQ19 AQ23 AQ27 AQ31 AQ35 AQ39 AQ43 AQ47 AQ51 AQ55 AQ59 AQ63 AQ67 AQ71 AQ75 AQ79 AQ83 AQ87 AQ91">
    <cfRule type="cellIs" dxfId="8405" priority="34" operator="lessThan">
      <formula>0</formula>
    </cfRule>
  </conditionalFormatting>
  <conditionalFormatting sqref="AQ11 AQ15 AQ19 AQ23 AQ27 AQ31 AQ35 AQ39 AQ43 AQ47 AQ51 AQ55 AQ59 AQ63 AQ67 AQ71 AQ75 AQ79 AQ83 AQ87 AQ91">
    <cfRule type="cellIs" dxfId="8404" priority="33" operator="lessThan">
      <formula>0</formula>
    </cfRule>
  </conditionalFormatting>
  <conditionalFormatting sqref="AQ11 AQ15 AQ19 AQ23 AQ27 AQ31 AQ35 AQ39 AQ43 AQ47 AQ51 AQ55 AQ59 AQ63 AQ67 AQ71 AQ75 AQ79 AQ83 AQ87 AQ91">
    <cfRule type="cellIs" dxfId="8403" priority="32" operator="lessThan">
      <formula>0</formula>
    </cfRule>
  </conditionalFormatting>
  <conditionalFormatting sqref="AQ11 AQ15 AQ19 AQ23 AQ27 AQ31 AQ35 AQ39 AQ43 AQ47 AQ51 AQ55 AQ59 AQ63 AQ67 AQ71 AQ75 AQ79 AQ83 AQ87 AQ91">
    <cfRule type="cellIs" dxfId="8402" priority="31" operator="lessThan">
      <formula>0</formula>
    </cfRule>
  </conditionalFormatting>
  <conditionalFormatting sqref="AQ11 AQ15 AQ19 AQ23 AQ27 AQ31 AQ35 AQ39 AQ43 AQ47 AQ51 AQ55 AQ59 AQ63 AQ67 AQ71 AQ75 AQ79 AQ83 AQ87 AQ91">
    <cfRule type="cellIs" dxfId="8401" priority="30" operator="lessThan">
      <formula>0</formula>
    </cfRule>
  </conditionalFormatting>
  <conditionalFormatting sqref="AQ11 AQ15 AQ19 AQ23 AQ27 AQ31 AQ35 AQ39 AQ43 AQ47 AQ51 AQ55 AQ59 AQ63 AQ67 AQ71 AQ75 AQ79 AQ83 AQ87 AQ91">
    <cfRule type="cellIs" dxfId="8400" priority="29" operator="lessThan">
      <formula>0</formula>
    </cfRule>
  </conditionalFormatting>
  <conditionalFormatting sqref="AQ11 AQ15 AQ19 AQ23 AQ27 AQ31 AQ35 AQ39 AQ43 AQ47 AQ51 AQ55 AQ59 AQ63 AQ67 AQ71 AQ75 AQ79 AQ83 AQ87 AQ91">
    <cfRule type="cellIs" dxfId="8399" priority="28" operator="lessThan">
      <formula>0</formula>
    </cfRule>
  </conditionalFormatting>
  <conditionalFormatting sqref="AQ11 AQ15 AQ19 AQ23 AQ27 AQ31 AQ35 AQ39 AQ43 AQ47 AQ51 AQ55 AQ59 AQ63 AQ67 AQ71 AQ75 AQ79 AQ83 AQ87 AQ91">
    <cfRule type="cellIs" dxfId="8398" priority="27" operator="lessThan">
      <formula>0</formula>
    </cfRule>
  </conditionalFormatting>
  <conditionalFormatting sqref="AQ11 AQ15 AQ19 AQ23 AQ27 AQ31 AQ35 AQ39 AQ43 AQ47 AQ51 AQ55 AQ59 AQ63 AQ67 AQ71 AQ75 AQ79 AQ83 AQ87 AQ91">
    <cfRule type="cellIs" dxfId="8397" priority="26" operator="lessThan">
      <formula>0</formula>
    </cfRule>
  </conditionalFormatting>
  <conditionalFormatting sqref="AQ11 AQ15 AQ19 AQ23 AQ27 AQ31 AQ35 AQ39 AQ43 AQ47 AQ51 AQ55 AQ59 AQ63 AQ67 AQ71 AQ75 AQ79 AQ83 AQ87 AQ91">
    <cfRule type="cellIs" dxfId="8396" priority="25" operator="lessThan">
      <formula>0</formula>
    </cfRule>
  </conditionalFormatting>
  <conditionalFormatting sqref="AQ11 AQ15 AQ19 AQ23 AQ27 AQ31 AQ35 AQ39 AQ43 AQ47 AQ51 AQ55 AQ59 AQ63 AQ67 AQ71 AQ75 AQ79 AQ83 AQ87 AQ91">
    <cfRule type="cellIs" dxfId="8395" priority="24" operator="lessThan">
      <formula>0</formula>
    </cfRule>
  </conditionalFormatting>
  <conditionalFormatting sqref="AQ11 AQ15 AQ19 AQ23 AQ27 AQ31 AQ35 AQ39 AQ43 AQ47 AQ51 AQ55 AQ59 AQ63 AQ67 AQ71 AQ75 AQ79 AQ83 AQ87 AQ91">
    <cfRule type="cellIs" dxfId="8394" priority="23" operator="lessThan">
      <formula>0</formula>
    </cfRule>
  </conditionalFormatting>
  <conditionalFormatting sqref="AQ11 AQ15 AQ19 AQ23 AQ27 AQ31 AQ35 AQ39 AQ43 AQ47 AQ51 AQ55 AQ59 AQ63 AQ67 AQ71 AQ75 AQ79 AQ83 AQ87 AQ91">
    <cfRule type="cellIs" dxfId="8393" priority="22" operator="lessThan">
      <formula>0</formula>
    </cfRule>
  </conditionalFormatting>
  <conditionalFormatting sqref="AQ11 AQ15 AQ19 AQ23 AQ27 AQ31 AQ35 AQ39 AQ43 AQ47 AQ51 AQ55 AQ59 AQ63 AQ67 AQ71 AQ75 AQ79 AQ83 AQ87 AQ91">
    <cfRule type="cellIs" dxfId="8392" priority="21" operator="lessThan">
      <formula>0</formula>
    </cfRule>
  </conditionalFormatting>
  <conditionalFormatting sqref="AQ11 AQ15 AQ19 AQ23 AQ27 AQ31 AQ35 AQ39 AQ43 AQ47 AQ51 AQ55 AQ59 AQ63 AQ67 AQ71 AQ75 AQ79 AQ83 AQ87 AQ91">
    <cfRule type="cellIs" dxfId="8391" priority="5" operator="lessThan">
      <formula>0</formula>
    </cfRule>
  </conditionalFormatting>
  <conditionalFormatting sqref="AQ11 AQ15 AQ19 AQ23 AQ27 AQ31 AQ35 AQ39 AQ43 AQ47 AQ51 AQ55 AQ59 AQ63 AQ67 AQ71 AQ75 AQ79 AQ83 AQ87 AQ91">
    <cfRule type="cellIs" dxfId="8390" priority="20" operator="lessThan">
      <formula>0</formula>
    </cfRule>
  </conditionalFormatting>
  <conditionalFormatting sqref="AQ11 AQ15 AQ19 AQ23 AQ27 AQ31 AQ35 AQ39 AQ43 AQ47 AQ51 AQ55 AQ59 AQ63 AQ67 AQ71 AQ75 AQ79 AQ83 AQ87 AQ91">
    <cfRule type="cellIs" dxfId="8389" priority="19" operator="lessThan">
      <formula>0</formula>
    </cfRule>
  </conditionalFormatting>
  <conditionalFormatting sqref="AQ11 AQ15 AQ19 AQ23 AQ27 AQ31 AQ35 AQ39 AQ43 AQ47 AQ51 AQ55 AQ59 AQ63 AQ67 AQ71 AQ75 AQ79 AQ83 AQ87 AQ91">
    <cfRule type="cellIs" dxfId="8388" priority="18" operator="lessThan">
      <formula>0</formula>
    </cfRule>
  </conditionalFormatting>
  <conditionalFormatting sqref="AQ11 AQ15 AQ19 AQ23 AQ27 AQ31 AQ35 AQ39 AQ43 AQ47 AQ51 AQ55 AQ59 AQ63 AQ67 AQ71 AQ75 AQ79 AQ83 AQ87 AQ91">
    <cfRule type="cellIs" dxfId="8387" priority="17" operator="lessThan">
      <formula>0</formula>
    </cfRule>
  </conditionalFormatting>
  <conditionalFormatting sqref="AQ11 AQ15 AQ19 AQ23 AQ27 AQ31 AQ35 AQ39 AQ43 AQ47 AQ51 AQ55 AQ59 AQ63 AQ67 AQ71 AQ75 AQ79 AQ83 AQ87 AQ91">
    <cfRule type="cellIs" dxfId="8386" priority="16" operator="lessThan">
      <formula>0</formula>
    </cfRule>
  </conditionalFormatting>
  <conditionalFormatting sqref="AQ11 AQ15 AQ19 AQ23 AQ27 AQ31 AQ35 AQ39 AQ43 AQ47 AQ51 AQ55 AQ59 AQ63 AQ67 AQ71 AQ75 AQ79 AQ83 AQ87 AQ91">
    <cfRule type="cellIs" dxfId="8385" priority="15" operator="lessThan">
      <formula>0</formula>
    </cfRule>
  </conditionalFormatting>
  <conditionalFormatting sqref="AQ11 AQ15 AQ19 AQ23 AQ27 AQ31 AQ35 AQ39 AQ43 AQ47 AQ51 AQ55 AQ59 AQ63 AQ67 AQ71 AQ75 AQ79 AQ83 AQ87 AQ91">
    <cfRule type="cellIs" dxfId="8384" priority="14" operator="lessThan">
      <formula>0</formula>
    </cfRule>
  </conditionalFormatting>
  <conditionalFormatting sqref="AQ11 AQ15 AQ19 AQ23 AQ27 AQ31 AQ35 AQ39 AQ43 AQ47 AQ51 AQ55 AQ59 AQ63 AQ67 AQ71 AQ75 AQ79 AQ83 AQ87 AQ91">
    <cfRule type="cellIs" dxfId="8383" priority="13" operator="lessThan">
      <formula>0</formula>
    </cfRule>
  </conditionalFormatting>
  <conditionalFormatting sqref="AQ11 AQ15 AQ19 AQ23 AQ27 AQ31 AQ35 AQ39 AQ43 AQ47 AQ51 AQ55 AQ59 AQ63 AQ67 AQ71 AQ75 AQ79 AQ83 AQ87 AQ91">
    <cfRule type="cellIs" dxfId="8382" priority="12" operator="lessThan">
      <formula>0</formula>
    </cfRule>
  </conditionalFormatting>
  <conditionalFormatting sqref="AQ11 AQ15 AQ19 AQ23 AQ27 AQ31 AQ35 AQ39 AQ43 AQ47 AQ51 AQ55 AQ59 AQ63 AQ67 AQ71 AQ75 AQ79 AQ83 AQ87 AQ91">
    <cfRule type="cellIs" dxfId="8381" priority="11" operator="lessThan">
      <formula>0</formula>
    </cfRule>
  </conditionalFormatting>
  <conditionalFormatting sqref="AQ11 AQ15 AQ19 AQ23 AQ27 AQ31 AQ35 AQ39 AQ43 AQ47 AQ51 AQ55 AQ59 AQ63 AQ67 AQ71 AQ75 AQ79 AQ83 AQ87 AQ91">
    <cfRule type="cellIs" dxfId="8380" priority="10" operator="lessThan">
      <formula>0</formula>
    </cfRule>
  </conditionalFormatting>
  <conditionalFormatting sqref="AQ11 AQ15 AQ19 AQ23 AQ27 AQ31 AQ35 AQ39 AQ43 AQ47 AQ51 AQ55 AQ59 AQ63 AQ67 AQ71 AQ75 AQ79 AQ83 AQ87 AQ91">
    <cfRule type="cellIs" dxfId="8379" priority="9" operator="lessThan">
      <formula>0</formula>
    </cfRule>
  </conditionalFormatting>
  <conditionalFormatting sqref="AQ11 AQ15 AQ19 AQ23 AQ27 AQ31 AQ35 AQ39 AQ43 AQ47 AQ51 AQ55 AQ59 AQ63 AQ67 AQ71 AQ75 AQ79 AQ83 AQ87 AQ91">
    <cfRule type="cellIs" dxfId="8378" priority="8" operator="lessThan">
      <formula>0</formula>
    </cfRule>
  </conditionalFormatting>
  <conditionalFormatting sqref="AQ11 AQ15 AQ19 AQ23 AQ27 AQ31 AQ35 AQ39 AQ43 AQ47 AQ51 AQ55 AQ59 AQ63 AQ67 AQ71 AQ75 AQ79 AQ83 AQ87 AQ91">
    <cfRule type="cellIs" dxfId="8377" priority="7" operator="lessThan">
      <formula>0</formula>
    </cfRule>
  </conditionalFormatting>
  <conditionalFormatting sqref="AQ11 AQ15 AQ19 AQ23 AQ27 AQ31 AQ35 AQ39 AQ43 AQ47 AQ51 AQ55 AQ59 AQ63 AQ67 AQ71 AQ75 AQ79 AQ83 AQ87 AQ91">
    <cfRule type="cellIs" dxfId="8376" priority="6" operator="lessThan">
      <formula>0</formula>
    </cfRule>
  </conditionalFormatting>
  <conditionalFormatting sqref="J76">
    <cfRule type="cellIs" dxfId="8375" priority="4" operator="greaterThan">
      <formula>0</formula>
    </cfRule>
  </conditionalFormatting>
  <conditionalFormatting sqref="J92">
    <cfRule type="cellIs" dxfId="8374" priority="3" operator="greaterThan">
      <formula>0</formula>
    </cfRule>
  </conditionalFormatting>
  <conditionalFormatting sqref="J16">
    <cfRule type="cellIs" dxfId="8373" priority="2" operator="greaterThan">
      <formula>0</formula>
    </cfRule>
  </conditionalFormatting>
  <conditionalFormatting sqref="I16">
    <cfRule type="cellIs" dxfId="8372" priority="1" operator="greater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92" id="{26F8EC1E-9BC9-4F80-B969-0F323B73796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488" id="{6177A9CC-6C9B-4493-90D1-F38942A0668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485" id="{5E0D53B5-1FDF-45FB-97C6-EE8E1D2D4C0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481" id="{1C60B7D1-A38F-4B82-9189-938FB244E5A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478" id="{7E87471E-E1C0-4A2F-B869-72600BF88D0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474" id="{FF50C20C-52AA-4B11-950A-6267C945F2C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466" id="{2762A834-7202-42AF-A06D-7071AA1013A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461" id="{FF40BAC1-6740-47AA-898F-08F8911936F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456" id="{002C443F-5338-46A5-8405-6A5AF198A6E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452" id="{14364464-6134-43BF-843C-95742DBBBAF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448" id="{4BE6B831-0EEF-4F4B-BB4C-7C0F7446A0B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445" id="{65FCBCBC-BA8D-441C-BD43-6CBF2C61AF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438" id="{5E0F2174-654F-4FF0-8F32-DEFF72CA73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431" id="{41738F73-B5F0-4500-BBDA-602BC4ED9EF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424" id="{72C44A41-1CDC-44F2-BC26-F3C6D4D73BB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417" id="{4D330F3C-D555-4A43-824A-48B7EBCBE5E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410" id="{C02410A9-9F0B-4BE9-A7DE-8D2CFC92FB6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Z90</xm:sqref>
        </x14:conditionalFormatting>
        <x14:conditionalFormatting xmlns:xm="http://schemas.microsoft.com/office/excel/2006/main">
          <x14:cfRule type="iconSet" priority="403" id="{0BE8658A-C198-4170-8EA1-678A6DB3B5E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374" id="{3400521F-E577-46E6-8505-4161FC6E63C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366" id="{D70CBE5C-EA3F-4FEC-9D2E-9116A400C70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359" id="{D96698F7-F1B6-4A83-886B-C37C60C55E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248" id="{70C16D78-4469-422D-B35A-582115D5609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81"/>
  <sheetViews>
    <sheetView zoomScale="18" zoomScaleNormal="18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S16" sqref="S16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0.72861134052661958</v>
      </c>
      <c r="AE2" s="520"/>
      <c r="AH2" s="183">
        <f>+SUBTOTAL(9,AH6:AH103)</f>
        <v>337815</v>
      </c>
      <c r="AI2" s="183">
        <f>+SUBTOTAL(9,AI6:AI103)</f>
        <v>246135.84</v>
      </c>
      <c r="AT2" s="91">
        <v>0.59793648334624327</v>
      </c>
    </row>
    <row r="3" spans="2:58" ht="94.5" customHeight="1" x14ac:dyDescent="0.9">
      <c r="B3" s="485"/>
      <c r="C3" s="485"/>
      <c r="D3" s="485"/>
      <c r="E3" s="485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85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+SUMIF($L$6:$L$86,AA3,$AA$6:$AA$86)</f>
        <v>6951</v>
      </c>
      <c r="AB4" s="144" t="s">
        <v>28</v>
      </c>
      <c r="AC4" s="145"/>
      <c r="AD4" s="524" t="str">
        <f ca="1">RIGHT(CELL("filename",A1),LEN(CELL("filename",A1))-FIND("]",CELL("filename",A1)))</f>
        <v>14-01-2026</v>
      </c>
      <c r="AE4" s="524"/>
      <c r="AF4" s="397">
        <f>+SUM(AF6:AF91)</f>
        <v>5630.25</v>
      </c>
      <c r="AG4" s="397"/>
      <c r="AH4" s="98"/>
      <c r="AI4" s="98"/>
      <c r="AJ4" s="398">
        <v>8.75</v>
      </c>
      <c r="AQ4" s="437">
        <f>+SUBTOTAL(9,AQ6:AQ87)</f>
        <v>319.5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488</v>
      </c>
      <c r="H6" s="106"/>
      <c r="I6" s="106"/>
      <c r="J6" s="107" t="s">
        <v>20</v>
      </c>
      <c r="K6" s="108" t="s">
        <v>23</v>
      </c>
      <c r="L6" s="100" t="s">
        <v>21</v>
      </c>
      <c r="M6" s="448">
        <v>200</v>
      </c>
      <c r="N6" s="448">
        <v>100</v>
      </c>
      <c r="O6" s="448">
        <v>133</v>
      </c>
      <c r="P6" s="448">
        <v>27</v>
      </c>
      <c r="Q6" s="448"/>
      <c r="R6" s="448"/>
      <c r="S6" s="448"/>
      <c r="T6" s="448"/>
      <c r="U6" s="448"/>
      <c r="V6" s="448"/>
      <c r="W6" s="448"/>
      <c r="X6" s="447">
        <f t="shared" ref="X6" si="0">IF(AQ7="","",SUM(M6:W6)-(-(AQ7-SUM(M6:W6))/$AQ$3)*SUM($M$2:$W$2))</f>
        <v>460</v>
      </c>
      <c r="Y6" s="466">
        <v>0</v>
      </c>
      <c r="Z6" s="533">
        <f>+X8</f>
        <v>0</v>
      </c>
      <c r="AA6" s="447">
        <f t="shared" ref="AA6:AA7" si="1">+SUM(L6:W6)</f>
        <v>460</v>
      </c>
      <c r="AB6" s="343">
        <f>+AC6+AA6</f>
        <v>1910</v>
      </c>
      <c r="AC6" s="343">
        <v>1450</v>
      </c>
      <c r="AD6" s="344"/>
      <c r="AE6" s="345"/>
      <c r="AF6" s="346"/>
      <c r="AG6" s="347">
        <f t="shared" ref="AG6:AG77" si="2">TRUNC(AF6)+(AF6-TRUNC(AF6))*60/100</f>
        <v>0</v>
      </c>
      <c r="AH6" s="341">
        <f t="shared" ref="AH6:AH77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483</v>
      </c>
      <c r="E7" s="111"/>
      <c r="F7" s="111" t="s">
        <v>35</v>
      </c>
      <c r="G7" s="541" t="str">
        <f>+G6</f>
        <v>7394-593-741</v>
      </c>
      <c r="H7" s="111"/>
      <c r="I7" s="111" t="s">
        <v>33</v>
      </c>
      <c r="J7" s="113">
        <v>41.87</v>
      </c>
      <c r="K7" s="130">
        <v>60</v>
      </c>
      <c r="L7" s="101" t="s">
        <v>17</v>
      </c>
      <c r="M7" s="214">
        <v>60</v>
      </c>
      <c r="N7" s="214">
        <v>60</v>
      </c>
      <c r="O7" s="214">
        <v>60</v>
      </c>
      <c r="P7" s="214">
        <v>60</v>
      </c>
      <c r="Q7" s="214">
        <v>60</v>
      </c>
      <c r="R7" s="214">
        <v>60</v>
      </c>
      <c r="S7" s="214">
        <v>60</v>
      </c>
      <c r="T7" s="214">
        <v>60</v>
      </c>
      <c r="U7" s="214">
        <v>45</v>
      </c>
      <c r="V7" s="214"/>
      <c r="W7" s="214"/>
      <c r="X7" s="123">
        <f>+IF(H8="s",0,IF(AA7=0,0,IF(COUNTA(M7:W7)=AK9+0.25,SUMIF($C:$C,B7,$AA:$AA)/AK9,SUMIF($C:$C,B7,$AA:$AA)/(COUNTA(M7:W7)))))</f>
        <v>60</v>
      </c>
      <c r="Y7" s="466"/>
      <c r="Z7" s="534"/>
      <c r="AA7" s="134">
        <f t="shared" si="1"/>
        <v>525</v>
      </c>
      <c r="AB7" s="354">
        <f>+AA7+AC7</f>
        <v>1506</v>
      </c>
      <c r="AC7" s="354">
        <v>981</v>
      </c>
      <c r="AD7" s="355">
        <f>+AB6-AB7</f>
        <v>404</v>
      </c>
      <c r="AE7" s="131">
        <f>+IF(((AA8+(AA9/2))*60)=0,"",(J7*AA7)/((AA8+(AA9/2))*60))</f>
        <v>0.86329896907216497</v>
      </c>
      <c r="AF7" s="347">
        <f>+AA8+AA9/2</f>
        <v>424.375</v>
      </c>
      <c r="AG7" s="347">
        <f t="shared" si="2"/>
        <v>424.22500000000002</v>
      </c>
      <c r="AH7" s="341">
        <f t="shared" si="3"/>
        <v>25462.5</v>
      </c>
      <c r="AI7" s="341">
        <f>+AA7*J7</f>
        <v>21981.75</v>
      </c>
      <c r="AJ7" s="356">
        <f>+AA7-(AF7*K7/K9)</f>
        <v>-16.755319148936223</v>
      </c>
      <c r="AK7" s="348"/>
      <c r="AL7" s="349"/>
      <c r="AM7" s="341"/>
      <c r="AN7" s="341"/>
      <c r="AO7" s="341"/>
      <c r="AP7" s="341"/>
      <c r="AQ7" s="339">
        <f>-450+AA6</f>
        <v>10</v>
      </c>
      <c r="AR7" s="434">
        <v>0.76900000000000002</v>
      </c>
      <c r="AT7" s="390">
        <v>469</v>
      </c>
      <c r="AV7" s="390">
        <f>+AT7-AD7</f>
        <v>65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7394-593-741</v>
      </c>
      <c r="H8" s="411"/>
      <c r="I8" s="113">
        <f>+IFERROR(IF(K9=0,0,IF((LOOKUP(2,1/(M8:W8&lt;&gt;""),M8:W8)-K9)&lt;0,0,IF(K9=0,"",LOOKUP(2,1/(M8:W8&lt;&gt;""),M8:W8)-K9))),0)</f>
        <v>1</v>
      </c>
      <c r="J8" s="113">
        <v>1</v>
      </c>
      <c r="K8" s="114" t="s">
        <v>22</v>
      </c>
      <c r="L8" s="102" t="s">
        <v>18</v>
      </c>
      <c r="M8" s="448">
        <v>48</v>
      </c>
      <c r="N8" s="448">
        <v>48</v>
      </c>
      <c r="O8" s="448">
        <v>48</v>
      </c>
      <c r="P8" s="448">
        <v>48</v>
      </c>
      <c r="Q8" s="448">
        <v>48</v>
      </c>
      <c r="R8" s="448">
        <v>48</v>
      </c>
      <c r="S8" s="448">
        <v>48</v>
      </c>
      <c r="T8" s="448">
        <v>48</v>
      </c>
      <c r="U8" s="448">
        <v>48</v>
      </c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0</v>
      </c>
      <c r="Y8" s="466"/>
      <c r="Z8" s="534"/>
      <c r="AA8" s="462">
        <f t="shared" ref="AA8:AA9" si="4">+SUM(M8:W8)-U8*0.25</f>
        <v>420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420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7394-593-741</v>
      </c>
      <c r="H9" s="117"/>
      <c r="I9" s="442"/>
      <c r="J9" s="165">
        <f>+IF(K9="","",IF(K7=0,"",(K7*J7)/(K9*60)))</f>
        <v>0.89085106382978718</v>
      </c>
      <c r="K9" s="118">
        <v>47</v>
      </c>
      <c r="L9" s="104" t="s">
        <v>19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>
        <v>1</v>
      </c>
      <c r="U9" s="216">
        <v>1</v>
      </c>
      <c r="V9" s="216"/>
      <c r="W9" s="216"/>
      <c r="X9" s="173"/>
      <c r="Y9" s="467">
        <v>14.39</v>
      </c>
      <c r="Z9" s="365">
        <v>14.39</v>
      </c>
      <c r="AA9" s="465">
        <f t="shared" si="4"/>
        <v>8.75</v>
      </c>
      <c r="AB9" s="367"/>
      <c r="AC9" s="367"/>
      <c r="AD9" s="368">
        <f>+IFERROR(AD7/(K7*$AQ$3),"")</f>
        <v>0.7695238095238095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8.75</v>
      </c>
      <c r="AM9" s="341">
        <f>+AL9-AA9</f>
        <v>0</v>
      </c>
      <c r="AN9" s="341"/>
      <c r="AO9" s="341"/>
      <c r="AP9" s="341"/>
      <c r="AQ9" s="369"/>
      <c r="AR9" s="434"/>
      <c r="AT9" s="390">
        <v>0.89333333333333331</v>
      </c>
      <c r="AV9" s="390"/>
    </row>
    <row r="10" spans="2:58" s="98" customFormat="1" ht="62.25" customHeight="1" thickTop="1" x14ac:dyDescent="0.9">
      <c r="B10" s="342" t="str">
        <f>+B11</f>
        <v>2*</v>
      </c>
      <c r="C10" s="405"/>
      <c r="D10" s="106"/>
      <c r="E10" s="106"/>
      <c r="F10" s="106"/>
      <c r="G10" s="540" t="s">
        <v>429</v>
      </c>
      <c r="H10" s="106"/>
      <c r="I10" s="106"/>
      <c r="J10" s="107" t="s">
        <v>20</v>
      </c>
      <c r="K10" s="108" t="s">
        <v>23</v>
      </c>
      <c r="L10" s="100" t="s">
        <v>21</v>
      </c>
      <c r="M10" s="448"/>
      <c r="N10" s="448"/>
      <c r="O10" s="448"/>
      <c r="P10" s="448"/>
      <c r="Q10" s="448"/>
      <c r="R10" s="448"/>
      <c r="S10" s="448"/>
      <c r="T10" s="448"/>
      <c r="U10" s="448"/>
      <c r="V10" s="448"/>
      <c r="W10" s="448"/>
      <c r="X10" s="447" t="str">
        <f t="shared" ref="X10:X62" si="5">IF(AQ11="","",SUM(M10:W10)-(-(AQ11-SUM(M10:W10))/$AQ$3)*SUM($M$2:$W$2))</f>
        <v/>
      </c>
      <c r="Y10" s="466">
        <v>0</v>
      </c>
      <c r="Z10" s="533">
        <f>+X12</f>
        <v>0</v>
      </c>
      <c r="AA10" s="447">
        <f t="shared" ref="AA10:AA63" si="6">+SUM(L10:W10)</f>
        <v>0</v>
      </c>
      <c r="AB10" s="343">
        <f>+AC10+AA10</f>
        <v>6629</v>
      </c>
      <c r="AC10" s="343">
        <v>6629</v>
      </c>
      <c r="AD10" s="344"/>
      <c r="AE10" s="345"/>
      <c r="AF10" s="346"/>
      <c r="AG10" s="347">
        <f t="shared" si="2"/>
        <v>0</v>
      </c>
      <c r="AH10" s="341">
        <f t="shared" si="3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 t="s">
        <v>492</v>
      </c>
      <c r="C11" s="406" t="str">
        <f>+B11</f>
        <v>2*</v>
      </c>
      <c r="D11" s="407" t="s">
        <v>427</v>
      </c>
      <c r="E11" s="111"/>
      <c r="F11" s="111" t="s">
        <v>428</v>
      </c>
      <c r="G11" s="541" t="str">
        <f t="shared" ref="G11:G13" si="7">+G10</f>
        <v>NEGRONI-202942</v>
      </c>
      <c r="H11" s="111"/>
      <c r="I11" s="111" t="s">
        <v>430</v>
      </c>
      <c r="J11" s="113">
        <v>48.06</v>
      </c>
      <c r="K11" s="130">
        <v>60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123">
        <f>+IF(H12="s",0,IF(AA11=0,0,IF(COUNTA(M11:W11)=AK13+0.25,SUMIF($C:$C,B11,$AA:$AA)/AK13,SUMIF($C:$C,B11,$AA:$AA)/(COUNTA(M11:W11)))))</f>
        <v>0</v>
      </c>
      <c r="Y11" s="466"/>
      <c r="Z11" s="534"/>
      <c r="AA11" s="134">
        <f t="shared" si="6"/>
        <v>0</v>
      </c>
      <c r="AB11" s="354">
        <f>+AA11+AC11</f>
        <v>6621</v>
      </c>
      <c r="AC11" s="354">
        <v>6621</v>
      </c>
      <c r="AD11" s="355">
        <f>+AB10-AB11</f>
        <v>8</v>
      </c>
      <c r="AE11" s="131" t="str">
        <f>+IF(((AA12+(AA13/2))*60)=0,"",(J11*AA11)/((AA12+(AA13/2))*60))</f>
        <v/>
      </c>
      <c r="AF11" s="347">
        <f>+AA12+AA13/2</f>
        <v>0</v>
      </c>
      <c r="AG11" s="347">
        <f t="shared" si="2"/>
        <v>0</v>
      </c>
      <c r="AH11" s="341">
        <f t="shared" si="3"/>
        <v>0</v>
      </c>
      <c r="AI11" s="341">
        <f>+AA11*J11</f>
        <v>0</v>
      </c>
      <c r="AJ11" s="356">
        <f>+AA11-(AF11*K11/K13)</f>
        <v>0</v>
      </c>
      <c r="AK11" s="348"/>
      <c r="AL11" s="349"/>
      <c r="AM11" s="341"/>
      <c r="AN11" s="341"/>
      <c r="AO11" s="341"/>
      <c r="AP11" s="341"/>
      <c r="AQ11" s="339" t="str">
        <f t="shared" ref="AQ11:AQ63" si="8">IF(AR11=0,"",AT11-(($AQ$3*K11)+($AQ$3*K11)*AR11)+AA10)</f>
        <v/>
      </c>
      <c r="AR11" s="434"/>
      <c r="AT11" s="390">
        <v>8</v>
      </c>
      <c r="AV11" s="390">
        <f>+AT11-AD11</f>
        <v>0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 t="str">
        <f>+B11</f>
        <v>2*</v>
      </c>
      <c r="C12" s="408"/>
      <c r="D12" s="184"/>
      <c r="E12" s="111" t="str">
        <f>+B11</f>
        <v>2*</v>
      </c>
      <c r="F12" s="409"/>
      <c r="G12" s="541" t="str">
        <f t="shared" si="7"/>
        <v>NEGRONI-202942</v>
      </c>
      <c r="H12" s="411" t="s">
        <v>414</v>
      </c>
      <c r="I12" s="113">
        <f>+IFERROR(IF(K13=0,0,IF((LOOKUP(2,1/(M12:W12&lt;&gt;""),M12:W12)-K13)&lt;0,0,IF(K13=0,"",LOOKUP(2,1/(M12:W12&lt;&gt;""),M12:W12)-K13))),0)</f>
        <v>0</v>
      </c>
      <c r="J12" s="113">
        <v>0</v>
      </c>
      <c r="K12" s="114" t="s">
        <v>22</v>
      </c>
      <c r="L12" s="102" t="s">
        <v>18</v>
      </c>
      <c r="M12" s="448"/>
      <c r="N12" s="448"/>
      <c r="O12" s="448"/>
      <c r="P12" s="448"/>
      <c r="Q12" s="448"/>
      <c r="R12" s="448"/>
      <c r="S12" s="448"/>
      <c r="T12" s="448"/>
      <c r="U12" s="448"/>
      <c r="V12" s="448"/>
      <c r="W12" s="448"/>
      <c r="X12" s="160">
        <f>+IF(H12="l",IF(COUNTA(M11:W11)=AK13+0.25,AA11-K11*AK13,AA11-(K11*COUNTA(M11:W11))),IF(H12="s",0,IF(COUNTA(M11:W11)=AK13+0.25,SUMIF($C:$C,B11,$AA:$AA)-K11*AK13,SUMIF($C:$C,B11,$AA:$AA)-K11*COUNTA(M11:W11))))</f>
        <v>0</v>
      </c>
      <c r="Y12" s="466"/>
      <c r="Z12" s="534"/>
      <c r="AA12" s="462">
        <f t="shared" ref="AA12:AA65" si="9">+SUM(M12:W12)-U12*0.25</f>
        <v>0</v>
      </c>
      <c r="AB12" s="360"/>
      <c r="AC12" s="360"/>
      <c r="AD12" s="362"/>
      <c r="AE12" s="363"/>
      <c r="AF12" s="346"/>
      <c r="AG12" s="347">
        <f t="shared" si="2"/>
        <v>0</v>
      </c>
      <c r="AH12" s="341">
        <f t="shared" si="3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0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 t="str">
        <f>+B11</f>
        <v>2*</v>
      </c>
      <c r="C13" s="410"/>
      <c r="D13" s="174" t="s">
        <v>419</v>
      </c>
      <c r="E13" s="175" t="e">
        <f>+E12+100</f>
        <v>#VALUE!</v>
      </c>
      <c r="F13" s="175"/>
      <c r="G13" s="542" t="str">
        <f t="shared" si="7"/>
        <v>NEGRONI-202942</v>
      </c>
      <c r="H13" s="117"/>
      <c r="I13" s="442"/>
      <c r="J13" s="165">
        <f>+IF(K13="","",IF(K11=0,"",(K11*J11)/(K13*60)))</f>
        <v>0.87381818181818194</v>
      </c>
      <c r="K13" s="118">
        <v>55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36.14</v>
      </c>
      <c r="Z13" s="365">
        <v>36.14</v>
      </c>
      <c r="AA13" s="465">
        <f t="shared" si="9"/>
        <v>0</v>
      </c>
      <c r="AB13" s="367"/>
      <c r="AC13" s="367"/>
      <c r="AD13" s="368">
        <f>+IFERROR(AD11/(K11*$AQ$3),"")</f>
        <v>1.5238095238095238E-2</v>
      </c>
      <c r="AE13" s="369"/>
      <c r="AF13" s="347"/>
      <c r="AG13" s="347">
        <f t="shared" si="2"/>
        <v>0</v>
      </c>
      <c r="AH13" s="341">
        <f t="shared" si="3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1.5238095238095238E-2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40" t="s">
        <v>481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120</v>
      </c>
      <c r="N14" s="448">
        <v>120</v>
      </c>
      <c r="O14" s="448">
        <v>120</v>
      </c>
      <c r="P14" s="448">
        <v>60</v>
      </c>
      <c r="Q14" s="448">
        <v>60</v>
      </c>
      <c r="R14" s="448">
        <v>60</v>
      </c>
      <c r="S14" s="448"/>
      <c r="T14" s="448"/>
      <c r="U14" s="448"/>
      <c r="V14" s="448"/>
      <c r="W14" s="448"/>
      <c r="X14" s="447">
        <f t="shared" si="5"/>
        <v>540</v>
      </c>
      <c r="Y14" s="466">
        <v>0</v>
      </c>
      <c r="Z14" s="533">
        <f>+X16</f>
        <v>0.25</v>
      </c>
      <c r="AA14" s="447">
        <f t="shared" si="6"/>
        <v>540</v>
      </c>
      <c r="AB14" s="343">
        <f>+AC14+AA14</f>
        <v>2796</v>
      </c>
      <c r="AC14" s="343">
        <v>2256</v>
      </c>
      <c r="AD14" s="344"/>
      <c r="AE14" s="345"/>
      <c r="AF14" s="346"/>
      <c r="AG14" s="347">
        <f t="shared" si="2"/>
        <v>0</v>
      </c>
      <c r="AH14" s="341">
        <f t="shared" si="3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480</v>
      </c>
      <c r="E15" s="111"/>
      <c r="F15" s="111" t="s">
        <v>35</v>
      </c>
      <c r="G15" s="541" t="str">
        <f t="shared" ref="G15:G17" si="10">+G14</f>
        <v>2396-593-600</v>
      </c>
      <c r="H15" s="111"/>
      <c r="I15" s="111" t="s">
        <v>33</v>
      </c>
      <c r="J15" s="113">
        <v>38.82</v>
      </c>
      <c r="K15" s="130">
        <v>61</v>
      </c>
      <c r="L15" s="101" t="s">
        <v>17</v>
      </c>
      <c r="M15" s="214">
        <v>60</v>
      </c>
      <c r="N15" s="214">
        <v>62</v>
      </c>
      <c r="O15" s="214">
        <v>61</v>
      </c>
      <c r="P15" s="214">
        <v>61</v>
      </c>
      <c r="Q15" s="214">
        <v>61</v>
      </c>
      <c r="R15" s="214">
        <v>61</v>
      </c>
      <c r="S15" s="214">
        <v>61</v>
      </c>
      <c r="T15" s="214">
        <v>61</v>
      </c>
      <c r="U15" s="214">
        <v>46</v>
      </c>
      <c r="V15" s="214"/>
      <c r="W15" s="214"/>
      <c r="X15" s="123">
        <f>+IF(H16="s",0,IF(AA15=0,0,IF(COUNTA(M15:W15)=AK17+0.25,SUMIF($C:$C,B15,$AA:$AA)/AK17,SUMIF($C:$C,B15,$AA:$AA)/(COUNTA(M15:W15)))))</f>
        <v>61.028571428571432</v>
      </c>
      <c r="Y15" s="466"/>
      <c r="Z15" s="534"/>
      <c r="AA15" s="134">
        <f t="shared" si="6"/>
        <v>534</v>
      </c>
      <c r="AB15" s="354">
        <f>+AA15+AC15</f>
        <v>2018</v>
      </c>
      <c r="AC15" s="354">
        <v>1484</v>
      </c>
      <c r="AD15" s="355">
        <f>+AB14-AB15</f>
        <v>778</v>
      </c>
      <c r="AE15" s="131">
        <f>+IF(((AA16+(AA17/2))*60)=0,"",(J15*AA15)/((AA16+(AA17/2))*60))</f>
        <v>0.89739740259740264</v>
      </c>
      <c r="AF15" s="347">
        <f>+AA16+AA17/2</f>
        <v>385</v>
      </c>
      <c r="AG15" s="347">
        <f t="shared" si="2"/>
        <v>385</v>
      </c>
      <c r="AH15" s="341">
        <f t="shared" si="3"/>
        <v>23100</v>
      </c>
      <c r="AI15" s="341">
        <f>+AA15*J15</f>
        <v>20729.88</v>
      </c>
      <c r="AJ15" s="356">
        <f>+AA15-(AF15*K15/K17)</f>
        <v>-12.162790697674382</v>
      </c>
      <c r="AK15" s="348"/>
      <c r="AL15" s="349"/>
      <c r="AM15" s="341"/>
      <c r="AN15" s="341"/>
      <c r="AO15" s="341"/>
      <c r="AP15" s="341"/>
      <c r="AQ15" s="339">
        <f>-540+AA14</f>
        <v>0</v>
      </c>
      <c r="AR15" s="434">
        <v>1.5</v>
      </c>
      <c r="AT15" s="390">
        <v>772</v>
      </c>
      <c r="AV15" s="390">
        <f>+AT15-AD15</f>
        <v>-6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/>
      <c r="F16" s="409"/>
      <c r="G16" s="541" t="str">
        <f t="shared" si="10"/>
        <v>2396-593-600</v>
      </c>
      <c r="H16" s="411" t="s">
        <v>412</v>
      </c>
      <c r="I16" s="113">
        <f>+IFERROR(IF(K17=0,0,IF((LOOKUP(2,1/(M16:W16&lt;&gt;""),M16:W16)-K17)&lt;0,0,IF(K17=0,"",LOOKUP(2,1/(M16:W16&lt;&gt;""),M16:W16)-K17))),0)</f>
        <v>1</v>
      </c>
      <c r="J16" s="113">
        <v>2</v>
      </c>
      <c r="K16" s="114" t="s">
        <v>22</v>
      </c>
      <c r="L16" s="102" t="s">
        <v>18</v>
      </c>
      <c r="M16" s="448">
        <v>44</v>
      </c>
      <c r="N16" s="448">
        <v>44</v>
      </c>
      <c r="O16" s="448">
        <v>44</v>
      </c>
      <c r="P16" s="448">
        <v>44</v>
      </c>
      <c r="Q16" s="448">
        <v>44</v>
      </c>
      <c r="R16" s="448">
        <v>44</v>
      </c>
      <c r="S16" s="448">
        <v>44</v>
      </c>
      <c r="T16" s="448">
        <v>44</v>
      </c>
      <c r="U16" s="448">
        <v>44</v>
      </c>
      <c r="V16" s="448"/>
      <c r="W16" s="448"/>
      <c r="X16" s="160">
        <f>+IF(H16="l",IF(COUNTA(M15:W15)=AK17+0.25,AA15-K15*AK17,AA15-(K15*COUNTA(M15:W15))),IF(H16="s",0,IF(COUNTA(M15:W15)=AK17+0.25,SUMIF($C:$C,B15,$AA:$AA)-K15*AK17,SUMIF($C:$C,B15,$AA:$AA)-K15*COUNTA(M15:W15))))</f>
        <v>0.25</v>
      </c>
      <c r="Y16" s="466"/>
      <c r="Z16" s="534"/>
      <c r="AA16" s="462">
        <f t="shared" si="9"/>
        <v>385</v>
      </c>
      <c r="AB16" s="360"/>
      <c r="AC16" s="360"/>
      <c r="AD16" s="362"/>
      <c r="AE16" s="363"/>
      <c r="AF16" s="346"/>
      <c r="AG16" s="347">
        <f t="shared" si="2"/>
        <v>0</v>
      </c>
      <c r="AH16" s="341">
        <f t="shared" si="3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385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/>
      <c r="F17" s="175"/>
      <c r="G17" s="542" t="str">
        <f t="shared" si="10"/>
        <v>2396-593-600</v>
      </c>
      <c r="H17" s="117"/>
      <c r="I17" s="442"/>
      <c r="J17" s="165">
        <f>+IF(K17="","",IF(K15=0,"",(K15*J15)/(K17*60)))</f>
        <v>0.9178372093023256</v>
      </c>
      <c r="K17" s="118">
        <v>43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9.8341269841269856</v>
      </c>
      <c r="Z17" s="365">
        <v>9.8341269841269856</v>
      </c>
      <c r="AA17" s="465">
        <f t="shared" si="9"/>
        <v>0</v>
      </c>
      <c r="AB17" s="367"/>
      <c r="AC17" s="367"/>
      <c r="AD17" s="368">
        <f>+IFERROR(AD15/(K15*$AQ$3),"")</f>
        <v>1.4576112412177986</v>
      </c>
      <c r="AE17" s="369"/>
      <c r="AF17" s="347"/>
      <c r="AG17" s="347">
        <f t="shared" si="2"/>
        <v>0</v>
      </c>
      <c r="AH17" s="341">
        <f t="shared" si="3"/>
        <v>0</v>
      </c>
      <c r="AI17" s="341"/>
      <c r="AJ17" s="356"/>
      <c r="AK17" s="370">
        <f>+$AJ$4</f>
        <v>8.75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1.4704761904761905</v>
      </c>
      <c r="AV17" s="390"/>
    </row>
    <row r="18" spans="2:58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540" t="s">
        <v>489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70</v>
      </c>
      <c r="N18" s="448">
        <v>70</v>
      </c>
      <c r="O18" s="448">
        <v>140</v>
      </c>
      <c r="P18" s="448">
        <v>70</v>
      </c>
      <c r="Q18" s="448"/>
      <c r="R18" s="448"/>
      <c r="S18" s="448"/>
      <c r="T18" s="448"/>
      <c r="U18" s="448"/>
      <c r="V18" s="448"/>
      <c r="W18" s="448"/>
      <c r="X18" s="447">
        <f t="shared" si="5"/>
        <v>350</v>
      </c>
      <c r="Y18" s="466">
        <v>0</v>
      </c>
      <c r="Z18" s="533">
        <f>+X20</f>
        <v>0</v>
      </c>
      <c r="AA18" s="447">
        <f t="shared" si="6"/>
        <v>350</v>
      </c>
      <c r="AB18" s="343">
        <f>+AC18+AA18</f>
        <v>1253</v>
      </c>
      <c r="AC18" s="343">
        <v>903</v>
      </c>
      <c r="AD18" s="344"/>
      <c r="AE18" s="345"/>
      <c r="AF18" s="346"/>
      <c r="AG18" s="347"/>
      <c r="AH18" s="341"/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3</v>
      </c>
      <c r="C19" s="406">
        <v>3</v>
      </c>
      <c r="D19" s="407" t="s">
        <v>490</v>
      </c>
      <c r="E19" s="111"/>
      <c r="F19" s="111" t="s">
        <v>475</v>
      </c>
      <c r="G19" s="541" t="str">
        <f>+G18</f>
        <v xml:space="preserve">PAULSON  </v>
      </c>
      <c r="H19" s="111"/>
      <c r="I19" s="111" t="s">
        <v>41</v>
      </c>
      <c r="J19" s="113"/>
      <c r="K19" s="130">
        <v>110</v>
      </c>
      <c r="L19" s="101" t="s">
        <v>17</v>
      </c>
      <c r="M19" s="214">
        <v>0</v>
      </c>
      <c r="N19" s="214">
        <v>0</v>
      </c>
      <c r="O19" s="214">
        <v>0</v>
      </c>
      <c r="P19" s="214">
        <v>0</v>
      </c>
      <c r="Q19" s="214">
        <v>0</v>
      </c>
      <c r="R19" s="214">
        <v>0</v>
      </c>
      <c r="S19" s="214">
        <v>0</v>
      </c>
      <c r="T19" s="214">
        <v>0</v>
      </c>
      <c r="U19" s="214">
        <v>0</v>
      </c>
      <c r="V19" s="214"/>
      <c r="W19" s="214"/>
      <c r="X19" s="123">
        <f>+IF(H20="s",0,IF(AA19=0,0,IF(COUNTA(M19:W19)=AK21+0.25,SUMIF($C:$C,B19,$AA:$AA)/AK21,SUMIF($C:$C,B19,$AA:$AA)/(COUNTA(M19:W19)))))</f>
        <v>0</v>
      </c>
      <c r="Y19" s="466"/>
      <c r="Z19" s="534"/>
      <c r="AA19" s="134">
        <f t="shared" si="6"/>
        <v>0</v>
      </c>
      <c r="AB19" s="354">
        <f>+AA19+AC19</f>
        <v>0</v>
      </c>
      <c r="AC19" s="354">
        <v>0</v>
      </c>
      <c r="AD19" s="355">
        <f>+AB18-AB19</f>
        <v>1253</v>
      </c>
      <c r="AE19" s="131" t="str">
        <f>+IF(((AA20+(AA21/2))*60)=0,"",(J19*AA19)/((AA20+(AA21/2))*60))</f>
        <v/>
      </c>
      <c r="AF19" s="347"/>
      <c r="AG19" s="347"/>
      <c r="AH19" s="341"/>
      <c r="AI19" s="341"/>
      <c r="AJ19" s="356"/>
      <c r="AK19" s="348"/>
      <c r="AL19" s="349"/>
      <c r="AM19" s="341"/>
      <c r="AN19" s="341"/>
      <c r="AO19" s="341"/>
      <c r="AP19" s="341"/>
      <c r="AQ19" s="339">
        <f>-350+AA18</f>
        <v>0</v>
      </c>
      <c r="AR19" s="434">
        <v>1.5</v>
      </c>
      <c r="AT19" s="390">
        <v>903</v>
      </c>
      <c r="AV19" s="390">
        <f t="shared" ref="AV19" si="11">+AT19-AD19</f>
        <v>-350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541" t="str">
        <f>+G18</f>
        <v xml:space="preserve">PAULSON  </v>
      </c>
      <c r="H20" s="411" t="s">
        <v>414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160">
        <f>+IF(H20="l",IF(COUNTA(M19:W19)=AK21+0.25,AA19-K19*AK21,AA19-(K19*COUNTA(M19:W19))),IF(H20="s",0,IF(COUNTA(M19:W19)=AK21+0.25,SUMIF($C:$C,B19,$AA:$AA)-K19*AK21,SUMIF($C:$C,B19,$AA:$AA)-K19*COUNTA(M19:W19))))</f>
        <v>0</v>
      </c>
      <c r="Y20" s="466"/>
      <c r="Z20" s="534"/>
      <c r="AA20" s="462">
        <f t="shared" si="9"/>
        <v>0</v>
      </c>
      <c r="AB20" s="360"/>
      <c r="AC20" s="360"/>
      <c r="AD20" s="362"/>
      <c r="AE20" s="363"/>
      <c r="AF20" s="346"/>
      <c r="AG20" s="347"/>
      <c r="AH20" s="341"/>
      <c r="AI20" s="341"/>
      <c r="AJ20" s="341"/>
      <c r="AK20" s="348"/>
      <c r="AL20" s="349"/>
      <c r="AM20" s="341"/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542" t="str">
        <f>+G18</f>
        <v xml:space="preserve">PAULSON  </v>
      </c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>
        <v>17.5</v>
      </c>
      <c r="Z21" s="371">
        <f>+IF(COUNTA(M19:W19)=$AJ$4+0.25,$AJ$4-(AA19/K19),COUNTA(M19:W19)-(AA19/K19))+Y21</f>
        <v>26.25</v>
      </c>
      <c r="AA21" s="465">
        <f t="shared" si="9"/>
        <v>0</v>
      </c>
      <c r="AB21" s="367"/>
      <c r="AC21" s="367"/>
      <c r="AD21" s="368">
        <f>+IFERROR(AD19/(K19*$AQ$3),"")</f>
        <v>1.3018181818181818</v>
      </c>
      <c r="AE21" s="369"/>
      <c r="AF21" s="347"/>
      <c r="AG21" s="347"/>
      <c r="AH21" s="341"/>
      <c r="AI21" s="341"/>
      <c r="AJ21" s="356"/>
      <c r="AK21" s="370">
        <f>+$AJ$4</f>
        <v>8.75</v>
      </c>
      <c r="AL21" s="349"/>
      <c r="AM21" s="341"/>
      <c r="AN21" s="341"/>
      <c r="AO21" s="341"/>
      <c r="AP21" s="341"/>
      <c r="AQ21" s="369"/>
      <c r="AR21" s="434"/>
      <c r="AT21" s="390">
        <v>0.93818181818181823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539" t="s">
        <v>424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7" t="str">
        <f t="shared" si="5"/>
        <v/>
      </c>
      <c r="Y22" s="466">
        <v>0</v>
      </c>
      <c r="Z22" s="533">
        <f>+X24</f>
        <v>0</v>
      </c>
      <c r="AA22" s="447">
        <f t="shared" si="6"/>
        <v>0</v>
      </c>
      <c r="AB22" s="343">
        <f>+AC22+AA22</f>
        <v>8799</v>
      </c>
      <c r="AC22" s="343">
        <v>8799</v>
      </c>
      <c r="AD22" s="344"/>
      <c r="AE22" s="345"/>
      <c r="AF22" s="346"/>
      <c r="AG22" s="347">
        <f t="shared" si="2"/>
        <v>0</v>
      </c>
      <c r="AH22" s="341">
        <f t="shared" si="3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4</v>
      </c>
      <c r="C23" s="406">
        <f>+B23</f>
        <v>4</v>
      </c>
      <c r="D23" s="407" t="s">
        <v>423</v>
      </c>
      <c r="E23" s="111"/>
      <c r="F23" s="111" t="s">
        <v>35</v>
      </c>
      <c r="G23" s="539" t="str">
        <f t="shared" ref="G23:G25" si="12">+G22</f>
        <v>2215-518-800</v>
      </c>
      <c r="H23" s="111"/>
      <c r="I23" s="111" t="s">
        <v>33</v>
      </c>
      <c r="J23" s="113">
        <v>33.42</v>
      </c>
      <c r="K23" s="130">
        <v>61</v>
      </c>
      <c r="L23" s="101" t="s">
        <v>17</v>
      </c>
      <c r="M23" s="214"/>
      <c r="N23" s="214"/>
      <c r="O23" s="214"/>
      <c r="P23" s="214"/>
      <c r="Q23" s="214"/>
      <c r="R23" s="214"/>
      <c r="S23" s="214"/>
      <c r="T23" s="214"/>
      <c r="U23" s="214"/>
      <c r="V23" s="214"/>
      <c r="W23" s="214"/>
      <c r="X23" s="123">
        <f>+IF(H24="s",0,IF(AA23=0,0,IF(COUNTA(M23:W23)=AK25+0.25,SUMIF($C:$C,B23,$AA:$AA)/AK25,SUMIF($C:$C,B23,$AA:$AA)/(COUNTA(M23:W23)))))</f>
        <v>0</v>
      </c>
      <c r="Y23" s="466"/>
      <c r="Z23" s="534"/>
      <c r="AA23" s="134">
        <f t="shared" si="6"/>
        <v>0</v>
      </c>
      <c r="AB23" s="354">
        <f>+AA23+AC23</f>
        <v>8783</v>
      </c>
      <c r="AC23" s="354">
        <v>8783</v>
      </c>
      <c r="AD23" s="355">
        <f>+AB22-AB23</f>
        <v>16</v>
      </c>
      <c r="AE23" s="131" t="str">
        <f>+IF(((AA24+(AA25/2))*60)=0,"",(J23*AA23)/((AA24+(AA25/2))*60))</f>
        <v/>
      </c>
      <c r="AF23" s="347">
        <f>+AA24+AA25/2</f>
        <v>0</v>
      </c>
      <c r="AG23" s="347">
        <f t="shared" si="2"/>
        <v>0</v>
      </c>
      <c r="AH23" s="341">
        <f t="shared" si="3"/>
        <v>0</v>
      </c>
      <c r="AI23" s="341">
        <f>+AA23*J23</f>
        <v>0</v>
      </c>
      <c r="AJ23" s="356">
        <f>+AA23-(AF23*K23/K25)</f>
        <v>0</v>
      </c>
      <c r="AK23" s="348"/>
      <c r="AL23" s="349"/>
      <c r="AM23" s="341"/>
      <c r="AN23" s="341"/>
      <c r="AO23" s="341"/>
      <c r="AP23" s="341"/>
      <c r="AQ23" s="339" t="str">
        <f t="shared" si="8"/>
        <v/>
      </c>
      <c r="AR23" s="434"/>
      <c r="AT23" s="390">
        <v>16</v>
      </c>
      <c r="AV23" s="390">
        <f t="shared" ref="AV23" si="13">+AT23-AD23</f>
        <v>0</v>
      </c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539" t="str">
        <f t="shared" si="12"/>
        <v>2215-518-800</v>
      </c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>
        <v>0</v>
      </c>
      <c r="K24" s="114" t="s">
        <v>22</v>
      </c>
      <c r="L24" s="102" t="s">
        <v>18</v>
      </c>
      <c r="M24" s="448"/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160">
        <f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si="9"/>
        <v>0</v>
      </c>
      <c r="AB24" s="360"/>
      <c r="AC24" s="360"/>
      <c r="AD24" s="362"/>
      <c r="AE24" s="363"/>
      <c r="AF24" s="346"/>
      <c r="AG24" s="347">
        <f t="shared" si="2"/>
        <v>0</v>
      </c>
      <c r="AH24" s="341">
        <f t="shared" si="3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0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539" t="str">
        <f t="shared" si="12"/>
        <v>2215-518-800</v>
      </c>
      <c r="H25" s="117"/>
      <c r="I25" s="442"/>
      <c r="J25" s="165">
        <f>+IF(K25="","",IF(K23=0,"",(K23*J23)/(K25*60)))</f>
        <v>0.8941315789473685</v>
      </c>
      <c r="K25" s="118">
        <v>38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24.63</v>
      </c>
      <c r="Z25" s="365">
        <v>24.63</v>
      </c>
      <c r="AA25" s="465">
        <f t="shared" si="9"/>
        <v>0</v>
      </c>
      <c r="AB25" s="367"/>
      <c r="AC25" s="367"/>
      <c r="AD25" s="368">
        <f>+IFERROR(AD23/(K23*$AQ$3),"")</f>
        <v>2.9976580796252927E-2</v>
      </c>
      <c r="AE25" s="369"/>
      <c r="AF25" s="347"/>
      <c r="AG25" s="347">
        <f t="shared" si="2"/>
        <v>0</v>
      </c>
      <c r="AH25" s="341">
        <f t="shared" si="3"/>
        <v>0</v>
      </c>
      <c r="AI25" s="341"/>
      <c r="AJ25" s="356"/>
      <c r="AK25" s="370">
        <f>+$AJ$4</f>
        <v>8.75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2.9976580796252927E-2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40" t="s">
        <v>442</v>
      </c>
      <c r="H26" s="106"/>
      <c r="I26" s="106"/>
      <c r="J26" s="107" t="s">
        <v>20</v>
      </c>
      <c r="K26" s="108" t="s">
        <v>23</v>
      </c>
      <c r="L26" s="100" t="s">
        <v>21</v>
      </c>
      <c r="M26" s="448">
        <v>60</v>
      </c>
      <c r="N26" s="448">
        <v>60</v>
      </c>
      <c r="O26" s="448">
        <v>60</v>
      </c>
      <c r="P26" s="448">
        <v>60</v>
      </c>
      <c r="Q26" s="448"/>
      <c r="R26" s="448">
        <v>60</v>
      </c>
      <c r="S26" s="448">
        <v>180</v>
      </c>
      <c r="T26" s="448"/>
      <c r="U26" s="448"/>
      <c r="V26" s="448"/>
      <c r="W26" s="448"/>
      <c r="X26" s="447">
        <f t="shared" si="5"/>
        <v>480</v>
      </c>
      <c r="Y26" s="466">
        <v>-83.75</v>
      </c>
      <c r="Z26" s="533">
        <f>+X28</f>
        <v>0.25</v>
      </c>
      <c r="AA26" s="447">
        <f t="shared" si="6"/>
        <v>480</v>
      </c>
      <c r="AB26" s="343">
        <f>+AC26+AA26</f>
        <v>4321</v>
      </c>
      <c r="AC26" s="343">
        <v>3841</v>
      </c>
      <c r="AD26" s="344"/>
      <c r="AE26" s="345"/>
      <c r="AF26" s="346"/>
      <c r="AG26" s="347">
        <f t="shared" si="2"/>
        <v>0</v>
      </c>
      <c r="AH26" s="341">
        <f t="shared" si="3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4</v>
      </c>
      <c r="C27" s="406">
        <f>+B27</f>
        <v>4</v>
      </c>
      <c r="D27" s="407" t="s">
        <v>441</v>
      </c>
      <c r="E27" s="111"/>
      <c r="F27" s="111" t="s">
        <v>35</v>
      </c>
      <c r="G27" s="541" t="str">
        <f t="shared" ref="G27:G29" si="14">+G26</f>
        <v>2259-600-730</v>
      </c>
      <c r="H27" s="111"/>
      <c r="I27" s="111" t="s">
        <v>33</v>
      </c>
      <c r="J27" s="113">
        <v>34.450000000000003</v>
      </c>
      <c r="K27" s="130">
        <v>61</v>
      </c>
      <c r="L27" s="101" t="s">
        <v>17</v>
      </c>
      <c r="M27" s="214">
        <v>61</v>
      </c>
      <c r="N27" s="214">
        <v>61</v>
      </c>
      <c r="O27" s="214">
        <v>61</v>
      </c>
      <c r="P27" s="214">
        <v>61</v>
      </c>
      <c r="Q27" s="214">
        <v>61</v>
      </c>
      <c r="R27" s="214">
        <v>61</v>
      </c>
      <c r="S27" s="214">
        <v>45</v>
      </c>
      <c r="T27" s="214">
        <v>61</v>
      </c>
      <c r="U27" s="214">
        <v>62</v>
      </c>
      <c r="V27" s="214"/>
      <c r="W27" s="214"/>
      <c r="X27" s="123">
        <f>+IF(H28="s",0,IF(AA27=0,0,IF(COUNTA(M27:W27)=AK29+0.25,SUMIF($C:$C,B27,$AA:$AA)/AK29,SUMIF($C:$C,B27,$AA:$AA)/(COUNTA(M27:W27)))))</f>
        <v>61.028571428571432</v>
      </c>
      <c r="Y27" s="466"/>
      <c r="Z27" s="534"/>
      <c r="AA27" s="134">
        <f t="shared" si="6"/>
        <v>534</v>
      </c>
      <c r="AB27" s="354">
        <f>+AA27+AC27</f>
        <v>3492</v>
      </c>
      <c r="AC27" s="354">
        <v>2958</v>
      </c>
      <c r="AD27" s="355">
        <f>+AB26-AB27</f>
        <v>829</v>
      </c>
      <c r="AE27" s="131">
        <f>+IF(((AA28+(AA29/2))*60)=0,"",(J27*AA27)/((AA28+(AA29/2))*60))</f>
        <v>0.87445276292335128</v>
      </c>
      <c r="AF27" s="347">
        <f>+AA28+AA29/2</f>
        <v>350.625</v>
      </c>
      <c r="AG27" s="347">
        <f t="shared" si="2"/>
        <v>350.375</v>
      </c>
      <c r="AH27" s="341">
        <f t="shared" si="3"/>
        <v>21037.5</v>
      </c>
      <c r="AI27" s="341">
        <f>+AA27*J27</f>
        <v>18396.300000000003</v>
      </c>
      <c r="AJ27" s="356">
        <f>+AA27-(AF27*K27/K29)</f>
        <v>-28.845394736842081</v>
      </c>
      <c r="AK27" s="348"/>
      <c r="AL27" s="349"/>
      <c r="AM27" s="341"/>
      <c r="AN27" s="341"/>
      <c r="AO27" s="341"/>
      <c r="AP27" s="341"/>
      <c r="AQ27" s="339">
        <f t="shared" si="8"/>
        <v>28.625</v>
      </c>
      <c r="AR27" s="434">
        <v>1.5</v>
      </c>
      <c r="AT27" s="390">
        <v>883</v>
      </c>
      <c r="AV27" s="390">
        <f t="shared" ref="AV27" si="15">+AT27-AD27</f>
        <v>54</v>
      </c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41" t="str">
        <f t="shared" si="14"/>
        <v>2259-600-730</v>
      </c>
      <c r="H28" s="411" t="s">
        <v>412</v>
      </c>
      <c r="I28" s="113">
        <f>+IFERROR(IF(K29=0,0,IF((LOOKUP(2,1/(M28:W28&lt;&gt;""),M28:W28)-K29)&lt;0,0,IF(K29=0,"",LOOKUP(2,1/(M28:W28&lt;&gt;""),M28:W28)-K29))),0)</f>
        <v>1</v>
      </c>
      <c r="J28" s="113">
        <v>1</v>
      </c>
      <c r="K28" s="114" t="s">
        <v>22</v>
      </c>
      <c r="L28" s="102" t="s">
        <v>18</v>
      </c>
      <c r="M28" s="448">
        <v>40</v>
      </c>
      <c r="N28" s="448">
        <v>40</v>
      </c>
      <c r="O28" s="448">
        <v>40</v>
      </c>
      <c r="P28" s="448">
        <v>40</v>
      </c>
      <c r="Q28" s="448">
        <v>40</v>
      </c>
      <c r="R28" s="448">
        <v>39</v>
      </c>
      <c r="S28" s="448">
        <v>39</v>
      </c>
      <c r="T28" s="448">
        <v>39</v>
      </c>
      <c r="U28" s="448">
        <v>39</v>
      </c>
      <c r="V28" s="448"/>
      <c r="W28" s="448"/>
      <c r="X28" s="160">
        <f>+IF(H28="l",IF(COUNTA(M27:W27)=AK29+0.25,AA27-K27*AK29,AA27-(K27*COUNTA(M27:W27))),IF(H28="s",0,IF(COUNTA(M27:W27)=AK29+0.25,SUMIF($C:$C,B27,$AA:$AA)-K27*AK29,SUMIF($C:$C,B27,$AA:$AA)-K27*COUNTA(M27:W27))))</f>
        <v>0.25</v>
      </c>
      <c r="Y28" s="466"/>
      <c r="Z28" s="534"/>
      <c r="AA28" s="462">
        <f t="shared" si="9"/>
        <v>346.25</v>
      </c>
      <c r="AB28" s="360"/>
      <c r="AC28" s="360"/>
      <c r="AD28" s="362"/>
      <c r="AE28" s="363"/>
      <c r="AF28" s="346"/>
      <c r="AG28" s="347">
        <f t="shared" si="2"/>
        <v>0</v>
      </c>
      <c r="AH28" s="341">
        <f t="shared" si="3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346.25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42" t="str">
        <f t="shared" si="14"/>
        <v>2259-600-730</v>
      </c>
      <c r="H29" s="117"/>
      <c r="I29" s="442"/>
      <c r="J29" s="165">
        <f>+IF(K29="","",IF(K27=0,"",(K27*J27)/(K29*60)))</f>
        <v>0.92168859649122814</v>
      </c>
      <c r="K29" s="118">
        <v>38</v>
      </c>
      <c r="L29" s="104" t="s">
        <v>19</v>
      </c>
      <c r="M29" s="216">
        <v>1</v>
      </c>
      <c r="N29" s="216">
        <v>1</v>
      </c>
      <c r="O29" s="216">
        <v>1</v>
      </c>
      <c r="P29" s="216">
        <v>1</v>
      </c>
      <c r="Q29" s="216">
        <v>1</v>
      </c>
      <c r="R29" s="216">
        <v>1</v>
      </c>
      <c r="S29" s="216">
        <v>1</v>
      </c>
      <c r="T29" s="216">
        <v>1</v>
      </c>
      <c r="U29" s="216">
        <v>1</v>
      </c>
      <c r="V29" s="216"/>
      <c r="W29" s="216"/>
      <c r="X29" s="173"/>
      <c r="Y29" s="467">
        <v>18.90949978982766</v>
      </c>
      <c r="Z29" s="467">
        <v>18.90949978982766</v>
      </c>
      <c r="AA29" s="465">
        <f t="shared" si="9"/>
        <v>8.75</v>
      </c>
      <c r="AB29" s="367"/>
      <c r="AC29" s="367"/>
      <c r="AD29" s="368">
        <f>+IFERROR(AD27/(K27*$AQ$3),"")</f>
        <v>1.5531615925058548</v>
      </c>
      <c r="AE29" s="369"/>
      <c r="AF29" s="347"/>
      <c r="AG29" s="347">
        <f t="shared" si="2"/>
        <v>0</v>
      </c>
      <c r="AH29" s="341">
        <f t="shared" si="3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8.75</v>
      </c>
      <c r="AM29" s="341">
        <f>+AL29-AA29</f>
        <v>0</v>
      </c>
      <c r="AN29" s="341"/>
      <c r="AO29" s="341"/>
      <c r="AP29" s="341"/>
      <c r="AQ29" s="369"/>
      <c r="AR29" s="434"/>
      <c r="AT29" s="390">
        <v>1.6543325526932084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539" t="s">
        <v>434</v>
      </c>
      <c r="H30" s="106"/>
      <c r="I30" s="111"/>
      <c r="J30" s="107" t="s">
        <v>20</v>
      </c>
      <c r="K30" s="108" t="s">
        <v>23</v>
      </c>
      <c r="L30" s="100" t="s">
        <v>21</v>
      </c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7" t="str">
        <f t="shared" si="5"/>
        <v/>
      </c>
      <c r="Y30" s="466">
        <v>-109</v>
      </c>
      <c r="Z30" s="533">
        <f>+X32</f>
        <v>0</v>
      </c>
      <c r="AA30" s="447">
        <f t="shared" si="6"/>
        <v>0</v>
      </c>
      <c r="AB30" s="343">
        <f>+AC30+AA30</f>
        <v>4060</v>
      </c>
      <c r="AC30" s="343">
        <v>4060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539" t="str">
        <f t="shared" ref="G31:G33" si="16">+G30</f>
        <v>ATENAS-203645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>
        <v>6</v>
      </c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123">
        <f>+IF(H32="s",0,IF(AA31=0,0,IF(COUNTA(M31:W31)=AK33+0.25,SUMIF($C:$C,B31,$AA:$AA)/AK33,SUMIF($C:$C,B31,$AA:$AA)/(COUNTA(M31:W31)))))</f>
        <v>0</v>
      </c>
      <c r="Y31" s="466"/>
      <c r="Z31" s="534"/>
      <c r="AA31" s="134">
        <f t="shared" si="6"/>
        <v>6</v>
      </c>
      <c r="AB31" s="354">
        <f>+AA31+AC31</f>
        <v>4042</v>
      </c>
      <c r="AC31" s="354">
        <v>4036</v>
      </c>
      <c r="AD31" s="355">
        <f>+AB30-AB31</f>
        <v>18</v>
      </c>
      <c r="AE31" s="131">
        <f>+IF(((AA32+(AA33/2))*60)=0,"",(J31*AA31)/((AA32+(AA33/2))*60))</f>
        <v>6.1</v>
      </c>
      <c r="AF31" s="347">
        <f>+AA32+AA33/2</f>
        <v>1</v>
      </c>
      <c r="AG31" s="347">
        <f t="shared" si="2"/>
        <v>1</v>
      </c>
      <c r="AH31" s="341">
        <f t="shared" si="3"/>
        <v>60</v>
      </c>
      <c r="AI31" s="341">
        <f>+AA31*J31</f>
        <v>366</v>
      </c>
      <c r="AJ31" s="356">
        <f>+AA31-(AF31*K31/K33)</f>
        <v>5.1607142857142856</v>
      </c>
      <c r="AK31" s="348"/>
      <c r="AL31" s="349"/>
      <c r="AM31" s="341"/>
      <c r="AN31" s="341"/>
      <c r="AO31" s="341"/>
      <c r="AP31" s="341"/>
      <c r="AQ31" s="339" t="str">
        <f t="shared" si="8"/>
        <v/>
      </c>
      <c r="AR31" s="434"/>
      <c r="AT31" s="390">
        <v>24</v>
      </c>
      <c r="AV31" s="390">
        <f t="shared" ref="AV31" si="17">+AT31-AD31</f>
        <v>6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539" t="str">
        <f t="shared" si="16"/>
        <v>ATENAS-203645</v>
      </c>
      <c r="H32" s="411" t="s">
        <v>414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448">
        <v>1</v>
      </c>
      <c r="N32" s="448"/>
      <c r="O32" s="448"/>
      <c r="P32" s="448"/>
      <c r="Q32" s="448"/>
      <c r="R32" s="448"/>
      <c r="S32" s="448"/>
      <c r="T32" s="448"/>
      <c r="U32" s="448"/>
      <c r="V32" s="448"/>
      <c r="W32" s="448"/>
      <c r="X32" s="160">
        <f>+IF(H32="l",IF(COUNTA(M31:W31)=AK33+0.25,AA31-K31*AK33,AA31-(K31*COUNTA(M31:W31))),IF(H32="s",0,IF(COUNTA(M31:W31)=AK33+0.25,SUMIF($C:$C,B31,$AA:$AA)-K31*AK33,SUMIF($C:$C,B31,$AA:$AA)-K31*COUNTA(M31:W31))))</f>
        <v>0</v>
      </c>
      <c r="Y32" s="466"/>
      <c r="Z32" s="534"/>
      <c r="AA32" s="462">
        <f t="shared" si="9"/>
        <v>1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1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539" t="str">
        <f t="shared" si="16"/>
        <v>ATENAS-203645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69.522340425531908</v>
      </c>
      <c r="Z33" s="371">
        <f>+IF(COUNTA(M31:W31)=$AJ$4+0.25,$AJ$4-(AA31/K31),COUNTA(M31:W31)-(AA31/K31))+Y33</f>
        <v>70.394680851063825</v>
      </c>
      <c r="AA33" s="465">
        <f t="shared" si="9"/>
        <v>0</v>
      </c>
      <c r="AB33" s="367"/>
      <c r="AC33" s="367"/>
      <c r="AD33" s="368">
        <f>+IFERROR(AD31/(K31*$AQ$3),"")</f>
        <v>4.376899696048632E-2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5.835866261398176E-2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40" t="s">
        <v>481</v>
      </c>
      <c r="H34" s="106"/>
      <c r="I34" s="111"/>
      <c r="J34" s="107" t="s">
        <v>20</v>
      </c>
      <c r="K34" s="108" t="s">
        <v>23</v>
      </c>
      <c r="L34" s="100" t="s">
        <v>21</v>
      </c>
      <c r="M34" s="448">
        <v>120</v>
      </c>
      <c r="N34" s="448">
        <v>120</v>
      </c>
      <c r="O34" s="448">
        <v>120</v>
      </c>
      <c r="P34" s="448"/>
      <c r="Q34" s="448"/>
      <c r="R34" s="448">
        <v>60</v>
      </c>
      <c r="S34" s="448"/>
      <c r="T34" s="448"/>
      <c r="U34" s="448"/>
      <c r="V34" s="448"/>
      <c r="W34" s="448"/>
      <c r="X34" s="447">
        <f t="shared" si="5"/>
        <v>420</v>
      </c>
      <c r="Y34" s="466">
        <v>-430</v>
      </c>
      <c r="Z34" s="533">
        <f>+X36</f>
        <v>-30</v>
      </c>
      <c r="AA34" s="447">
        <f t="shared" si="6"/>
        <v>420</v>
      </c>
      <c r="AB34" s="343">
        <f>+AC34+AA34</f>
        <v>1800</v>
      </c>
      <c r="AC34" s="343">
        <v>1380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480</v>
      </c>
      <c r="E35" s="111"/>
      <c r="F35" s="111" t="s">
        <v>35</v>
      </c>
      <c r="G35" s="541" t="str">
        <f t="shared" ref="G35:G37" si="18">+G34</f>
        <v>2396-593-600</v>
      </c>
      <c r="H35" s="111"/>
      <c r="I35" s="111" t="s">
        <v>33</v>
      </c>
      <c r="J35" s="113">
        <v>38.82</v>
      </c>
      <c r="K35" s="130">
        <v>60</v>
      </c>
      <c r="L35" s="101" t="s">
        <v>17</v>
      </c>
      <c r="M35" s="214">
        <v>45</v>
      </c>
      <c r="N35" s="214">
        <v>50</v>
      </c>
      <c r="O35" s="214">
        <v>55</v>
      </c>
      <c r="P35" s="214">
        <v>60</v>
      </c>
      <c r="Q35" s="214">
        <v>60</v>
      </c>
      <c r="R35" s="214">
        <v>60</v>
      </c>
      <c r="S35" s="214">
        <v>60</v>
      </c>
      <c r="T35" s="214">
        <v>60</v>
      </c>
      <c r="U35" s="214">
        <v>45</v>
      </c>
      <c r="V35" s="214"/>
      <c r="W35" s="214"/>
      <c r="X35" s="123">
        <f>+IF(H36="s",0,IF(AA35=0,0,IF(COUNTA(M35:W35)=AK37+0.25,SUMIF($C:$C,B35,$AA:$AA)/AK37,SUMIF($C:$C,B35,$AA:$AA)/(COUNTA(M35:W35)))))</f>
        <v>57.25714285714286</v>
      </c>
      <c r="Y35" s="466"/>
      <c r="Z35" s="534"/>
      <c r="AA35" s="134">
        <f t="shared" si="6"/>
        <v>495</v>
      </c>
      <c r="AB35" s="354">
        <f>+AA35+AC35</f>
        <v>590</v>
      </c>
      <c r="AC35" s="354">
        <v>95</v>
      </c>
      <c r="AD35" s="355">
        <f>+AB34-AB35</f>
        <v>1210</v>
      </c>
      <c r="AE35" s="131">
        <f>+IF(((AA36+(AA37/2))*60)=0,"",(J35*AA35)/((AA36+(AA37/2))*60))</f>
        <v>0.85347101932045311</v>
      </c>
      <c r="AF35" s="347">
        <f>+AA36+AA37/2</f>
        <v>375.25</v>
      </c>
      <c r="AG35" s="347">
        <f t="shared" si="2"/>
        <v>375.15</v>
      </c>
      <c r="AH35" s="341">
        <f t="shared" si="3"/>
        <v>22515</v>
      </c>
      <c r="AI35" s="341">
        <f>+AA35*J35</f>
        <v>19215.900000000001</v>
      </c>
      <c r="AJ35" s="356">
        <f>+AA35-(AF35*K35/K37)</f>
        <v>-28.604651162790674</v>
      </c>
      <c r="AK35" s="348"/>
      <c r="AL35" s="349"/>
      <c r="AM35" s="341"/>
      <c r="AN35" s="341"/>
      <c r="AO35" s="341"/>
      <c r="AP35" s="341"/>
      <c r="AQ35" s="339">
        <f>-360+AA34</f>
        <v>60</v>
      </c>
      <c r="AR35" s="434">
        <v>1.5</v>
      </c>
      <c r="AT35" s="390">
        <v>1285</v>
      </c>
      <c r="AV35" s="390">
        <f t="shared" ref="AV35" si="19">+AT35-AD35</f>
        <v>75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41" t="str">
        <f t="shared" si="18"/>
        <v>2396-593-600</v>
      </c>
      <c r="H36" s="411" t="s">
        <v>412</v>
      </c>
      <c r="I36" s="113">
        <f>+IFERROR(IF(K37=0,0,IF((LOOKUP(2,1/(M36:W36&lt;&gt;""),M36:W36)-K37)&lt;0,0,IF(K37=0,"",LOOKUP(2,1/(M36:W36&lt;&gt;""),M36:W36)-K37))),0)</f>
        <v>0</v>
      </c>
      <c r="J36" s="113">
        <v>1</v>
      </c>
      <c r="K36" s="114" t="s">
        <v>22</v>
      </c>
      <c r="L36" s="102" t="s">
        <v>18</v>
      </c>
      <c r="M36" s="448">
        <v>42</v>
      </c>
      <c r="N36" s="448">
        <v>43</v>
      </c>
      <c r="O36" s="448">
        <v>43</v>
      </c>
      <c r="P36" s="448">
        <v>43</v>
      </c>
      <c r="Q36" s="448">
        <v>43</v>
      </c>
      <c r="R36" s="448">
        <v>43</v>
      </c>
      <c r="S36" s="448">
        <v>43</v>
      </c>
      <c r="T36" s="448">
        <v>43</v>
      </c>
      <c r="U36" s="448">
        <v>43</v>
      </c>
      <c r="V36" s="448"/>
      <c r="W36" s="448"/>
      <c r="X36" s="160">
        <f>+IF(H36="l",IF(COUNTA(M35:W35)=AK37+0.25,AA35-K35*AK37,AA35-(K35*COUNTA(M35:W35))),IF(H36="s",0,IF(COUNTA(M35:W35)=AK37+0.25,SUMIF($C:$C,B35,$AA:$AA)-K35*AK37,SUMIF($C:$C,B35,$AA:$AA)-K35*COUNTA(M35:W35))))</f>
        <v>-30</v>
      </c>
      <c r="Y36" s="466"/>
      <c r="Z36" s="534"/>
      <c r="AA36" s="462">
        <f t="shared" si="9"/>
        <v>375.25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375.25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42" t="str">
        <f t="shared" si="18"/>
        <v>2396-593-600</v>
      </c>
      <c r="H37" s="117"/>
      <c r="I37" s="442"/>
      <c r="J37" s="165">
        <f>+IF(K37="","",IF(K35=0,"",(K35*J35)/(K37*60)))</f>
        <v>0.90279069767441855</v>
      </c>
      <c r="K37" s="118">
        <v>43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7.5762666666666671</v>
      </c>
      <c r="Z37" s="371">
        <f>+IF(COUNTA(M35:W35)=$AJ$4+0.25,$AJ$4-(AA35/K35),COUNTA(M35:W35)-(AA35/K35))+Y37</f>
        <v>8.0762666666666671</v>
      </c>
      <c r="AA37" s="465">
        <f t="shared" si="9"/>
        <v>0</v>
      </c>
      <c r="AB37" s="367"/>
      <c r="AC37" s="367"/>
      <c r="AD37" s="368">
        <f>+IFERROR(AD35/(K35*$AQ$3),"")</f>
        <v>2.3047619047619046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2.4476190476190478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540" t="s">
        <v>442</v>
      </c>
      <c r="H38" s="106"/>
      <c r="I38" s="111"/>
      <c r="J38" s="107" t="s">
        <v>20</v>
      </c>
      <c r="K38" s="108">
        <v>0</v>
      </c>
      <c r="L38" s="100" t="s">
        <v>21</v>
      </c>
      <c r="M38" s="448">
        <v>60</v>
      </c>
      <c r="N38" s="448">
        <v>60</v>
      </c>
      <c r="O38" s="448">
        <v>60</v>
      </c>
      <c r="P38" s="448">
        <v>60</v>
      </c>
      <c r="Q38" s="448">
        <v>60</v>
      </c>
      <c r="R38" s="448">
        <v>60</v>
      </c>
      <c r="S38" s="448">
        <v>60</v>
      </c>
      <c r="T38" s="448">
        <v>120</v>
      </c>
      <c r="U38" s="448"/>
      <c r="V38" s="448"/>
      <c r="W38" s="448"/>
      <c r="X38" s="447">
        <f t="shared" si="5"/>
        <v>540</v>
      </c>
      <c r="Y38" s="466">
        <v>0.25</v>
      </c>
      <c r="Z38" s="533">
        <f>+X40</f>
        <v>-15.75</v>
      </c>
      <c r="AA38" s="447">
        <f t="shared" si="6"/>
        <v>540</v>
      </c>
      <c r="AB38" s="343">
        <f>+AC38+AA38</f>
        <v>3600</v>
      </c>
      <c r="AC38" s="343">
        <v>3060</v>
      </c>
      <c r="AD38" s="344"/>
      <c r="AE38" s="345"/>
      <c r="AF38" s="346"/>
      <c r="AG38" s="347">
        <f t="shared" si="2"/>
        <v>0</v>
      </c>
      <c r="AH38" s="341">
        <f t="shared" si="3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441</v>
      </c>
      <c r="E39" s="111"/>
      <c r="F39" s="111" t="s">
        <v>35</v>
      </c>
      <c r="G39" s="541" t="str">
        <f t="shared" ref="G39:G41" si="20">+G38</f>
        <v>2259-600-730</v>
      </c>
      <c r="H39" s="111"/>
      <c r="I39" s="111" t="s">
        <v>33</v>
      </c>
      <c r="J39" s="113">
        <v>34.450000000000003</v>
      </c>
      <c r="K39" s="130">
        <v>61</v>
      </c>
      <c r="L39" s="101" t="s">
        <v>17</v>
      </c>
      <c r="M39" s="214">
        <v>61</v>
      </c>
      <c r="N39" s="214">
        <v>53</v>
      </c>
      <c r="O39" s="214">
        <v>63</v>
      </c>
      <c r="P39" s="214">
        <v>61</v>
      </c>
      <c r="Q39" s="214">
        <v>61</v>
      </c>
      <c r="R39" s="214">
        <v>61</v>
      </c>
      <c r="S39" s="214">
        <v>51</v>
      </c>
      <c r="T39" s="214">
        <v>61</v>
      </c>
      <c r="U39" s="214">
        <v>46</v>
      </c>
      <c r="V39" s="214"/>
      <c r="W39" s="214"/>
      <c r="X39" s="123">
        <f>+IF(H40="s",0,IF(AA39=0,0,IF(COUNTA(M39:W39)=AK41+0.25,SUMIF($C:$C,B39,$AA:$AA)/AK41,SUMIF($C:$C,B39,$AA:$AA)/(COUNTA(M39:W39)))))</f>
        <v>59.2</v>
      </c>
      <c r="Y39" s="466"/>
      <c r="Z39" s="534"/>
      <c r="AA39" s="134">
        <f t="shared" si="6"/>
        <v>518</v>
      </c>
      <c r="AB39" s="354">
        <f>+AA39+AC39</f>
        <v>2780</v>
      </c>
      <c r="AC39" s="354">
        <v>2262</v>
      </c>
      <c r="AD39" s="355">
        <f>+AB38-AB39</f>
        <v>820</v>
      </c>
      <c r="AE39" s="131">
        <f>+IF(((AA40+(AA41/2))*60)=0,"",(J39*AA39)/((AA40+(AA41/2))*60))</f>
        <v>0.86052320675105498</v>
      </c>
      <c r="AF39" s="347">
        <f>+AA40+AA41/2</f>
        <v>345.625</v>
      </c>
      <c r="AG39" s="347">
        <f t="shared" si="2"/>
        <v>345.375</v>
      </c>
      <c r="AH39" s="341">
        <f t="shared" si="3"/>
        <v>20737.5</v>
      </c>
      <c r="AI39" s="341">
        <f>+AA39*J39</f>
        <v>17845.100000000002</v>
      </c>
      <c r="AJ39" s="356">
        <f>+AA39-(AF39*K39/K41)</f>
        <v>-36.819078947368439</v>
      </c>
      <c r="AK39" s="348"/>
      <c r="AL39" s="349"/>
      <c r="AM39" s="341"/>
      <c r="AN39" s="341"/>
      <c r="AO39" s="341"/>
      <c r="AP39" s="341"/>
      <c r="AQ39" s="339">
        <f t="shared" si="8"/>
        <v>3.625</v>
      </c>
      <c r="AR39" s="434">
        <v>1.5</v>
      </c>
      <c r="AT39" s="390">
        <v>798</v>
      </c>
      <c r="AV39" s="390">
        <f t="shared" ref="AV39" si="21">+AT39-AD39</f>
        <v>-22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541" t="str">
        <f t="shared" si="20"/>
        <v>2259-600-730</v>
      </c>
      <c r="H40" s="411" t="s">
        <v>413</v>
      </c>
      <c r="I40" s="113">
        <f>+IFERROR(IF(K41=0,0,IF((LOOKUP(2,1/(M40:W40&lt;&gt;""),M40:W40)-K41)&lt;0,0,IF(K41=0,"",LOOKUP(2,1/(M40:W40&lt;&gt;""),M40:W40)-K41))),0)</f>
        <v>1</v>
      </c>
      <c r="J40" s="113">
        <v>0</v>
      </c>
      <c r="K40" s="114" t="s">
        <v>22</v>
      </c>
      <c r="L40" s="102" t="s">
        <v>18</v>
      </c>
      <c r="M40" s="448">
        <v>39</v>
      </c>
      <c r="N40" s="448">
        <v>39</v>
      </c>
      <c r="O40" s="448">
        <v>39</v>
      </c>
      <c r="P40" s="448">
        <v>39</v>
      </c>
      <c r="Q40" s="448">
        <v>39</v>
      </c>
      <c r="R40" s="448">
        <v>39</v>
      </c>
      <c r="S40" s="448">
        <v>39</v>
      </c>
      <c r="T40" s="448">
        <v>39</v>
      </c>
      <c r="U40" s="448">
        <v>39</v>
      </c>
      <c r="V40" s="448"/>
      <c r="W40" s="448"/>
      <c r="X40" s="160">
        <f>+IF(H40="l",IF(COUNTA(M39:W39)=AK41+0.25,AA39-K39*AK41,AA39-(K39*COUNTA(M39:W39))),IF(H40="s",0,IF(COUNTA(M39:W39)=AK41+0.25,SUMIF($C:$C,B39,$AA:$AA)-K39*AK41,SUMIF($C:$C,B39,$AA:$AA)-K39*COUNTA(M39:W39))))</f>
        <v>-15.75</v>
      </c>
      <c r="Y40" s="466"/>
      <c r="Z40" s="534"/>
      <c r="AA40" s="462">
        <f t="shared" si="9"/>
        <v>341.25</v>
      </c>
      <c r="AB40" s="360"/>
      <c r="AC40" s="360"/>
      <c r="AD40" s="362"/>
      <c r="AE40" s="363"/>
      <c r="AF40" s="346"/>
      <c r="AG40" s="347">
        <f t="shared" si="2"/>
        <v>0</v>
      </c>
      <c r="AH40" s="341">
        <f t="shared" si="3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341.25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542" t="str">
        <f t="shared" si="20"/>
        <v>2259-600-730</v>
      </c>
      <c r="H41" s="117"/>
      <c r="I41" s="442"/>
      <c r="J41" s="165">
        <f>+IF(K41="","",IF(K39=0,"",(K39*J39)/(K41*60)))</f>
        <v>0.92168859649122814</v>
      </c>
      <c r="K41" s="118">
        <v>38</v>
      </c>
      <c r="L41" s="104" t="s">
        <v>19</v>
      </c>
      <c r="M41" s="216">
        <v>1</v>
      </c>
      <c r="N41" s="216">
        <v>1</v>
      </c>
      <c r="O41" s="216">
        <v>1</v>
      </c>
      <c r="P41" s="216">
        <v>1</v>
      </c>
      <c r="Q41" s="216">
        <v>1</v>
      </c>
      <c r="R41" s="216">
        <v>1</v>
      </c>
      <c r="S41" s="216">
        <v>1</v>
      </c>
      <c r="T41" s="216">
        <v>1</v>
      </c>
      <c r="U41" s="216">
        <v>1</v>
      </c>
      <c r="V41" s="216"/>
      <c r="W41" s="216"/>
      <c r="X41" s="173"/>
      <c r="Y41" s="467">
        <v>14.213333333333335</v>
      </c>
      <c r="Z41" s="365">
        <v>14.213333333333335</v>
      </c>
      <c r="AA41" s="465">
        <f t="shared" si="9"/>
        <v>8.75</v>
      </c>
      <c r="AB41" s="367"/>
      <c r="AC41" s="367"/>
      <c r="AD41" s="368">
        <f>+IFERROR(AD39/(K39*$AQ$3),"")</f>
        <v>1.5362997658079625</v>
      </c>
      <c r="AE41" s="369"/>
      <c r="AF41" s="347"/>
      <c r="AG41" s="347">
        <f t="shared" si="2"/>
        <v>0</v>
      </c>
      <c r="AH41" s="341">
        <f t="shared" si="3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8.75</v>
      </c>
      <c r="AM41" s="341">
        <f>+AL41-AA41</f>
        <v>0</v>
      </c>
      <c r="AN41" s="341"/>
      <c r="AO41" s="341"/>
      <c r="AP41" s="341"/>
      <c r="AQ41" s="369"/>
      <c r="AR41" s="434"/>
      <c r="AT41" s="390">
        <v>1.4950819672131148</v>
      </c>
      <c r="AV41" s="390"/>
    </row>
    <row r="42" spans="2:58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540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48">
        <v>60</v>
      </c>
      <c r="N42" s="448">
        <v>60</v>
      </c>
      <c r="O42" s="448">
        <v>60</v>
      </c>
      <c r="P42" s="448">
        <v>60</v>
      </c>
      <c r="Q42" s="448">
        <v>60</v>
      </c>
      <c r="R42" s="448">
        <v>60</v>
      </c>
      <c r="S42" s="448">
        <v>60</v>
      </c>
      <c r="T42" s="448">
        <v>120</v>
      </c>
      <c r="U42" s="473"/>
      <c r="V42" s="448"/>
      <c r="W42" s="448"/>
      <c r="X42" s="447">
        <f t="shared" si="5"/>
        <v>540</v>
      </c>
      <c r="Y42" s="466">
        <v>0.25</v>
      </c>
      <c r="Z42" s="533">
        <f>+X44</f>
        <v>-129.75</v>
      </c>
      <c r="AA42" s="447">
        <f t="shared" si="6"/>
        <v>540</v>
      </c>
      <c r="AB42" s="343">
        <f>+AC42+AA42</f>
        <v>2880</v>
      </c>
      <c r="AC42" s="343">
        <v>2340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7</v>
      </c>
      <c r="C43" s="406">
        <f>+B43</f>
        <v>7</v>
      </c>
      <c r="D43" s="407" t="s">
        <v>441</v>
      </c>
      <c r="E43" s="111"/>
      <c r="F43" s="111" t="s">
        <v>35</v>
      </c>
      <c r="G43" s="541" t="str">
        <f t="shared" ref="G43:G45" si="22">+G42</f>
        <v>2259-600-730</v>
      </c>
      <c r="H43" s="111"/>
      <c r="I43" s="111" t="s">
        <v>33</v>
      </c>
      <c r="J43" s="113">
        <v>34.450000000000003</v>
      </c>
      <c r="K43" s="130">
        <v>61</v>
      </c>
      <c r="L43" s="101" t="s">
        <v>17</v>
      </c>
      <c r="M43" s="214">
        <v>24</v>
      </c>
      <c r="N43" s="214">
        <v>22</v>
      </c>
      <c r="O43" s="214">
        <v>40</v>
      </c>
      <c r="P43" s="214">
        <v>60</v>
      </c>
      <c r="Q43" s="214">
        <v>62</v>
      </c>
      <c r="R43" s="214">
        <v>61</v>
      </c>
      <c r="S43" s="214">
        <v>55</v>
      </c>
      <c r="T43" s="214">
        <v>50</v>
      </c>
      <c r="U43" s="214">
        <v>30</v>
      </c>
      <c r="V43" s="214"/>
      <c r="W43" s="214"/>
      <c r="X43" s="123">
        <f>+IF(H44="s",0,IF(AA43=0,0,IF(COUNTA(M43:W43)=AK45+0.25,SUMIF($C:$C,B43,$AA:$AA)/AK45,SUMIF($C:$C,B43,$AA:$AA)/(COUNTA(M43:W43)))))</f>
        <v>46.171428571428571</v>
      </c>
      <c r="Y43" s="466"/>
      <c r="Z43" s="534"/>
      <c r="AA43" s="134">
        <f t="shared" si="6"/>
        <v>404</v>
      </c>
      <c r="AB43" s="354">
        <f>+AA43+AC43</f>
        <v>1916</v>
      </c>
      <c r="AC43" s="354">
        <v>1512</v>
      </c>
      <c r="AD43" s="355">
        <f>+AB42-AB43</f>
        <v>964</v>
      </c>
      <c r="AE43" s="131">
        <f>+IF(((AA44+(AA45/2))*60)=0,"",(J43*AA43)/((AA44+(AA45/2))*60))</f>
        <v>0.67974603174603176</v>
      </c>
      <c r="AF43" s="347">
        <f>+AA44+AA45/2</f>
        <v>341.25</v>
      </c>
      <c r="AG43" s="347">
        <f t="shared" si="2"/>
        <v>341.15</v>
      </c>
      <c r="AH43" s="341">
        <f t="shared" si="3"/>
        <v>20475</v>
      </c>
      <c r="AI43" s="341">
        <f>+AA43*J43</f>
        <v>13917.800000000001</v>
      </c>
      <c r="AJ43" s="356">
        <f>+AA43-(AF43*K43/K45)</f>
        <v>-143.79605263157896</v>
      </c>
      <c r="AK43" s="348"/>
      <c r="AL43" s="349"/>
      <c r="AM43" s="341"/>
      <c r="AN43" s="341"/>
      <c r="AO43" s="341"/>
      <c r="AP43" s="341"/>
      <c r="AQ43" s="339">
        <f t="shared" si="8"/>
        <v>33.625</v>
      </c>
      <c r="AR43" s="434">
        <v>1.5</v>
      </c>
      <c r="AT43" s="390">
        <v>828</v>
      </c>
      <c r="AV43" s="390">
        <f t="shared" ref="AV43" si="23">+AT43-AD43</f>
        <v>-136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541" t="str">
        <f t="shared" si="22"/>
        <v>2259-600-730</v>
      </c>
      <c r="H44" s="411" t="s">
        <v>413</v>
      </c>
      <c r="I44" s="113">
        <f>+IFERROR(IF(K45=0,0,IF((LOOKUP(2,1/(M44:W44&lt;&gt;""),M44:W44)-K45)&lt;0,0,IF(K45=0,"",LOOKUP(2,1/(M44:W44&lt;&gt;""),M44:W44)-K45))),0)</f>
        <v>1</v>
      </c>
      <c r="J44" s="113">
        <v>1</v>
      </c>
      <c r="K44" s="114" t="s">
        <v>22</v>
      </c>
      <c r="L44" s="102" t="s">
        <v>18</v>
      </c>
      <c r="M44" s="448">
        <v>39</v>
      </c>
      <c r="N44" s="448">
        <v>39</v>
      </c>
      <c r="O44" s="448">
        <v>39</v>
      </c>
      <c r="P44" s="448">
        <v>39</v>
      </c>
      <c r="Q44" s="448">
        <v>39</v>
      </c>
      <c r="R44" s="448">
        <v>39</v>
      </c>
      <c r="S44" s="448">
        <v>39</v>
      </c>
      <c r="T44" s="448">
        <v>39</v>
      </c>
      <c r="U44" s="448">
        <v>39</v>
      </c>
      <c r="V44" s="448"/>
      <c r="W44" s="448"/>
      <c r="X44" s="160">
        <f>+IF(H44="l",IF(COUNTA(M43:W43)=AK45+0.25,AA43-K43*AK45,AA43-(K43*COUNTA(M43:W43))),IF(H44="s",0,IF(COUNTA(M43:W43)=AK45+0.25,SUMIF($C:$C,B43,$AA:$AA)-K43*AK45,SUMIF($C:$C,B43,$AA:$AA)-K43*COUNTA(M43:W43))))</f>
        <v>-129.75</v>
      </c>
      <c r="Y44" s="466"/>
      <c r="Z44" s="534"/>
      <c r="AA44" s="462">
        <f t="shared" si="9"/>
        <v>341.25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341.25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542" t="str">
        <f t="shared" si="22"/>
        <v>2259-600-730</v>
      </c>
      <c r="H45" s="117"/>
      <c r="I45" s="442"/>
      <c r="J45" s="165">
        <f>+IF(K45="","",IF(K43=0,"",(K43*J43)/(K45*60)))</f>
        <v>0.92168859649122814</v>
      </c>
      <c r="K45" s="118">
        <v>38</v>
      </c>
      <c r="L45" s="104" t="s">
        <v>19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15.388301092896173</v>
      </c>
      <c r="Z45" s="365">
        <v>15.388301092896173</v>
      </c>
      <c r="AA45" s="465">
        <f t="shared" si="9"/>
        <v>0</v>
      </c>
      <c r="AB45" s="367"/>
      <c r="AC45" s="367"/>
      <c r="AD45" s="368">
        <f>+IFERROR(AD43/(K43*$AQ$3),"")</f>
        <v>1.806088992974239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1.5512880562060889</v>
      </c>
      <c r="AV45" s="390"/>
    </row>
    <row r="46" spans="2:58" s="98" customFormat="1" ht="62.25" customHeight="1" thickTop="1" x14ac:dyDescent="0.9">
      <c r="B46" s="342">
        <f>+B47</f>
        <v>8</v>
      </c>
      <c r="C46" s="405"/>
      <c r="D46" s="106"/>
      <c r="E46" s="106"/>
      <c r="F46" s="106"/>
      <c r="G46" s="539" t="s">
        <v>432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120</v>
      </c>
      <c r="N46" s="448">
        <v>120</v>
      </c>
      <c r="O46" s="448">
        <v>120</v>
      </c>
      <c r="P46" s="448">
        <v>120</v>
      </c>
      <c r="Q46" s="448">
        <v>20</v>
      </c>
      <c r="R46" s="448">
        <v>19</v>
      </c>
      <c r="S46" s="448"/>
      <c r="T46" s="448"/>
      <c r="U46" s="448"/>
      <c r="V46" s="448"/>
      <c r="W46" s="448"/>
      <c r="X46" s="447">
        <f t="shared" si="5"/>
        <v>519</v>
      </c>
      <c r="Y46" s="466">
        <v>0.25</v>
      </c>
      <c r="Z46" s="533">
        <f>+X48</f>
        <v>0.25</v>
      </c>
      <c r="AA46" s="447">
        <f t="shared" si="6"/>
        <v>519</v>
      </c>
      <c r="AB46" s="343">
        <f>+AC46+AA46</f>
        <v>5671</v>
      </c>
      <c r="AC46" s="343">
        <v>5152</v>
      </c>
      <c r="AD46" s="344"/>
      <c r="AE46" s="345"/>
      <c r="AF46" s="346"/>
      <c r="AG46" s="347">
        <f t="shared" si="2"/>
        <v>0</v>
      </c>
      <c r="AH46" s="341">
        <f t="shared" si="3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0.9">
      <c r="B47" s="351">
        <v>8</v>
      </c>
      <c r="C47" s="406">
        <f>+B47</f>
        <v>8</v>
      </c>
      <c r="D47" s="407" t="s">
        <v>431</v>
      </c>
      <c r="E47" s="111"/>
      <c r="F47" s="111" t="s">
        <v>35</v>
      </c>
      <c r="G47" s="539" t="str">
        <f t="shared" ref="G47:G49" si="24">+G46</f>
        <v>2158-755-712</v>
      </c>
      <c r="H47" s="111"/>
      <c r="I47" s="111" t="s">
        <v>33</v>
      </c>
      <c r="J47" s="113">
        <v>51.42</v>
      </c>
      <c r="K47" s="130">
        <v>53</v>
      </c>
      <c r="L47" s="101" t="s">
        <v>17</v>
      </c>
      <c r="M47" s="214">
        <v>53</v>
      </c>
      <c r="N47" s="214">
        <v>49</v>
      </c>
      <c r="O47" s="214">
        <v>57</v>
      </c>
      <c r="P47" s="214">
        <v>40</v>
      </c>
      <c r="Q47" s="214">
        <v>66</v>
      </c>
      <c r="R47" s="214">
        <v>53</v>
      </c>
      <c r="S47" s="214">
        <v>53</v>
      </c>
      <c r="T47" s="214">
        <v>53</v>
      </c>
      <c r="U47" s="214">
        <v>40</v>
      </c>
      <c r="V47" s="214"/>
      <c r="W47" s="214"/>
      <c r="X47" s="123">
        <f>+IF(H48="s",0,IF(AA47=0,0,IF(COUNTA(M47:W47)=AK49+0.25,SUMIF($C:$C,B47,$AA:$AA)/AK49,SUMIF($C:$C,B47,$AA:$AA)/(COUNTA(M47:W47)))))</f>
        <v>53.028571428571432</v>
      </c>
      <c r="Y47" s="466"/>
      <c r="Z47" s="534"/>
      <c r="AA47" s="134">
        <f t="shared" si="6"/>
        <v>464</v>
      </c>
      <c r="AB47" s="354">
        <f>+AA47+AC47</f>
        <v>4928</v>
      </c>
      <c r="AC47" s="354">
        <v>4464</v>
      </c>
      <c r="AD47" s="355">
        <f>+AB46-AB47</f>
        <v>743</v>
      </c>
      <c r="AE47" s="131">
        <f>+IF(((AA48+(AA49/2))*60)=0,"",(J47*AA47)/((AA48+(AA49/2))*60))</f>
        <v>0.8739516483516484</v>
      </c>
      <c r="AF47" s="347">
        <f>+AA48+AA49/2</f>
        <v>455</v>
      </c>
      <c r="AG47" s="347">
        <f t="shared" si="2"/>
        <v>455</v>
      </c>
      <c r="AH47" s="341">
        <f t="shared" si="3"/>
        <v>27300</v>
      </c>
      <c r="AI47" s="341">
        <f>+AA47*J47</f>
        <v>23858.880000000001</v>
      </c>
      <c r="AJ47" s="356">
        <f>+AA47-(AF47*K47/K49)</f>
        <v>-8.8431372549019329</v>
      </c>
      <c r="AK47" s="348"/>
      <c r="AL47" s="349"/>
      <c r="AM47" s="341"/>
      <c r="AN47" s="341"/>
      <c r="AO47" s="341"/>
      <c r="AP47" s="341"/>
      <c r="AQ47" s="339">
        <f t="shared" si="8"/>
        <v>47.625</v>
      </c>
      <c r="AR47" s="434">
        <v>1.5</v>
      </c>
      <c r="AT47" s="390">
        <v>688</v>
      </c>
      <c r="AV47" s="390">
        <f t="shared" ref="AV47" si="25">+AT47-AD47</f>
        <v>-55</v>
      </c>
    </row>
    <row r="48" spans="2:58" s="98" customFormat="1" ht="62.25" customHeight="1" x14ac:dyDescent="0.9">
      <c r="B48" s="357">
        <f>+B47</f>
        <v>8</v>
      </c>
      <c r="C48" s="408"/>
      <c r="D48" s="184"/>
      <c r="E48" s="111">
        <f>+B47</f>
        <v>8</v>
      </c>
      <c r="F48" s="409"/>
      <c r="G48" s="539" t="str">
        <f t="shared" si="24"/>
        <v>2158-755-712</v>
      </c>
      <c r="H48" s="411"/>
      <c r="I48" s="113">
        <f>+IFERROR(IF(K49=0,0,IF((LOOKUP(2,1/(M48:W48&lt;&gt;""),M48:W48)-K49)&lt;0,0,IF(K49=0,"",LOOKUP(2,1/(M48:W48&lt;&gt;""),M48:W48)-K49))),0)</f>
        <v>1</v>
      </c>
      <c r="J48" s="113"/>
      <c r="K48" s="114" t="s">
        <v>22</v>
      </c>
      <c r="L48" s="102" t="s">
        <v>18</v>
      </c>
      <c r="M48" s="448">
        <v>52</v>
      </c>
      <c r="N48" s="448">
        <v>52</v>
      </c>
      <c r="O48" s="448">
        <v>52</v>
      </c>
      <c r="P48" s="448">
        <v>52</v>
      </c>
      <c r="Q48" s="448">
        <v>52</v>
      </c>
      <c r="R48" s="448">
        <v>52</v>
      </c>
      <c r="S48" s="448">
        <v>52</v>
      </c>
      <c r="T48" s="448">
        <v>52</v>
      </c>
      <c r="U48" s="448">
        <v>52</v>
      </c>
      <c r="V48" s="448"/>
      <c r="W48" s="448"/>
      <c r="X48" s="160">
        <f>+IF(H48="l",IF(COUNTA(M47:W47)=AK49+0.25,AA47-K47*AK49,AA47-(K47*COUNTA(M47:W47))),IF(H48="s",0,IF(COUNTA(M47:W47)=AK49+0.25,SUMIF($C:$C,B47,$AA:$AA)-K47*AK49,SUMIF($C:$C,B47,$AA:$AA)-K47*COUNTA(M47:W47))))</f>
        <v>0.25</v>
      </c>
      <c r="Y48" s="466"/>
      <c r="Z48" s="534"/>
      <c r="AA48" s="462">
        <f t="shared" si="9"/>
        <v>455</v>
      </c>
      <c r="AB48" s="360"/>
      <c r="AC48" s="360"/>
      <c r="AD48" s="362"/>
      <c r="AE48" s="363"/>
      <c r="AF48" s="346"/>
      <c r="AG48" s="347">
        <f t="shared" si="2"/>
        <v>0</v>
      </c>
      <c r="AH48" s="341">
        <f t="shared" si="3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455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64">
        <f>+B47</f>
        <v>8</v>
      </c>
      <c r="C49" s="410"/>
      <c r="D49" s="174" t="s">
        <v>373</v>
      </c>
      <c r="E49" s="175">
        <f>+E48+100</f>
        <v>108</v>
      </c>
      <c r="F49" s="175"/>
      <c r="G49" s="539" t="str">
        <f t="shared" si="24"/>
        <v>2158-755-712</v>
      </c>
      <c r="H49" s="117"/>
      <c r="I49" s="442"/>
      <c r="J49" s="165">
        <f>+IF(K49="","",IF(K47=0,"",(K47*J47)/(K49*60)))</f>
        <v>0.89060784313725494</v>
      </c>
      <c r="K49" s="118">
        <v>51</v>
      </c>
      <c r="L49" s="104" t="s">
        <v>422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12.75</v>
      </c>
      <c r="Z49" s="365">
        <v>12.75</v>
      </c>
      <c r="AA49" s="465">
        <f t="shared" si="9"/>
        <v>0</v>
      </c>
      <c r="AB49" s="367"/>
      <c r="AC49" s="367"/>
      <c r="AD49" s="368">
        <f>+IFERROR(AD47/(K47*$AQ$3),"")</f>
        <v>1.6021563342318059</v>
      </c>
      <c r="AE49" s="369"/>
      <c r="AF49" s="347"/>
      <c r="AG49" s="347">
        <f t="shared" si="2"/>
        <v>0</v>
      </c>
      <c r="AH49" s="341">
        <f t="shared" si="3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1.4835579514824797</v>
      </c>
      <c r="AV49" s="390"/>
    </row>
    <row r="50" spans="2:58" s="98" customFormat="1" ht="62.25" customHeight="1" thickTop="1" x14ac:dyDescent="0.9">
      <c r="B50" s="342">
        <f>+B51</f>
        <v>11</v>
      </c>
      <c r="C50" s="405"/>
      <c r="D50" s="106"/>
      <c r="E50" s="106"/>
      <c r="F50" s="106"/>
      <c r="G50" s="540" t="s">
        <v>481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60</v>
      </c>
      <c r="N50" s="448">
        <v>60</v>
      </c>
      <c r="O50" s="448">
        <v>60</v>
      </c>
      <c r="P50" s="448">
        <v>120</v>
      </c>
      <c r="Q50" s="448">
        <v>60</v>
      </c>
      <c r="R50" s="448">
        <v>60</v>
      </c>
      <c r="S50" s="448">
        <v>120</v>
      </c>
      <c r="T50" s="448"/>
      <c r="U50" s="448"/>
      <c r="V50" s="448"/>
      <c r="W50" s="448"/>
      <c r="X50" s="447">
        <f t="shared" si="5"/>
        <v>540</v>
      </c>
      <c r="Y50" s="466">
        <v>0</v>
      </c>
      <c r="Z50" s="533">
        <f>+X52</f>
        <v>0</v>
      </c>
      <c r="AA50" s="447">
        <f t="shared" si="6"/>
        <v>540</v>
      </c>
      <c r="AB50" s="343">
        <f>+AC50+AA50</f>
        <v>2580</v>
      </c>
      <c r="AC50" s="343">
        <v>2040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11</v>
      </c>
      <c r="C51" s="406">
        <f>+B51</f>
        <v>11</v>
      </c>
      <c r="D51" s="407" t="s">
        <v>480</v>
      </c>
      <c r="E51" s="111"/>
      <c r="F51" s="111" t="s">
        <v>35</v>
      </c>
      <c r="G51" s="541" t="str">
        <f t="shared" ref="G51:G53" si="26">+G50</f>
        <v>2396-593-600</v>
      </c>
      <c r="H51" s="111"/>
      <c r="I51" s="111" t="s">
        <v>33</v>
      </c>
      <c r="J51" s="113">
        <v>38.82</v>
      </c>
      <c r="K51" s="130">
        <v>60</v>
      </c>
      <c r="L51" s="101" t="s">
        <v>17</v>
      </c>
      <c r="M51" s="214">
        <v>50</v>
      </c>
      <c r="N51" s="214">
        <v>60</v>
      </c>
      <c r="O51" s="214">
        <v>60</v>
      </c>
      <c r="P51" s="214">
        <v>54</v>
      </c>
      <c r="Q51" s="214">
        <v>57</v>
      </c>
      <c r="R51" s="214">
        <v>60</v>
      </c>
      <c r="S51" s="214">
        <v>60</v>
      </c>
      <c r="T51" s="214">
        <v>70</v>
      </c>
      <c r="U51" s="214">
        <v>54</v>
      </c>
      <c r="V51" s="214"/>
      <c r="W51" s="214"/>
      <c r="X51" s="123">
        <f>+IF(H52="s",0,IF(AA51=0,0,IF(COUNTA(M51:W51)=AK53+0.25,SUMIF($C:$C,B51,$AA:$AA)/AK53,SUMIF($C:$C,B51,$AA:$AA)/(COUNTA(M51:W51)))))</f>
        <v>60</v>
      </c>
      <c r="Y51" s="466"/>
      <c r="Z51" s="534"/>
      <c r="AA51" s="134">
        <f t="shared" si="6"/>
        <v>525</v>
      </c>
      <c r="AB51" s="354">
        <f>+AA51+AC51</f>
        <v>1762</v>
      </c>
      <c r="AC51" s="354">
        <v>1237</v>
      </c>
      <c r="AD51" s="355">
        <f>+AB50-AB51</f>
        <v>818</v>
      </c>
      <c r="AE51" s="131">
        <f>+IF(((AA52+(AA53/2))*60)=0,"",(J51*AA51)/((AA52+(AA53/2))*60))</f>
        <v>0.90279069767441855</v>
      </c>
      <c r="AF51" s="347">
        <f>+AA52+AA53/2</f>
        <v>376.25</v>
      </c>
      <c r="AG51" s="347">
        <f t="shared" si="2"/>
        <v>376.15</v>
      </c>
      <c r="AH51" s="341">
        <f t="shared" si="3"/>
        <v>22575</v>
      </c>
      <c r="AI51" s="341">
        <f>+AA51*J51</f>
        <v>20380.5</v>
      </c>
      <c r="AJ51" s="356">
        <f>+AA51-(AF51*K51/K53)</f>
        <v>0</v>
      </c>
      <c r="AK51" s="348"/>
      <c r="AL51" s="349"/>
      <c r="AM51" s="341"/>
      <c r="AN51" s="341"/>
      <c r="AO51" s="341"/>
      <c r="AP51" s="341"/>
      <c r="AQ51" s="339">
        <f t="shared" si="8"/>
        <v>30.5</v>
      </c>
      <c r="AR51" s="434">
        <v>1.5</v>
      </c>
      <c r="AT51" s="390">
        <v>803</v>
      </c>
      <c r="AV51" s="390">
        <f t="shared" ref="AV51" si="27">+AT51-AD51</f>
        <v>-15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+B51</f>
        <v>11</v>
      </c>
      <c r="C52" s="408"/>
      <c r="D52" s="184"/>
      <c r="E52" s="111">
        <f>+B51</f>
        <v>11</v>
      </c>
      <c r="F52" s="412"/>
      <c r="G52" s="541" t="str">
        <f t="shared" si="26"/>
        <v>2396-593-600</v>
      </c>
      <c r="H52" s="411" t="s">
        <v>412</v>
      </c>
      <c r="I52" s="113">
        <f>+IFERROR(IF(K53=0,0,IF((LOOKUP(2,1/(M52:W52&lt;&gt;""),M52:W52)-K53)&lt;0,0,IF(K53=0,"",LOOKUP(2,1/(M52:W52&lt;&gt;""),M52:W52)-K53))),0)</f>
        <v>0</v>
      </c>
      <c r="J52" s="113">
        <v>1</v>
      </c>
      <c r="K52" s="114" t="s">
        <v>22</v>
      </c>
      <c r="L52" s="102" t="s">
        <v>18</v>
      </c>
      <c r="M52" s="448">
        <v>42</v>
      </c>
      <c r="N52" s="448">
        <v>42</v>
      </c>
      <c r="O52" s="448">
        <v>42</v>
      </c>
      <c r="P52" s="448">
        <v>42</v>
      </c>
      <c r="Q52" s="448">
        <v>42</v>
      </c>
      <c r="R52" s="448">
        <v>42</v>
      </c>
      <c r="S52" s="448">
        <v>42</v>
      </c>
      <c r="T52" s="448">
        <v>42</v>
      </c>
      <c r="U52" s="448">
        <v>42</v>
      </c>
      <c r="V52" s="448"/>
      <c r="W52" s="448"/>
      <c r="X52" s="160">
        <f>+IF(H52="l",IF(COUNTA(M51:W51)=AK53+0.25,AA51-K51*AK53,AA51-(K51*COUNTA(M51:W51))),IF(H52="s",0,IF(COUNTA(M51:W51)=AK53+0.25,SUMIF($C:$C,B51,$AA:$AA)-K51*AK53,SUMIF($C:$C,B51,$AA:$AA)-K51*COUNTA(M51:W51))))</f>
        <v>0</v>
      </c>
      <c r="Y52" s="466"/>
      <c r="Z52" s="534"/>
      <c r="AA52" s="462">
        <f>+SUM(M52:W52)-U52*0.25</f>
        <v>367.5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367.5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11</v>
      </c>
      <c r="C53" s="410"/>
      <c r="D53" s="174" t="s">
        <v>418</v>
      </c>
      <c r="E53" s="175">
        <f>+E52+100</f>
        <v>111</v>
      </c>
      <c r="F53" s="175"/>
      <c r="G53" s="542" t="str">
        <f t="shared" si="26"/>
        <v>2396-593-600</v>
      </c>
      <c r="H53" s="117"/>
      <c r="I53" s="442"/>
      <c r="J53" s="165">
        <f>+IF(K53="","",IF(K51=0,"",(K51*J51)/(K53*60)))</f>
        <v>0.90279069767441855</v>
      </c>
      <c r="K53" s="118">
        <v>43</v>
      </c>
      <c r="L53" s="104" t="s">
        <v>422</v>
      </c>
      <c r="M53" s="216">
        <v>2</v>
      </c>
      <c r="N53" s="216">
        <v>2</v>
      </c>
      <c r="O53" s="216">
        <v>2</v>
      </c>
      <c r="P53" s="216">
        <v>2</v>
      </c>
      <c r="Q53" s="216">
        <v>2</v>
      </c>
      <c r="R53" s="216">
        <v>2</v>
      </c>
      <c r="S53" s="216">
        <v>2</v>
      </c>
      <c r="T53" s="216">
        <v>2</v>
      </c>
      <c r="U53" s="216">
        <v>2</v>
      </c>
      <c r="V53" s="216"/>
      <c r="W53" s="216"/>
      <c r="X53" s="173"/>
      <c r="Y53" s="467">
        <v>10.253933333333334</v>
      </c>
      <c r="Z53" s="365">
        <v>10.253933333333334</v>
      </c>
      <c r="AA53" s="465">
        <f>+SUM(M53:W53)-U53*0.25</f>
        <v>17.5</v>
      </c>
      <c r="AB53" s="367"/>
      <c r="AC53" s="367"/>
      <c r="AD53" s="368">
        <f>+IFERROR(AD51/(K51*$AQ$3),"")</f>
        <v>1.5580952380952382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17.5</v>
      </c>
      <c r="AM53" s="341">
        <f>+AL53-AA53</f>
        <v>0</v>
      </c>
      <c r="AN53" s="341"/>
      <c r="AO53" s="341"/>
      <c r="AP53" s="341"/>
      <c r="AQ53" s="369"/>
      <c r="AR53" s="434"/>
      <c r="AT53" s="390">
        <v>1.5295238095238095</v>
      </c>
      <c r="AV53" s="390"/>
    </row>
    <row r="54" spans="2:58" s="98" customFormat="1" ht="62.25" customHeight="1" thickTop="1" x14ac:dyDescent="0.9">
      <c r="B54" s="342">
        <f>+B55</f>
        <v>12</v>
      </c>
      <c r="C54" s="405"/>
      <c r="D54" s="106"/>
      <c r="E54" s="106"/>
      <c r="F54" s="106"/>
      <c r="G54" s="486"/>
      <c r="H54" s="106"/>
      <c r="I54" s="106"/>
      <c r="J54" s="107" t="s">
        <v>20</v>
      </c>
      <c r="K54" s="108" t="s">
        <v>23</v>
      </c>
      <c r="L54" s="100" t="s">
        <v>21</v>
      </c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47" t="str">
        <f t="shared" si="5"/>
        <v/>
      </c>
      <c r="Y54" s="466">
        <v>0</v>
      </c>
      <c r="Z54" s="533">
        <f>+X56</f>
        <v>0</v>
      </c>
      <c r="AA54" s="447">
        <f t="shared" si="6"/>
        <v>0</v>
      </c>
      <c r="AB54" s="343">
        <f>+AC54+AA54</f>
        <v>0</v>
      </c>
      <c r="AC54" s="343">
        <v>0</v>
      </c>
      <c r="AD54" s="344"/>
      <c r="AE54" s="345"/>
      <c r="AF54" s="346"/>
      <c r="AG54" s="347"/>
      <c r="AH54" s="341"/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0.9">
      <c r="B55" s="351">
        <v>12</v>
      </c>
      <c r="C55" s="406">
        <v>12</v>
      </c>
      <c r="D55" s="407"/>
      <c r="E55" s="111"/>
      <c r="F55" s="111"/>
      <c r="G55" s="487"/>
      <c r="H55" s="111"/>
      <c r="I55" s="111"/>
      <c r="J55" s="113"/>
      <c r="K55" s="130"/>
      <c r="L55" s="101" t="s">
        <v>17</v>
      </c>
      <c r="M55" s="454"/>
      <c r="N55" s="454"/>
      <c r="O55" s="454"/>
      <c r="P55" s="454"/>
      <c r="Q55" s="454"/>
      <c r="R55" s="454"/>
      <c r="S55" s="454"/>
      <c r="T55" s="454"/>
      <c r="U55" s="454"/>
      <c r="V55" s="454"/>
      <c r="W55" s="454"/>
      <c r="X55" s="123">
        <f>+IF(H56="s",0,IF(AA55=0,0,IF(COUNTA(M55:W55)=AK57+0.25,SUMIF($C:$C,B55,$AA:$AA)/AK57,SUMIF($C:$C,B55,$AA:$AA)/(COUNTA(M55:W55)))))</f>
        <v>0</v>
      </c>
      <c r="Y55" s="466"/>
      <c r="Z55" s="534"/>
      <c r="AA55" s="134">
        <f t="shared" si="6"/>
        <v>0</v>
      </c>
      <c r="AB55" s="354">
        <f>+AA55+AC55</f>
        <v>0</v>
      </c>
      <c r="AC55" s="354">
        <v>0</v>
      </c>
      <c r="AD55" s="355">
        <f>+AB54-AB55</f>
        <v>0</v>
      </c>
      <c r="AE55" s="131" t="str">
        <f>+IF(((AA56+(AA57/2))*60)=0,"",(J55*AA55)/((AA56+(AA57/2))*60))</f>
        <v/>
      </c>
      <c r="AF55" s="347"/>
      <c r="AG55" s="347"/>
      <c r="AH55" s="341"/>
      <c r="AI55" s="341"/>
      <c r="AJ55" s="356"/>
      <c r="AK55" s="348"/>
      <c r="AL55" s="349"/>
      <c r="AM55" s="341"/>
      <c r="AN55" s="341"/>
      <c r="AO55" s="341"/>
      <c r="AP55" s="341"/>
      <c r="AQ55" s="339" t="str">
        <f t="shared" si="8"/>
        <v/>
      </c>
      <c r="AR55" s="434"/>
      <c r="AT55" s="390">
        <v>0</v>
      </c>
      <c r="AV55" s="390">
        <f t="shared" ref="AV55" si="28">+AT55-AD55</f>
        <v>0</v>
      </c>
    </row>
    <row r="56" spans="2:58" s="98" customFormat="1" ht="62.25" customHeight="1" x14ac:dyDescent="0.9">
      <c r="B56" s="357">
        <f>+B55</f>
        <v>12</v>
      </c>
      <c r="C56" s="408"/>
      <c r="D56" s="184"/>
      <c r="E56" s="111">
        <f>+B55</f>
        <v>12</v>
      </c>
      <c r="F56" s="409"/>
      <c r="G56" s="487"/>
      <c r="H56" s="411"/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160">
        <f>+IF(H56="l",IF(COUNTA(M55:W55)=AK57+0.25,AA55-K55*AK57,AA55-(K55*COUNTA(M55:W55))),IF(H56="s",0,IF(COUNTA(M55:W55)=AK57+0.25,SUMIF($C:$C,B55,$AA:$AA)-K55*AK57,SUMIF($C:$C,B55,$AA:$AA)-K55*COUNTA(M55:W55))))</f>
        <v>0</v>
      </c>
      <c r="Y56" s="466"/>
      <c r="Z56" s="534"/>
      <c r="AA56" s="462">
        <f t="shared" si="9"/>
        <v>0</v>
      </c>
      <c r="AB56" s="360"/>
      <c r="AC56" s="360"/>
      <c r="AD56" s="362"/>
      <c r="AE56" s="363"/>
      <c r="AF56" s="346"/>
      <c r="AG56" s="347"/>
      <c r="AH56" s="341"/>
      <c r="AI56" s="341"/>
      <c r="AJ56" s="341"/>
      <c r="AK56" s="348"/>
      <c r="AL56" s="349"/>
      <c r="AM56" s="341"/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12</v>
      </c>
      <c r="C57" s="410"/>
      <c r="D57" s="174"/>
      <c r="E57" s="175">
        <f>+E56+100</f>
        <v>112</v>
      </c>
      <c r="F57" s="175"/>
      <c r="G57" s="488"/>
      <c r="H57" s="117"/>
      <c r="I57" s="442"/>
      <c r="J57" s="165" t="str">
        <f>+IF(K57="","",IF(K55=0,"",(K55*J55)/(K57*60)))</f>
        <v/>
      </c>
      <c r="K57" s="118"/>
      <c r="L57" s="104" t="s">
        <v>19</v>
      </c>
      <c r="M57" s="455"/>
      <c r="N57" s="455"/>
      <c r="O57" s="455"/>
      <c r="P57" s="455"/>
      <c r="Q57" s="455"/>
      <c r="R57" s="455"/>
      <c r="S57" s="455"/>
      <c r="T57" s="455"/>
      <c r="U57" s="455"/>
      <c r="V57" s="455"/>
      <c r="W57" s="455"/>
      <c r="X57" s="173"/>
      <c r="Y57" s="467"/>
      <c r="Z57" s="371"/>
      <c r="AA57" s="465">
        <f t="shared" si="9"/>
        <v>0</v>
      </c>
      <c r="AB57" s="367"/>
      <c r="AC57" s="367"/>
      <c r="AD57" s="368" t="str">
        <f>+IFERROR(AD55/(K55*$AQ$3),"")</f>
        <v/>
      </c>
      <c r="AE57" s="369"/>
      <c r="AF57" s="347"/>
      <c r="AG57" s="347"/>
      <c r="AH57" s="341"/>
      <c r="AI57" s="341"/>
      <c r="AJ57" s="356"/>
      <c r="AK57" s="370">
        <f>+$AJ$4</f>
        <v>8.75</v>
      </c>
      <c r="AL57" s="349"/>
      <c r="AM57" s="341"/>
      <c r="AN57" s="341"/>
      <c r="AO57" s="341"/>
      <c r="AP57" s="341"/>
      <c r="AQ57" s="369"/>
      <c r="AR57" s="434"/>
      <c r="AT57" s="390" t="s">
        <v>416</v>
      </c>
      <c r="AV57" s="390"/>
    </row>
    <row r="58" spans="2:58" s="98" customFormat="1" ht="62.25" customHeight="1" thickTop="1" x14ac:dyDescent="0.9">
      <c r="B58" s="342">
        <f>+B59</f>
        <v>13</v>
      </c>
      <c r="C58" s="405"/>
      <c r="D58" s="106"/>
      <c r="E58" s="106"/>
      <c r="F58" s="106"/>
      <c r="G58" s="539" t="s">
        <v>476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120</v>
      </c>
      <c r="N58" s="448">
        <v>120</v>
      </c>
      <c r="O58" s="448">
        <v>120</v>
      </c>
      <c r="P58" s="448">
        <v>120</v>
      </c>
      <c r="Q58" s="448"/>
      <c r="R58" s="448"/>
      <c r="S58" s="448"/>
      <c r="T58" s="448"/>
      <c r="U58" s="448"/>
      <c r="V58" s="448"/>
      <c r="W58" s="448"/>
      <c r="X58" s="447">
        <f t="shared" si="5"/>
        <v>480</v>
      </c>
      <c r="Y58" s="466">
        <v>-1540</v>
      </c>
      <c r="Z58" s="533">
        <f>+X60</f>
        <v>-800</v>
      </c>
      <c r="AA58" s="447">
        <f t="shared" si="6"/>
        <v>480</v>
      </c>
      <c r="AB58" s="343">
        <f>+AC58+AA58</f>
        <v>1680</v>
      </c>
      <c r="AC58" s="343">
        <v>1200</v>
      </c>
      <c r="AD58" s="344"/>
      <c r="AE58" s="345"/>
      <c r="AF58" s="346"/>
      <c r="AG58" s="347">
        <f t="shared" si="2"/>
        <v>0</v>
      </c>
      <c r="AH58" s="341">
        <f t="shared" si="3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0.9">
      <c r="B59" s="351">
        <v>13</v>
      </c>
      <c r="C59" s="406">
        <f>+B59</f>
        <v>13</v>
      </c>
      <c r="D59" s="407" t="s">
        <v>474</v>
      </c>
      <c r="E59" s="111"/>
      <c r="F59" s="111" t="s">
        <v>475</v>
      </c>
      <c r="G59" s="539" t="str">
        <f t="shared" ref="G59:G61" si="29">+G58</f>
        <v>Cheristina-blanc</v>
      </c>
      <c r="H59" s="111"/>
      <c r="I59" s="111" t="s">
        <v>477</v>
      </c>
      <c r="J59" s="113">
        <v>21.04</v>
      </c>
      <c r="K59" s="130">
        <v>140</v>
      </c>
      <c r="L59" s="101" t="s">
        <v>17</v>
      </c>
      <c r="M59" s="214">
        <v>40</v>
      </c>
      <c r="N59" s="214">
        <v>30</v>
      </c>
      <c r="O59" s="214">
        <v>35</v>
      </c>
      <c r="P59" s="214">
        <v>40</v>
      </c>
      <c r="Q59" s="214">
        <v>50</v>
      </c>
      <c r="R59" s="214">
        <v>60</v>
      </c>
      <c r="S59" s="214">
        <v>55</v>
      </c>
      <c r="T59" s="214">
        <v>60</v>
      </c>
      <c r="U59" s="214">
        <v>55</v>
      </c>
      <c r="V59" s="214"/>
      <c r="W59" s="214"/>
      <c r="X59" s="123">
        <f>+IF(H60="s",0,IF(AA59=0,0,IF(COUNTA(M59:W59)=AK61+0.25,SUMIF($C:$C,B59,$AA:$AA)/AK61,SUMIF($C:$C,B59,$AA:$AA)/(COUNTA(M59:W59)))))</f>
        <v>48.571428571428569</v>
      </c>
      <c r="Y59" s="466"/>
      <c r="Z59" s="534"/>
      <c r="AA59" s="134">
        <f t="shared" si="6"/>
        <v>425</v>
      </c>
      <c r="AB59" s="354">
        <f>+AA59+AC59</f>
        <v>425</v>
      </c>
      <c r="AC59" s="354">
        <v>0</v>
      </c>
      <c r="AD59" s="355">
        <f>+AB58-AB59</f>
        <v>1255</v>
      </c>
      <c r="AE59" s="131">
        <f>+IF(((AA60+(AA61/2))*60)=0,"",(J59*AA59)/((AA60+(AA61/2))*60))</f>
        <v>0.29881370091896409</v>
      </c>
      <c r="AF59" s="347">
        <f>+AA60+AA61/2</f>
        <v>498.75</v>
      </c>
      <c r="AG59" s="347">
        <f t="shared" si="2"/>
        <v>498.45</v>
      </c>
      <c r="AH59" s="341">
        <f t="shared" si="3"/>
        <v>29925</v>
      </c>
      <c r="AI59" s="341">
        <f>+AA59*J59</f>
        <v>8942</v>
      </c>
      <c r="AJ59" s="356">
        <f>+AA59-(AF59*K59/K61)</f>
        <v>-800</v>
      </c>
      <c r="AK59" s="348"/>
      <c r="AL59" s="349"/>
      <c r="AM59" s="341"/>
      <c r="AN59" s="341"/>
      <c r="AO59" s="341"/>
      <c r="AP59" s="341"/>
      <c r="AQ59" s="339">
        <f>-480+AA58</f>
        <v>0</v>
      </c>
      <c r="AR59" s="434">
        <v>1.5</v>
      </c>
      <c r="AT59" s="390">
        <v>1200</v>
      </c>
      <c r="AV59" s="390">
        <f t="shared" ref="AV59" si="30">+AT59-AD59</f>
        <v>-55</v>
      </c>
    </row>
    <row r="60" spans="2:58" s="98" customFormat="1" ht="62.25" customHeight="1" x14ac:dyDescent="0.9">
      <c r="B60" s="357">
        <f>+B59</f>
        <v>13</v>
      </c>
      <c r="C60" s="408"/>
      <c r="D60" s="184"/>
      <c r="E60" s="111">
        <f>+B59</f>
        <v>13</v>
      </c>
      <c r="F60" s="409"/>
      <c r="G60" s="539" t="str">
        <f t="shared" si="29"/>
        <v>Cheristina-blanc</v>
      </c>
      <c r="H60" s="411" t="s">
        <v>413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48">
        <v>57</v>
      </c>
      <c r="N60" s="448">
        <v>57</v>
      </c>
      <c r="O60" s="448">
        <v>57</v>
      </c>
      <c r="P60" s="448">
        <v>57</v>
      </c>
      <c r="Q60" s="448">
        <v>57</v>
      </c>
      <c r="R60" s="448">
        <v>57</v>
      </c>
      <c r="S60" s="448">
        <v>57</v>
      </c>
      <c r="T60" s="448">
        <v>57</v>
      </c>
      <c r="U60" s="448">
        <v>57</v>
      </c>
      <c r="V60" s="448"/>
      <c r="W60" s="448"/>
      <c r="X60" s="160">
        <f>+IF(H60="l",IF(COUNTA(M59:W59)=AK61+0.25,AA59-K59*AK61,AA59-(K59*COUNTA(M59:W59))),IF(H60="s",0,IF(COUNTA(M59:W59)=AK61+0.25,SUMIF($C:$C,B59,$AA:$AA)-K59*AK61,SUMIF($C:$C,B59,$AA:$AA)-K59*COUNTA(M59:W59))))</f>
        <v>-800</v>
      </c>
      <c r="Y60" s="466"/>
      <c r="Z60" s="534"/>
      <c r="AA60" s="462">
        <f t="shared" si="9"/>
        <v>498.75</v>
      </c>
      <c r="AB60" s="360"/>
      <c r="AC60" s="360"/>
      <c r="AD60" s="362"/>
      <c r="AE60" s="363"/>
      <c r="AF60" s="346"/>
      <c r="AG60" s="347">
        <f t="shared" si="2"/>
        <v>0</v>
      </c>
      <c r="AH60" s="341">
        <f t="shared" si="3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498.75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13</v>
      </c>
      <c r="C61" s="410"/>
      <c r="D61" s="174" t="s">
        <v>379</v>
      </c>
      <c r="E61" s="175">
        <f>+E60+100</f>
        <v>113</v>
      </c>
      <c r="F61" s="175"/>
      <c r="G61" s="539" t="str">
        <f t="shared" si="29"/>
        <v>Cheristina-blanc</v>
      </c>
      <c r="H61" s="117"/>
      <c r="I61" s="442"/>
      <c r="J61" s="165">
        <f>+IF(K61="","",IF(K59=0,"",(K59*J59)/(K61*60)))</f>
        <v>0.86128654970760232</v>
      </c>
      <c r="K61" s="118">
        <v>57</v>
      </c>
      <c r="L61" s="104" t="s">
        <v>19</v>
      </c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173"/>
      <c r="Y61" s="467">
        <v>14.769299999999999</v>
      </c>
      <c r="Z61" s="371">
        <f>+IF(COUNTA(M59:W59)=$AJ$4+0.25,$AJ$4-(AA59/K59),COUNTA(M59:W59)-(AA59/K59))+Y61</f>
        <v>20.483585714285713</v>
      </c>
      <c r="AA61" s="465">
        <f t="shared" si="9"/>
        <v>0</v>
      </c>
      <c r="AB61" s="367"/>
      <c r="AC61" s="367"/>
      <c r="AD61" s="368">
        <f>+IFERROR(AD59/(K59*$AQ$3),"")</f>
        <v>1.0244897959183674</v>
      </c>
      <c r="AE61" s="369"/>
      <c r="AF61" s="347"/>
      <c r="AG61" s="347">
        <f t="shared" si="2"/>
        <v>0</v>
      </c>
      <c r="AH61" s="341">
        <f t="shared" si="3"/>
        <v>0</v>
      </c>
      <c r="AI61" s="341"/>
      <c r="AJ61" s="356"/>
      <c r="AK61" s="370">
        <f>+$AJ$4</f>
        <v>8.75</v>
      </c>
      <c r="AL61" s="349">
        <f>+IF(AK61=7.75,SUM(M61:S61)+T61*0.75,IF(AK61=8,SUM(M61:T61),IF(AK61=7.25,SUM(M61:S61)+T61*0.25,IF(AK61=8.25,SUM(M61:T61)+U61*0.25,IF(AK61=8.75,SUM(M61:T61)+U61*0.75,0)))))</f>
        <v>0</v>
      </c>
      <c r="AM61" s="341">
        <f>+AL61-AA61</f>
        <v>0</v>
      </c>
      <c r="AN61" s="341"/>
      <c r="AO61" s="341"/>
      <c r="AP61" s="341"/>
      <c r="AQ61" s="369"/>
      <c r="AR61" s="434"/>
      <c r="AT61" s="390">
        <v>0.97959183673469385</v>
      </c>
      <c r="AV61" s="390"/>
    </row>
    <row r="62" spans="2:58" s="98" customFormat="1" ht="58.5" customHeight="1" thickTop="1" x14ac:dyDescent="0.9">
      <c r="B62" s="373" t="str">
        <f>+B63</f>
        <v>14*</v>
      </c>
      <c r="C62" s="405"/>
      <c r="D62" s="106"/>
      <c r="E62" s="106"/>
      <c r="F62" s="106"/>
      <c r="G62" s="540" t="s">
        <v>429</v>
      </c>
      <c r="H62" s="106"/>
      <c r="I62" s="106"/>
      <c r="J62" s="107" t="s">
        <v>20</v>
      </c>
      <c r="K62" s="108" t="s">
        <v>23</v>
      </c>
      <c r="L62" s="100" t="s">
        <v>21</v>
      </c>
      <c r="M62" s="448"/>
      <c r="N62" s="448"/>
      <c r="O62" s="448"/>
      <c r="P62" s="448"/>
      <c r="Q62" s="448"/>
      <c r="R62" s="448"/>
      <c r="S62" s="448"/>
      <c r="T62" s="448"/>
      <c r="U62" s="448"/>
      <c r="V62" s="448"/>
      <c r="W62" s="448"/>
      <c r="X62" s="447" t="str">
        <f t="shared" si="5"/>
        <v/>
      </c>
      <c r="Y62" s="466">
        <v>0</v>
      </c>
      <c r="Z62" s="533">
        <f>+X64</f>
        <v>0</v>
      </c>
      <c r="AA62" s="447">
        <f t="shared" si="6"/>
        <v>0</v>
      </c>
      <c r="AB62" s="343">
        <f>+AC62+AA62</f>
        <v>5850</v>
      </c>
      <c r="AC62" s="343">
        <v>5850</v>
      </c>
      <c r="AD62" s="344"/>
      <c r="AE62" s="345"/>
      <c r="AF62" s="346"/>
      <c r="AG62" s="347">
        <f t="shared" si="2"/>
        <v>0</v>
      </c>
      <c r="AH62" s="341">
        <f t="shared" si="3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58.5" customHeight="1" x14ac:dyDescent="0.9">
      <c r="B63" s="374" t="s">
        <v>491</v>
      </c>
      <c r="C63" s="406" t="str">
        <f>+B63</f>
        <v>14*</v>
      </c>
      <c r="D63" s="407" t="s">
        <v>427</v>
      </c>
      <c r="E63" s="111"/>
      <c r="F63" s="111" t="s">
        <v>428</v>
      </c>
      <c r="G63" s="541" t="str">
        <f t="shared" ref="G63:G65" si="31">+G62</f>
        <v>NEGRONI-202942</v>
      </c>
      <c r="H63" s="111"/>
      <c r="I63" s="111" t="s">
        <v>430</v>
      </c>
      <c r="J63" s="113">
        <v>48.06</v>
      </c>
      <c r="K63" s="471">
        <v>44</v>
      </c>
      <c r="L63" s="101" t="s">
        <v>17</v>
      </c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123">
        <f>+IF(H64="s",0,IF(AA63=0,0,IF(COUNTA(M63:W63)=AK65+0.25,SUMIF($C:$C,B63,$AA:$AA)/AK65,SUMIF($C:$C,B63,$AA:$AA)/(COUNTA(M63:W63)))))</f>
        <v>0</v>
      </c>
      <c r="Y63" s="466"/>
      <c r="Z63" s="534"/>
      <c r="AA63" s="134">
        <f t="shared" si="6"/>
        <v>0</v>
      </c>
      <c r="AB63" s="354">
        <f>+AA63+AC63</f>
        <v>5844</v>
      </c>
      <c r="AC63" s="354">
        <v>5844</v>
      </c>
      <c r="AD63" s="355">
        <f>+AB62-AB63</f>
        <v>6</v>
      </c>
      <c r="AE63" s="131" t="str">
        <f>+IF(((AA64+(AA65/2))*60)=0,"",(J63*AA63)/((AA64+(AA65/2))*60))</f>
        <v/>
      </c>
      <c r="AF63" s="347">
        <f>+AA64+AA65/2</f>
        <v>0</v>
      </c>
      <c r="AG63" s="347">
        <f t="shared" si="2"/>
        <v>0</v>
      </c>
      <c r="AH63" s="341">
        <f t="shared" si="3"/>
        <v>0</v>
      </c>
      <c r="AI63" s="341">
        <f>+AA63*J63</f>
        <v>0</v>
      </c>
      <c r="AJ63" s="356">
        <f>+AA63-(AF63*K63/K65)</f>
        <v>0</v>
      </c>
      <c r="AK63" s="348"/>
      <c r="AL63" s="349"/>
      <c r="AM63" s="341"/>
      <c r="AN63" s="341"/>
      <c r="AO63" s="341"/>
      <c r="AP63" s="341"/>
      <c r="AQ63" s="339" t="str">
        <f t="shared" si="8"/>
        <v/>
      </c>
      <c r="AR63" s="434"/>
      <c r="AT63" s="390">
        <v>6</v>
      </c>
      <c r="AV63" s="390">
        <f t="shared" ref="AV63" si="32">+AT63-AD63</f>
        <v>0</v>
      </c>
    </row>
    <row r="64" spans="2:58" s="98" customFormat="1" ht="58.5" customHeight="1" x14ac:dyDescent="0.9">
      <c r="B64" s="357" t="str">
        <f>+B63</f>
        <v>14*</v>
      </c>
      <c r="C64" s="408"/>
      <c r="D64" s="184"/>
      <c r="E64" s="111" t="str">
        <f>+B63</f>
        <v>14*</v>
      </c>
      <c r="F64" s="409"/>
      <c r="G64" s="541" t="str">
        <f t="shared" si="31"/>
        <v>NEGRONI-202942</v>
      </c>
      <c r="H64" s="411" t="s">
        <v>414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48"/>
      <c r="N64" s="448"/>
      <c r="O64" s="448"/>
      <c r="P64" s="448"/>
      <c r="Q64" s="448"/>
      <c r="R64" s="448"/>
      <c r="S64" s="448"/>
      <c r="T64" s="448"/>
      <c r="U64" s="448"/>
      <c r="V64" s="448"/>
      <c r="W64" s="448"/>
      <c r="X64" s="160">
        <f>+IF(H64="l",IF(COUNTA(M63:W63)=AK65+0.25,AA63-K63*AK65,AA63-(K63*COUNTA(M63:W63))),IF(H64="s",0,IF(COUNTA(M63:W63)=AK65+0.25,SUMIF($C:$C,B63,$AA:$AA)-K63*AK65,SUMIF($C:$C,B63,$AA:$AA)-K63*COUNTA(M63:W63))))</f>
        <v>0</v>
      </c>
      <c r="Y64" s="466"/>
      <c r="Z64" s="534"/>
      <c r="AA64" s="462">
        <f t="shared" si="9"/>
        <v>0</v>
      </c>
      <c r="AB64" s="360"/>
      <c r="AC64" s="360"/>
      <c r="AD64" s="362"/>
      <c r="AE64" s="363"/>
      <c r="AF64" s="346"/>
      <c r="AG64" s="347">
        <f t="shared" si="2"/>
        <v>0</v>
      </c>
      <c r="AH64" s="341">
        <f t="shared" si="3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0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9" s="98" customFormat="1" ht="58.5" customHeight="1" thickBot="1" x14ac:dyDescent="0.95">
      <c r="B65" s="364" t="str">
        <f>+B63</f>
        <v>14*</v>
      </c>
      <c r="C65" s="410"/>
      <c r="D65" s="174" t="s">
        <v>112</v>
      </c>
      <c r="E65" s="175" t="e">
        <f>+E64+100</f>
        <v>#VALUE!</v>
      </c>
      <c r="F65" s="175"/>
      <c r="G65" s="542" t="str">
        <f t="shared" si="31"/>
        <v>NEGRONI-202942</v>
      </c>
      <c r="H65" s="117"/>
      <c r="I65" s="442"/>
      <c r="J65" s="165">
        <f>+IF(K65="","",IF(K63=0,"",(K63*J63)/(K65*60)))</f>
        <v>0.80100000000000016</v>
      </c>
      <c r="K65" s="471">
        <v>44</v>
      </c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>
        <v>43.52</v>
      </c>
      <c r="Z65" s="365">
        <v>43.52</v>
      </c>
      <c r="AA65" s="465">
        <f t="shared" si="9"/>
        <v>0</v>
      </c>
      <c r="AB65" s="367"/>
      <c r="AC65" s="367"/>
      <c r="AD65" s="368">
        <f>+IFERROR(AD63/(K63*$AQ$3),"")</f>
        <v>1.5584415584415584E-2</v>
      </c>
      <c r="AE65" s="369"/>
      <c r="AF65" s="347"/>
      <c r="AG65" s="347">
        <f t="shared" si="2"/>
        <v>0</v>
      </c>
      <c r="AH65" s="341">
        <f t="shared" si="3"/>
        <v>0</v>
      </c>
      <c r="AI65" s="341"/>
      <c r="AJ65" s="356"/>
      <c r="AK65" s="370">
        <f>+$AJ$4</f>
        <v>8.75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>
        <v>1.5584415584415584E-2</v>
      </c>
      <c r="AV65" s="390"/>
    </row>
    <row r="66" spans="2:59" s="98" customFormat="1" ht="58.5" customHeight="1" thickTop="1" x14ac:dyDescent="0.9">
      <c r="B66" s="373">
        <f>+B67</f>
        <v>14</v>
      </c>
      <c r="C66" s="405"/>
      <c r="D66" s="106"/>
      <c r="E66" s="106"/>
      <c r="F66" s="106"/>
      <c r="G66" s="540" t="s">
        <v>481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120</v>
      </c>
      <c r="N66" s="448">
        <v>120</v>
      </c>
      <c r="O66" s="448">
        <v>120</v>
      </c>
      <c r="P66" s="448"/>
      <c r="Q66" s="448"/>
      <c r="R66" s="448">
        <v>60</v>
      </c>
      <c r="S66" s="448"/>
      <c r="T66" s="448"/>
      <c r="U66" s="448"/>
      <c r="V66" s="448"/>
      <c r="W66" s="448"/>
      <c r="X66" s="447">
        <f t="shared" ref="X66:X82" si="33">IF(AQ67="","",SUM(M66:W66)-(-(AQ67-SUM(M66:W66))/$AQ$3)*SUM($M$2:$W$2))</f>
        <v>420</v>
      </c>
      <c r="Y66" s="466">
        <v>0</v>
      </c>
      <c r="Z66" s="533">
        <f>+X68</f>
        <v>0</v>
      </c>
      <c r="AA66" s="447">
        <f t="shared" ref="AA66:AA83" si="34">+SUM(L66:W66)</f>
        <v>420</v>
      </c>
      <c r="AB66" s="343">
        <f>+AC66+AA66</f>
        <v>2460</v>
      </c>
      <c r="AC66" s="343">
        <v>2040</v>
      </c>
      <c r="AD66" s="344"/>
      <c r="AE66" s="345"/>
      <c r="AF66" s="346"/>
      <c r="AG66" s="347">
        <f t="shared" si="2"/>
        <v>0</v>
      </c>
      <c r="AH66" s="341">
        <f t="shared" si="3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9" s="98" customFormat="1" ht="58.5" customHeight="1" x14ac:dyDescent="0.9">
      <c r="B67" s="374">
        <v>14</v>
      </c>
      <c r="C67" s="406">
        <f>+B67</f>
        <v>14</v>
      </c>
      <c r="D67" s="407" t="s">
        <v>480</v>
      </c>
      <c r="E67" s="111"/>
      <c r="F67" s="111" t="s">
        <v>35</v>
      </c>
      <c r="G67" s="541" t="str">
        <f t="shared" ref="G67:G69" si="35">+G66</f>
        <v>2396-593-600</v>
      </c>
      <c r="H67" s="111"/>
      <c r="I67" s="111" t="s">
        <v>33</v>
      </c>
      <c r="J67" s="113">
        <v>38.82</v>
      </c>
      <c r="K67" s="130">
        <v>60</v>
      </c>
      <c r="L67" s="101" t="s">
        <v>17</v>
      </c>
      <c r="M67" s="214">
        <v>51</v>
      </c>
      <c r="N67" s="214">
        <v>69</v>
      </c>
      <c r="O67" s="214">
        <v>60</v>
      </c>
      <c r="P67" s="214">
        <v>60</v>
      </c>
      <c r="Q67" s="214">
        <v>60</v>
      </c>
      <c r="R67" s="214">
        <v>60</v>
      </c>
      <c r="S67" s="214">
        <v>60</v>
      </c>
      <c r="T67" s="214">
        <v>60</v>
      </c>
      <c r="U67" s="214">
        <v>45</v>
      </c>
      <c r="V67" s="214"/>
      <c r="W67" s="214"/>
      <c r="X67" s="123">
        <f>+IF(H68="s",0,IF(AA67=0,0,IF(COUNTA(M67:W67)=AK69+0.25,SUMIF($C:$C,B67,$AA:$AA)/AK69,SUMIF($C:$C,B67,$AA:$AA)/(COUNTA(M67:W67)))))</f>
        <v>60</v>
      </c>
      <c r="Y67" s="466"/>
      <c r="Z67" s="534"/>
      <c r="AA67" s="134">
        <f t="shared" si="34"/>
        <v>525</v>
      </c>
      <c r="AB67" s="354">
        <f>+AA67+AC67</f>
        <v>1580</v>
      </c>
      <c r="AC67" s="354">
        <v>1055</v>
      </c>
      <c r="AD67" s="355">
        <f>+AB66-AB67</f>
        <v>880</v>
      </c>
      <c r="AE67" s="131">
        <f>+IF(((AA68+(AA69/2))*60)=0,"",(J67*AA67)/((AA68+(AA69/2))*60))</f>
        <v>0.91341176470588237</v>
      </c>
      <c r="AF67" s="347">
        <f>+AA68+AA69/2</f>
        <v>371.875</v>
      </c>
      <c r="AG67" s="347">
        <f t="shared" si="2"/>
        <v>371.52499999999998</v>
      </c>
      <c r="AH67" s="341">
        <f t="shared" si="3"/>
        <v>22312.5</v>
      </c>
      <c r="AI67" s="341">
        <f>+AA67*J67</f>
        <v>20380.5</v>
      </c>
      <c r="AJ67" s="356">
        <f>+AA67-(AF67*K67/K69)</f>
        <v>6.1046511627906739</v>
      </c>
      <c r="AK67" s="348"/>
      <c r="AL67" s="349"/>
      <c r="AM67" s="341"/>
      <c r="AN67" s="341"/>
      <c r="AO67" s="341"/>
      <c r="AP67" s="341"/>
      <c r="AQ67" s="339">
        <f>-360+AA66</f>
        <v>60</v>
      </c>
      <c r="AR67" s="434">
        <v>1.5</v>
      </c>
      <c r="AT67" s="390">
        <v>985</v>
      </c>
      <c r="AV67" s="390">
        <f t="shared" ref="AV67" si="36">+AT67-AD67</f>
        <v>105</v>
      </c>
    </row>
    <row r="68" spans="2:59" s="98" customFormat="1" ht="58.5" customHeight="1" x14ac:dyDescent="0.9">
      <c r="B68" s="357">
        <f>+B67</f>
        <v>14</v>
      </c>
      <c r="C68" s="408"/>
      <c r="D68" s="184"/>
      <c r="E68" s="111">
        <f>+B67</f>
        <v>14</v>
      </c>
      <c r="F68" s="409"/>
      <c r="G68" s="541" t="str">
        <f t="shared" si="35"/>
        <v>2396-593-600</v>
      </c>
      <c r="H68" s="411" t="s">
        <v>413</v>
      </c>
      <c r="I68" s="113">
        <f>+IFERROR(IF(K69=0,0,IF((LOOKUP(2,1/(M68:W68&lt;&gt;""),M68:W68)-K69)&lt;0,0,IF(K69=0,"",LOOKUP(2,1/(M68:W68&lt;&gt;""),M68:W68)-K69))),0)</f>
        <v>0</v>
      </c>
      <c r="J68" s="113">
        <v>2</v>
      </c>
      <c r="K68" s="114" t="s">
        <v>22</v>
      </c>
      <c r="L68" s="102" t="s">
        <v>18</v>
      </c>
      <c r="M68" s="448">
        <v>41</v>
      </c>
      <c r="N68" s="448">
        <v>41</v>
      </c>
      <c r="O68" s="448">
        <v>41</v>
      </c>
      <c r="P68" s="448">
        <v>41</v>
      </c>
      <c r="Q68" s="448">
        <v>41</v>
      </c>
      <c r="R68" s="448">
        <v>41</v>
      </c>
      <c r="S68" s="448">
        <v>41</v>
      </c>
      <c r="T68" s="448">
        <v>41</v>
      </c>
      <c r="U68" s="448">
        <v>41</v>
      </c>
      <c r="V68" s="448"/>
      <c r="W68" s="448"/>
      <c r="X68" s="160">
        <f>+IF(H68="l",IF(COUNTA(M67:W67)=AK69+0.25,AA67-K67*AK69,AA67-(K67*COUNTA(M67:W67))),IF(H68="s",0,IF(COUNTA(M67:W67)=AK69+0.25,SUMIF($C:$C,B67,$AA:$AA)-K67*AK69,SUMIF($C:$C,B67,$AA:$AA)-K67*COUNTA(M67:W67))))</f>
        <v>0</v>
      </c>
      <c r="Y68" s="466"/>
      <c r="Z68" s="534"/>
      <c r="AA68" s="462">
        <f t="shared" ref="AA68:AA85" si="37">+SUM(M68:W68)-U68*0.25</f>
        <v>358.75</v>
      </c>
      <c r="AB68" s="360"/>
      <c r="AC68" s="360"/>
      <c r="AD68" s="362"/>
      <c r="AE68" s="363"/>
      <c r="AF68" s="346"/>
      <c r="AG68" s="347">
        <f t="shared" si="2"/>
        <v>0</v>
      </c>
      <c r="AH68" s="341">
        <f t="shared" si="3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358.75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9" s="98" customFormat="1" ht="58.5" customHeight="1" thickBot="1" x14ac:dyDescent="0.95">
      <c r="B69" s="364">
        <f>+B67</f>
        <v>14</v>
      </c>
      <c r="C69" s="410"/>
      <c r="D69" s="174" t="s">
        <v>112</v>
      </c>
      <c r="E69" s="175">
        <f>+E68+100</f>
        <v>114</v>
      </c>
      <c r="F69" s="175"/>
      <c r="G69" s="542" t="str">
        <f t="shared" si="35"/>
        <v>2396-593-600</v>
      </c>
      <c r="H69" s="117"/>
      <c r="I69" s="442"/>
      <c r="J69" s="165">
        <f>+IF(K69="","",IF(K67=0,"",(K67*J67)/(K69*60)))</f>
        <v>0.90279069767441855</v>
      </c>
      <c r="K69" s="118">
        <v>43</v>
      </c>
      <c r="L69" s="104" t="s">
        <v>19</v>
      </c>
      <c r="M69" s="216">
        <v>3</v>
      </c>
      <c r="N69" s="216">
        <v>3</v>
      </c>
      <c r="O69" s="216">
        <v>3</v>
      </c>
      <c r="P69" s="216">
        <v>3</v>
      </c>
      <c r="Q69" s="216">
        <v>3</v>
      </c>
      <c r="R69" s="216">
        <v>3</v>
      </c>
      <c r="S69" s="216">
        <v>3</v>
      </c>
      <c r="T69" s="216">
        <v>3</v>
      </c>
      <c r="U69" s="216">
        <v>3</v>
      </c>
      <c r="V69" s="216"/>
      <c r="W69" s="216"/>
      <c r="X69" s="173"/>
      <c r="Y69" s="467">
        <v>10.166666666666668</v>
      </c>
      <c r="Z69" s="365">
        <v>10.166666666666668</v>
      </c>
      <c r="AA69" s="465">
        <f t="shared" si="37"/>
        <v>26.25</v>
      </c>
      <c r="AB69" s="367"/>
      <c r="AC69" s="367"/>
      <c r="AD69" s="368">
        <f>+IFERROR(AD67/(K67*$AQ$3),"")</f>
        <v>1.6761904761904762</v>
      </c>
      <c r="AE69" s="369"/>
      <c r="AF69" s="347"/>
      <c r="AG69" s="347">
        <f t="shared" si="2"/>
        <v>0</v>
      </c>
      <c r="AH69" s="341">
        <f t="shared" si="3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26.25</v>
      </c>
      <c r="AM69" s="341">
        <f>+AL69-AA69</f>
        <v>0</v>
      </c>
      <c r="AN69" s="341"/>
      <c r="AO69" s="341"/>
      <c r="AP69" s="341"/>
      <c r="AQ69" s="369"/>
      <c r="AR69" s="434"/>
      <c r="AT69" s="390">
        <v>1.8761904761904762</v>
      </c>
      <c r="AV69" s="390"/>
    </row>
    <row r="70" spans="2:59" s="98" customFormat="1" ht="62.25" customHeight="1" thickTop="1" x14ac:dyDescent="0.9">
      <c r="B70" s="342">
        <f>+B71</f>
        <v>15</v>
      </c>
      <c r="C70" s="405"/>
      <c r="D70" s="106"/>
      <c r="E70" s="106"/>
      <c r="F70" s="106"/>
      <c r="G70" s="540" t="s">
        <v>486</v>
      </c>
      <c r="H70" s="106"/>
      <c r="I70" s="106"/>
      <c r="J70" s="107" t="s">
        <v>20</v>
      </c>
      <c r="K70" s="108" t="s">
        <v>23</v>
      </c>
      <c r="L70" s="100" t="s">
        <v>21</v>
      </c>
      <c r="M70" s="448">
        <v>70</v>
      </c>
      <c r="N70" s="448">
        <v>70</v>
      </c>
      <c r="O70" s="448">
        <v>70</v>
      </c>
      <c r="P70" s="448">
        <v>70</v>
      </c>
      <c r="Q70" s="448">
        <v>140</v>
      </c>
      <c r="R70" s="448">
        <v>140</v>
      </c>
      <c r="S70" s="448"/>
      <c r="T70" s="448"/>
      <c r="U70" s="448"/>
      <c r="V70" s="448"/>
      <c r="W70" s="448"/>
      <c r="X70" s="447">
        <f t="shared" si="33"/>
        <v>560</v>
      </c>
      <c r="Y70" s="466">
        <v>-875</v>
      </c>
      <c r="Z70" s="533">
        <f>+X72</f>
        <v>-570</v>
      </c>
      <c r="AA70" s="447">
        <f t="shared" si="34"/>
        <v>560</v>
      </c>
      <c r="AB70" s="343">
        <f>+AC70+AA70</f>
        <v>1813</v>
      </c>
      <c r="AC70" s="343">
        <v>1253</v>
      </c>
      <c r="AD70" s="344"/>
      <c r="AE70" s="345"/>
      <c r="AF70" s="346"/>
      <c r="AG70" s="347">
        <f t="shared" si="2"/>
        <v>0</v>
      </c>
      <c r="AH70" s="341">
        <f t="shared" si="3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9" s="98" customFormat="1" ht="62.25" customHeight="1" x14ac:dyDescent="1.35">
      <c r="B71" s="351">
        <v>15</v>
      </c>
      <c r="C71" s="406">
        <f>+B71</f>
        <v>15</v>
      </c>
      <c r="D71" s="407" t="s">
        <v>485</v>
      </c>
      <c r="E71" s="111"/>
      <c r="F71" s="111" t="s">
        <v>475</v>
      </c>
      <c r="G71" s="541" t="str">
        <f>+G70</f>
        <v>SARAH</v>
      </c>
      <c r="H71" s="111"/>
      <c r="I71" s="111" t="s">
        <v>487</v>
      </c>
      <c r="J71" s="113">
        <v>27.55</v>
      </c>
      <c r="K71" s="130">
        <v>100</v>
      </c>
      <c r="L71" s="101" t="s">
        <v>17</v>
      </c>
      <c r="M71" s="214">
        <v>20</v>
      </c>
      <c r="N71" s="214">
        <v>25</v>
      </c>
      <c r="O71" s="214">
        <v>30</v>
      </c>
      <c r="P71" s="214">
        <v>30</v>
      </c>
      <c r="Q71" s="214">
        <v>40</v>
      </c>
      <c r="R71" s="214">
        <v>50</v>
      </c>
      <c r="S71" s="214">
        <v>50</v>
      </c>
      <c r="T71" s="214">
        <v>40</v>
      </c>
      <c r="U71" s="214">
        <v>20</v>
      </c>
      <c r="V71" s="214"/>
      <c r="W71" s="214"/>
      <c r="X71" s="123">
        <f>+IF(H72="s",0,IF(AA71=0,0,IF(COUNTA(M71:W71)=AK73+0.25,SUMIF($C:$C,B71,$AA:$AA)/AK73,SUMIF($C:$C,B71,$AA:$AA)/(COUNTA(M71:W71)))))</f>
        <v>34.857142857142854</v>
      </c>
      <c r="Y71" s="466"/>
      <c r="Z71" s="534"/>
      <c r="AA71" s="134">
        <f t="shared" si="34"/>
        <v>305</v>
      </c>
      <c r="AB71" s="354">
        <f>+AA71+AC71</f>
        <v>305</v>
      </c>
      <c r="AC71" s="354">
        <v>0</v>
      </c>
      <c r="AD71" s="355">
        <f>+AB70-AB71</f>
        <v>1508</v>
      </c>
      <c r="AE71" s="131">
        <f>+IF(((AA72+(AA73/2))*60)=0,"",(J71*AA71)/((AA72+(AA73/2))*60))</f>
        <v>0.29161027242755511</v>
      </c>
      <c r="AF71" s="347">
        <f>+AA72+AA73/2</f>
        <v>480.25</v>
      </c>
      <c r="AG71" s="347">
        <f t="shared" si="2"/>
        <v>480.15</v>
      </c>
      <c r="AH71" s="341">
        <f t="shared" si="3"/>
        <v>28815</v>
      </c>
      <c r="AI71" s="341">
        <f>+AA71*J71</f>
        <v>8402.75</v>
      </c>
      <c r="AJ71" s="356">
        <f>+AA71-(AF71*K71/K73)</f>
        <v>-552.58928571428567</v>
      </c>
      <c r="AK71" s="348"/>
      <c r="AL71" s="349"/>
      <c r="AM71" s="341"/>
      <c r="AN71" s="341"/>
      <c r="AO71" s="341"/>
      <c r="AP71" s="341"/>
      <c r="AQ71" s="339">
        <f>-560+AA70</f>
        <v>0</v>
      </c>
      <c r="AR71" s="434">
        <v>1.5</v>
      </c>
      <c r="AT71" s="390">
        <v>1253</v>
      </c>
      <c r="AV71" s="390">
        <f t="shared" ref="AV71" si="38">+AT71-AD71</f>
        <v>-255</v>
      </c>
      <c r="AW71" s="535"/>
      <c r="AX71" s="535"/>
      <c r="AY71" s="535"/>
      <c r="AZ71" s="535"/>
      <c r="BA71" s="535"/>
      <c r="BB71" s="535"/>
      <c r="BC71" s="535"/>
      <c r="BD71" s="535"/>
      <c r="BE71" s="535"/>
      <c r="BF71" s="535"/>
    </row>
    <row r="72" spans="2:59" s="98" customFormat="1" ht="62.25" customHeight="1" x14ac:dyDescent="0.9">
      <c r="B72" s="357">
        <f>+B71</f>
        <v>15</v>
      </c>
      <c r="C72" s="408"/>
      <c r="D72" s="184"/>
      <c r="E72" s="111">
        <f>+B71</f>
        <v>15</v>
      </c>
      <c r="F72" s="412"/>
      <c r="G72" s="541" t="str">
        <f>+G70</f>
        <v>SARAH</v>
      </c>
      <c r="H72" s="411" t="s">
        <v>412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48">
        <v>53</v>
      </c>
      <c r="N72" s="448">
        <v>54</v>
      </c>
      <c r="O72" s="448">
        <v>54</v>
      </c>
      <c r="P72" s="448">
        <v>54</v>
      </c>
      <c r="Q72" s="448">
        <v>54</v>
      </c>
      <c r="R72" s="448">
        <v>54</v>
      </c>
      <c r="S72" s="448">
        <v>54</v>
      </c>
      <c r="T72" s="448">
        <v>54</v>
      </c>
      <c r="U72" s="448">
        <v>54</v>
      </c>
      <c r="V72" s="448"/>
      <c r="W72" s="448"/>
      <c r="X72" s="160">
        <f>+IF(H72="l",IF(COUNTA(M71:W71)=AK73+0.25,AA71-K71*AK73,AA71-(K71*COUNTA(M71:W71))),IF(H72="s",0,IF(COUNTA(M71:W71)=AK73+0.25,SUMIF($C:$C,B71,$AA:$AA)-K71*AK73,SUMIF($C:$C,B71,$AA:$AA)-K71*COUNTA(M71:W71))))</f>
        <v>-570</v>
      </c>
      <c r="Y72" s="466"/>
      <c r="Z72" s="534"/>
      <c r="AA72" s="462">
        <f t="shared" si="37"/>
        <v>471.5</v>
      </c>
      <c r="AB72" s="360"/>
      <c r="AC72" s="360"/>
      <c r="AD72" s="362"/>
      <c r="AE72" s="363"/>
      <c r="AF72" s="346"/>
      <c r="AG72" s="347">
        <f t="shared" si="2"/>
        <v>0</v>
      </c>
      <c r="AH72" s="341">
        <f t="shared" si="3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471.5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9" s="98" customFormat="1" ht="62.25" customHeight="1" thickBot="1" x14ac:dyDescent="0.95">
      <c r="B73" s="364">
        <f>+B71</f>
        <v>15</v>
      </c>
      <c r="C73" s="410"/>
      <c r="D73" s="174" t="s">
        <v>93</v>
      </c>
      <c r="E73" s="175">
        <f>+E72+100</f>
        <v>115</v>
      </c>
      <c r="F73" s="175"/>
      <c r="G73" s="542" t="str">
        <f>+G70</f>
        <v>SARAH</v>
      </c>
      <c r="H73" s="117"/>
      <c r="I73" s="442"/>
      <c r="J73" s="165">
        <f>+IF(K73="","",IF(K71=0,"",(K71*J71)/(K73*60)))</f>
        <v>0.81994047619047616</v>
      </c>
      <c r="K73" s="118">
        <v>56</v>
      </c>
      <c r="L73" s="104" t="s">
        <v>19</v>
      </c>
      <c r="M73" s="216">
        <v>2</v>
      </c>
      <c r="N73" s="216">
        <v>2</v>
      </c>
      <c r="O73" s="216">
        <v>2</v>
      </c>
      <c r="P73" s="216">
        <v>2</v>
      </c>
      <c r="Q73" s="216">
        <v>2</v>
      </c>
      <c r="R73" s="216">
        <v>2</v>
      </c>
      <c r="S73" s="216">
        <v>2</v>
      </c>
      <c r="T73" s="216">
        <v>2</v>
      </c>
      <c r="U73" s="216">
        <v>2</v>
      </c>
      <c r="V73" s="216"/>
      <c r="W73" s="216"/>
      <c r="X73" s="173"/>
      <c r="Y73" s="467">
        <v>12.482800000000001</v>
      </c>
      <c r="Z73" s="371">
        <f>+IF(COUNTA(M71:W71)=$AJ$4+0.25,$AJ$4-(AA71/K71),COUNTA(M71:W71)-(AA71/K71))+Y73</f>
        <v>18.1828</v>
      </c>
      <c r="AA73" s="465">
        <f t="shared" si="37"/>
        <v>17.5</v>
      </c>
      <c r="AB73" s="367"/>
      <c r="AC73" s="367"/>
      <c r="AD73" s="368">
        <f>+IFERROR(AD71/(K71*$AQ$3),"")</f>
        <v>1.7234285714285715</v>
      </c>
      <c r="AE73" s="369"/>
      <c r="AF73" s="347"/>
      <c r="AG73" s="347">
        <f t="shared" si="2"/>
        <v>0</v>
      </c>
      <c r="AH73" s="341">
        <f t="shared" si="3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17.5</v>
      </c>
      <c r="AM73" s="341">
        <f>+AL73-AA73</f>
        <v>0</v>
      </c>
      <c r="AN73" s="341"/>
      <c r="AO73" s="341"/>
      <c r="AP73" s="341"/>
      <c r="AQ73" s="369"/>
      <c r="AR73" s="434"/>
      <c r="AT73" s="390">
        <v>1.4319999999999999</v>
      </c>
      <c r="AV73" s="390"/>
    </row>
    <row r="74" spans="2:59" s="98" customFormat="1" ht="62.25" customHeight="1" thickTop="1" x14ac:dyDescent="0.9">
      <c r="B74" s="373">
        <f>+B75</f>
        <v>16</v>
      </c>
      <c r="C74" s="405"/>
      <c r="D74" s="106"/>
      <c r="E74" s="106"/>
      <c r="F74" s="106"/>
      <c r="G74" s="540" t="s">
        <v>476</v>
      </c>
      <c r="H74" s="106"/>
      <c r="I74" s="106"/>
      <c r="J74" s="107" t="s">
        <v>20</v>
      </c>
      <c r="K74" s="108" t="s">
        <v>23</v>
      </c>
      <c r="L74" s="100" t="s">
        <v>21</v>
      </c>
      <c r="M74" s="448">
        <v>180</v>
      </c>
      <c r="N74" s="448">
        <v>120</v>
      </c>
      <c r="O74" s="448">
        <v>180</v>
      </c>
      <c r="P74" s="448">
        <v>120</v>
      </c>
      <c r="Q74" s="448">
        <v>120</v>
      </c>
      <c r="R74" s="448">
        <v>120</v>
      </c>
      <c r="S74" s="448"/>
      <c r="T74" s="448"/>
      <c r="U74" s="448"/>
      <c r="V74" s="448"/>
      <c r="W74" s="448"/>
      <c r="X74" s="447">
        <f t="shared" si="33"/>
        <v>840</v>
      </c>
      <c r="Y74" s="466">
        <v>-622</v>
      </c>
      <c r="Z74" s="533">
        <f>+X76</f>
        <v>-573</v>
      </c>
      <c r="AA74" s="447">
        <f t="shared" si="34"/>
        <v>840</v>
      </c>
      <c r="AB74" s="343">
        <f>+AC74+AA74</f>
        <v>5400</v>
      </c>
      <c r="AC74" s="343">
        <v>4560</v>
      </c>
      <c r="AD74" s="344"/>
      <c r="AE74" s="345"/>
      <c r="AF74" s="346"/>
      <c r="AG74" s="347">
        <f t="shared" si="2"/>
        <v>0</v>
      </c>
      <c r="AH74" s="341">
        <f t="shared" si="3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9" s="98" customFormat="1" ht="62.25" customHeight="1" x14ac:dyDescent="0.9">
      <c r="B75" s="374">
        <v>16</v>
      </c>
      <c r="C75" s="406">
        <f>+B75</f>
        <v>16</v>
      </c>
      <c r="D75" s="407" t="s">
        <v>474</v>
      </c>
      <c r="E75" s="111"/>
      <c r="F75" s="111" t="s">
        <v>475</v>
      </c>
      <c r="G75" s="541" t="str">
        <f t="shared" ref="G75:G77" si="39">+G74</f>
        <v>Cheristina-blanc</v>
      </c>
      <c r="H75" s="111"/>
      <c r="I75" s="111" t="s">
        <v>477</v>
      </c>
      <c r="J75" s="113">
        <v>21.04</v>
      </c>
      <c r="K75" s="130">
        <v>140</v>
      </c>
      <c r="L75" s="101" t="s">
        <v>17</v>
      </c>
      <c r="M75" s="214">
        <v>90</v>
      </c>
      <c r="N75" s="214">
        <v>60</v>
      </c>
      <c r="O75" s="214">
        <v>42</v>
      </c>
      <c r="P75" s="214">
        <v>50</v>
      </c>
      <c r="Q75" s="214">
        <v>80</v>
      </c>
      <c r="R75" s="214">
        <v>90</v>
      </c>
      <c r="S75" s="214">
        <v>100</v>
      </c>
      <c r="T75" s="214">
        <v>90</v>
      </c>
      <c r="U75" s="214">
        <v>50</v>
      </c>
      <c r="V75" s="214"/>
      <c r="W75" s="214"/>
      <c r="X75" s="123">
        <f>+IF(H76="s",0,IF(AA75=0,0,IF(COUNTA(M75:W75)=AK77+0.25,SUMIF($C:$C,B75,$AA:$AA)/AK77,SUMIF($C:$C,B75,$AA:$AA)/(COUNTA(M75:W75)))))</f>
        <v>74.51428571428572</v>
      </c>
      <c r="Y75" s="466"/>
      <c r="Z75" s="534"/>
      <c r="AA75" s="134">
        <f t="shared" si="34"/>
        <v>652</v>
      </c>
      <c r="AB75" s="354">
        <f>+AA75+AC75</f>
        <v>3648</v>
      </c>
      <c r="AC75" s="354">
        <v>2996</v>
      </c>
      <c r="AD75" s="355">
        <f>+AB74-AB75</f>
        <v>1752</v>
      </c>
      <c r="AE75" s="131">
        <f>+IF(((AA76+(AA77/2))*60)=0,"",(J75*AA75)/((AA76+(AA77/2))*60))</f>
        <v>0.45051165845648605</v>
      </c>
      <c r="AF75" s="347">
        <f>+AA76+AA77/2</f>
        <v>507.5</v>
      </c>
      <c r="AG75" s="347">
        <f t="shared" si="2"/>
        <v>507.3</v>
      </c>
      <c r="AH75" s="341">
        <f t="shared" si="3"/>
        <v>30450</v>
      </c>
      <c r="AI75" s="341">
        <f>+AA75*J75</f>
        <v>13718.08</v>
      </c>
      <c r="AJ75" s="356">
        <f>+AA75-(AF75*K75/K77)</f>
        <v>-573</v>
      </c>
      <c r="AK75" s="348"/>
      <c r="AL75" s="349"/>
      <c r="AM75" s="341"/>
      <c r="AN75" s="341"/>
      <c r="AO75" s="341"/>
      <c r="AP75" s="341"/>
      <c r="AQ75" s="339">
        <f>-840+AA74</f>
        <v>0</v>
      </c>
      <c r="AR75" s="434">
        <v>1.5</v>
      </c>
      <c r="AT75" s="390">
        <v>1564</v>
      </c>
      <c r="AV75" s="390">
        <f t="shared" ref="AV75" si="40">+AT75-AD75</f>
        <v>-188</v>
      </c>
      <c r="AW75" s="536"/>
      <c r="AX75" s="536"/>
      <c r="AY75" s="536"/>
      <c r="AZ75" s="536"/>
      <c r="BA75" s="536"/>
      <c r="BB75" s="536"/>
      <c r="BC75" s="536"/>
      <c r="BD75" s="536"/>
      <c r="BE75" s="536"/>
      <c r="BF75" s="536"/>
      <c r="BG75" s="536"/>
    </row>
    <row r="76" spans="2:59" s="98" customFormat="1" ht="62.25" customHeight="1" x14ac:dyDescent="0.9">
      <c r="B76" s="357">
        <f>+B75</f>
        <v>16</v>
      </c>
      <c r="C76" s="408"/>
      <c r="D76" s="184"/>
      <c r="E76" s="111">
        <f>+B75</f>
        <v>16</v>
      </c>
      <c r="F76" s="409"/>
      <c r="G76" s="541" t="str">
        <f t="shared" si="39"/>
        <v>Cheristina-blanc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48">
        <v>58</v>
      </c>
      <c r="N76" s="448">
        <v>58</v>
      </c>
      <c r="O76" s="448">
        <v>58</v>
      </c>
      <c r="P76" s="448">
        <v>58</v>
      </c>
      <c r="Q76" s="448">
        <v>58</v>
      </c>
      <c r="R76" s="448">
        <v>58</v>
      </c>
      <c r="S76" s="448">
        <v>58</v>
      </c>
      <c r="T76" s="448">
        <v>58</v>
      </c>
      <c r="U76" s="448">
        <v>58</v>
      </c>
      <c r="V76" s="448"/>
      <c r="W76" s="448"/>
      <c r="X76" s="160">
        <f>+IF(H76="l",IF(COUNTA(M75:W75)=AK77+0.25,AA75-K75*AK77,AA75-(K75*COUNTA(M75:W75))),IF(H76="s",0,IF(COUNTA(M75:W75)=AK77+0.25,SUMIF($C:$C,B75,$AA:$AA)-K75*AK77,SUMIF($C:$C,B75,$AA:$AA)-K75*COUNTA(M75:W75))))</f>
        <v>-573</v>
      </c>
      <c r="Y76" s="466"/>
      <c r="Z76" s="534"/>
      <c r="AA76" s="462">
        <f t="shared" si="37"/>
        <v>507.5</v>
      </c>
      <c r="AB76" s="360"/>
      <c r="AC76" s="360"/>
      <c r="AD76" s="362"/>
      <c r="AE76" s="363"/>
      <c r="AF76" s="346"/>
      <c r="AG76" s="347">
        <f t="shared" si="2"/>
        <v>0</v>
      </c>
      <c r="AH76" s="341">
        <f t="shared" si="3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507.5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9" s="98" customFormat="1" ht="62.25" customHeight="1" thickBot="1" x14ac:dyDescent="0.95">
      <c r="B77" s="375">
        <f>+B75</f>
        <v>16</v>
      </c>
      <c r="C77" s="410"/>
      <c r="D77" s="413" t="s">
        <v>152</v>
      </c>
      <c r="E77" s="175">
        <f>+E76+100</f>
        <v>116</v>
      </c>
      <c r="F77" s="175"/>
      <c r="G77" s="542" t="str">
        <f t="shared" si="39"/>
        <v>Cheristina-blanc</v>
      </c>
      <c r="H77" s="117"/>
      <c r="I77" s="442"/>
      <c r="J77" s="165">
        <f>+IF(K77="","",IF(K75=0,"",(K75*J75)/(K77*60)))</f>
        <v>0.84643678160919533</v>
      </c>
      <c r="K77" s="118">
        <v>58</v>
      </c>
      <c r="L77" s="104" t="s">
        <v>19</v>
      </c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173"/>
      <c r="Y77" s="467">
        <v>40.60285714285714</v>
      </c>
      <c r="Z77" s="371">
        <f>+IF(COUNTA(M75:W75)=$AJ$4+0.25,$AJ$4-(AA75/K75),COUNTA(M75:W75)-(AA75/K75))+Y77</f>
        <v>44.695714285714281</v>
      </c>
      <c r="AA77" s="465">
        <f t="shared" si="37"/>
        <v>0</v>
      </c>
      <c r="AB77" s="367"/>
      <c r="AC77" s="367"/>
      <c r="AD77" s="368">
        <f>+IFERROR(AD75/(K75*$AQ$3),"")</f>
        <v>1.4302040816326531</v>
      </c>
      <c r="AE77" s="369"/>
      <c r="AF77" s="347"/>
      <c r="AG77" s="347">
        <f t="shared" si="2"/>
        <v>0</v>
      </c>
      <c r="AH77" s="341">
        <f t="shared" si="3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0</v>
      </c>
      <c r="AM77" s="341">
        <f>+AL77-AA77</f>
        <v>0</v>
      </c>
      <c r="AN77" s="341"/>
      <c r="AO77" s="341"/>
      <c r="AP77" s="341"/>
      <c r="AQ77" s="369"/>
      <c r="AR77" s="434"/>
      <c r="AT77" s="390">
        <v>1.276734693877551</v>
      </c>
      <c r="AV77" s="390"/>
    </row>
    <row r="78" spans="2:59" s="98" customFormat="1" ht="62.25" customHeight="1" thickTop="1" x14ac:dyDescent="0.9">
      <c r="B78" s="342">
        <f>+B79</f>
        <v>17</v>
      </c>
      <c r="C78" s="405"/>
      <c r="D78" s="106"/>
      <c r="E78" s="106"/>
      <c r="F78" s="106"/>
      <c r="G78" s="539" t="s">
        <v>442</v>
      </c>
      <c r="H78" s="106"/>
      <c r="I78" s="111"/>
      <c r="J78" s="107" t="s">
        <v>20</v>
      </c>
      <c r="K78" s="108" t="s">
        <v>23</v>
      </c>
      <c r="L78" s="100" t="s">
        <v>21</v>
      </c>
      <c r="M78" s="448">
        <v>60</v>
      </c>
      <c r="N78" s="448">
        <v>60</v>
      </c>
      <c r="O78" s="448">
        <v>60</v>
      </c>
      <c r="P78" s="448">
        <v>60</v>
      </c>
      <c r="Q78" s="448">
        <v>120</v>
      </c>
      <c r="R78" s="448">
        <v>120</v>
      </c>
      <c r="S78" s="448"/>
      <c r="T78" s="448"/>
      <c r="U78" s="448"/>
      <c r="V78" s="448"/>
      <c r="W78" s="448"/>
      <c r="X78" s="447">
        <f t="shared" si="33"/>
        <v>480</v>
      </c>
      <c r="Y78" s="466">
        <v>-22.75</v>
      </c>
      <c r="Z78" s="533">
        <f>+X80</f>
        <v>0.25</v>
      </c>
      <c r="AA78" s="447">
        <f t="shared" si="34"/>
        <v>480</v>
      </c>
      <c r="AB78" s="343">
        <f>+AC78+AA78</f>
        <v>3540</v>
      </c>
      <c r="AC78" s="343">
        <v>3060</v>
      </c>
      <c r="AD78" s="344"/>
      <c r="AE78" s="345"/>
      <c r="AF78" s="346"/>
      <c r="AG78" s="347">
        <f t="shared" ref="AG78:AG85" si="41">TRUNC(AF78)+(AF78-TRUNC(AF78))*60/100</f>
        <v>0</v>
      </c>
      <c r="AH78" s="341">
        <f t="shared" ref="AH78:AH85" si="42">+AF78*60</f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9" s="98" customFormat="1" ht="62.25" customHeight="1" x14ac:dyDescent="0.9">
      <c r="B79" s="351">
        <v>17</v>
      </c>
      <c r="C79" s="406">
        <f>+B79</f>
        <v>17</v>
      </c>
      <c r="D79" s="407" t="s">
        <v>441</v>
      </c>
      <c r="E79" s="111"/>
      <c r="F79" s="111" t="s">
        <v>35</v>
      </c>
      <c r="G79" s="539" t="str">
        <f t="shared" ref="G79:G81" si="43">+G78</f>
        <v>2259-600-730</v>
      </c>
      <c r="H79" s="111"/>
      <c r="I79" s="111" t="s">
        <v>33</v>
      </c>
      <c r="J79" s="113">
        <v>34.450000000000003</v>
      </c>
      <c r="K79" s="130">
        <v>61</v>
      </c>
      <c r="L79" s="101" t="s">
        <v>17</v>
      </c>
      <c r="M79" s="214">
        <v>61</v>
      </c>
      <c r="N79" s="214">
        <v>46</v>
      </c>
      <c r="O79" s="214">
        <v>61</v>
      </c>
      <c r="P79" s="214">
        <v>61</v>
      </c>
      <c r="Q79" s="214">
        <v>66</v>
      </c>
      <c r="R79" s="214">
        <v>71</v>
      </c>
      <c r="S79" s="214">
        <v>61</v>
      </c>
      <c r="T79" s="214">
        <v>61</v>
      </c>
      <c r="U79" s="214">
        <v>46</v>
      </c>
      <c r="V79" s="214"/>
      <c r="W79" s="214"/>
      <c r="X79" s="123">
        <f>+IF(H80="s",0,IF(AA79=0,0,IF(COUNTA(M79:W79)=AK81+0.25,SUMIF($C:$C,B79,$AA:$AA)/AK81,SUMIF($C:$C,B79,$AA:$AA)/(COUNTA(M79:W79)))))</f>
        <v>61.028571428571432</v>
      </c>
      <c r="Y79" s="466"/>
      <c r="Z79" s="534"/>
      <c r="AA79" s="134">
        <f t="shared" si="34"/>
        <v>534</v>
      </c>
      <c r="AB79" s="354">
        <f>+AA79+AC79</f>
        <v>2776</v>
      </c>
      <c r="AC79" s="354">
        <v>2242</v>
      </c>
      <c r="AD79" s="355">
        <f>+AB78-AB79</f>
        <v>764</v>
      </c>
      <c r="AE79" s="131">
        <f>+IF(((AA80+(AA81/2))*60)=0,"",(J79*AA79)/((AA80+(AA81/2))*60))</f>
        <v>0.89847619047619065</v>
      </c>
      <c r="AF79" s="347">
        <f>+AA80+AA81/2</f>
        <v>341.25</v>
      </c>
      <c r="AG79" s="347">
        <f t="shared" si="41"/>
        <v>341.15</v>
      </c>
      <c r="AH79" s="341">
        <f t="shared" si="42"/>
        <v>20475</v>
      </c>
      <c r="AI79" s="341">
        <f>+AA79*J79</f>
        <v>18396.300000000003</v>
      </c>
      <c r="AJ79" s="356">
        <f>+AA79-(AF79*K79/K81)</f>
        <v>-13.796052631578959</v>
      </c>
      <c r="AK79" s="348"/>
      <c r="AL79" s="349"/>
      <c r="AM79" s="341"/>
      <c r="AN79" s="341"/>
      <c r="AO79" s="341"/>
      <c r="AP79" s="341"/>
      <c r="AQ79" s="339">
        <f>-480+AA78</f>
        <v>0</v>
      </c>
      <c r="AR79" s="434">
        <v>1.5</v>
      </c>
      <c r="AT79" s="390">
        <v>818</v>
      </c>
      <c r="AV79" s="390">
        <f t="shared" ref="AV79" si="44">+AT79-AD79</f>
        <v>54</v>
      </c>
    </row>
    <row r="80" spans="2:59" s="98" customFormat="1" ht="62.25" customHeight="1" x14ac:dyDescent="0.9">
      <c r="B80" s="357">
        <f>+B79</f>
        <v>17</v>
      </c>
      <c r="C80" s="408"/>
      <c r="D80" s="184"/>
      <c r="E80" s="111">
        <f>+B79</f>
        <v>17</v>
      </c>
      <c r="F80" s="409"/>
      <c r="G80" s="539" t="str">
        <f t="shared" si="43"/>
        <v>2259-600-730</v>
      </c>
      <c r="H80" s="411" t="s">
        <v>413</v>
      </c>
      <c r="I80" s="113">
        <f>+IFERROR(IF(K81=0,0,IF((LOOKUP(2,1/(M80:W80&lt;&gt;""),M80:W80)-K81)&lt;0,0,IF(K81=0,"",LOOKUP(2,1/(M80:W80&lt;&gt;""),M80:W80)-K81))),0)</f>
        <v>1</v>
      </c>
      <c r="J80" s="113">
        <v>0</v>
      </c>
      <c r="K80" s="114" t="s">
        <v>22</v>
      </c>
      <c r="L80" s="102" t="s">
        <v>18</v>
      </c>
      <c r="M80" s="448">
        <v>39</v>
      </c>
      <c r="N80" s="448">
        <v>39</v>
      </c>
      <c r="O80" s="448">
        <v>39</v>
      </c>
      <c r="P80" s="448">
        <v>39</v>
      </c>
      <c r="Q80" s="448">
        <v>39</v>
      </c>
      <c r="R80" s="448">
        <v>39</v>
      </c>
      <c r="S80" s="448">
        <v>39</v>
      </c>
      <c r="T80" s="448">
        <v>39</v>
      </c>
      <c r="U80" s="448">
        <v>39</v>
      </c>
      <c r="V80" s="448"/>
      <c r="W80" s="448"/>
      <c r="X80" s="160">
        <f>+IF(H80="l",IF(COUNTA(M79:W79)=AK81+0.25,AA79-K79*AK81,AA79-(K79*COUNTA(M79:W79))),IF(H80="s",0,IF(COUNTA(M79:W79)=AK81+0.25,SUMIF($C:$C,B79,$AA:$AA)-K79*AK81,SUMIF($C:$C,B79,$AA:$AA)-K79*COUNTA(M79:W79))))</f>
        <v>0.25</v>
      </c>
      <c r="Y80" s="466"/>
      <c r="Z80" s="534"/>
      <c r="AA80" s="462">
        <f t="shared" si="37"/>
        <v>341.25</v>
      </c>
      <c r="AB80" s="360"/>
      <c r="AC80" s="360"/>
      <c r="AD80" s="362"/>
      <c r="AE80" s="363"/>
      <c r="AF80" s="346"/>
      <c r="AG80" s="347">
        <f t="shared" si="41"/>
        <v>0</v>
      </c>
      <c r="AH80" s="341">
        <f t="shared" si="42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341.25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48" s="98" customFormat="1" ht="62.25" customHeight="1" thickBot="1" x14ac:dyDescent="0.95">
      <c r="B81" s="364">
        <f>+B79</f>
        <v>17</v>
      </c>
      <c r="C81" s="410"/>
      <c r="D81" s="174" t="s">
        <v>379</v>
      </c>
      <c r="E81" s="175">
        <f>+E80+100</f>
        <v>117</v>
      </c>
      <c r="F81" s="175"/>
      <c r="G81" s="539" t="str">
        <f t="shared" si="43"/>
        <v>2259-600-730</v>
      </c>
      <c r="H81" s="117"/>
      <c r="I81" s="442"/>
      <c r="J81" s="165">
        <f>+IF(K81="","",IF(K79=0,"",(K79*J79)/(K81*60)))</f>
        <v>0.92168859649122814</v>
      </c>
      <c r="K81" s="118">
        <v>38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>
        <v>56.986799999999995</v>
      </c>
      <c r="Z81" s="371">
        <f>6.1167+IF(COUNTA(M79:W79)=$AJ$4+0.25,$AJ$4-(AA79/K79),COUNTA(M79:W79)-(AA79/K79))+Y81</f>
        <v>63.099401639344258</v>
      </c>
      <c r="AA81" s="465">
        <f t="shared" si="37"/>
        <v>0</v>
      </c>
      <c r="AB81" s="367"/>
      <c r="AC81" s="367"/>
      <c r="AD81" s="368">
        <f>+IFERROR(AD79/(K79*$AQ$3),"")</f>
        <v>1.4313817330210772</v>
      </c>
      <c r="AE81" s="369"/>
      <c r="AF81" s="347"/>
      <c r="AG81" s="347">
        <f t="shared" si="41"/>
        <v>0</v>
      </c>
      <c r="AH81" s="341">
        <f t="shared" si="42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1.532552693208431</v>
      </c>
      <c r="AV81" s="390"/>
    </row>
    <row r="82" spans="2:48" s="98" customFormat="1" ht="62.25" customHeight="1" thickTop="1" x14ac:dyDescent="0.9">
      <c r="B82" s="373">
        <f>+B83</f>
        <v>18</v>
      </c>
      <c r="C82" s="405"/>
      <c r="D82" s="106"/>
      <c r="E82" s="106"/>
      <c r="F82" s="106"/>
      <c r="G82" s="540" t="s">
        <v>481</v>
      </c>
      <c r="H82" s="106"/>
      <c r="I82" s="106"/>
      <c r="J82" s="107" t="s">
        <v>20</v>
      </c>
      <c r="K82" s="108" t="s">
        <v>23</v>
      </c>
      <c r="L82" s="100" t="s">
        <v>21</v>
      </c>
      <c r="M82" s="448">
        <v>120</v>
      </c>
      <c r="N82" s="448">
        <v>120</v>
      </c>
      <c r="O82" s="448">
        <v>120</v>
      </c>
      <c r="P82" s="448">
        <v>180</v>
      </c>
      <c r="Q82" s="448"/>
      <c r="R82" s="448"/>
      <c r="S82" s="448"/>
      <c r="T82" s="448"/>
      <c r="U82" s="448"/>
      <c r="V82" s="448"/>
      <c r="W82" s="448"/>
      <c r="X82" s="447">
        <f t="shared" si="33"/>
        <v>540</v>
      </c>
      <c r="Y82" s="466">
        <v>0</v>
      </c>
      <c r="Z82" s="533">
        <f>+X84</f>
        <v>-20</v>
      </c>
      <c r="AA82" s="447">
        <f t="shared" si="34"/>
        <v>540</v>
      </c>
      <c r="AB82" s="343">
        <f>+AC82+AA82</f>
        <v>2430</v>
      </c>
      <c r="AC82" s="343">
        <v>1890</v>
      </c>
      <c r="AD82" s="344"/>
      <c r="AE82" s="345"/>
      <c r="AF82" s="346"/>
      <c r="AG82" s="347">
        <f t="shared" si="41"/>
        <v>0</v>
      </c>
      <c r="AH82" s="341">
        <f t="shared" si="42"/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48" s="98" customFormat="1" ht="62.25" customHeight="1" x14ac:dyDescent="0.9">
      <c r="B83" s="374">
        <v>18</v>
      </c>
      <c r="C83" s="406">
        <f>+B83</f>
        <v>18</v>
      </c>
      <c r="D83" s="407" t="s">
        <v>480</v>
      </c>
      <c r="E83" s="111"/>
      <c r="F83" s="111" t="s">
        <v>35</v>
      </c>
      <c r="G83" s="541" t="str">
        <f t="shared" ref="G83:G85" si="45">+G82</f>
        <v>2396-593-600</v>
      </c>
      <c r="H83" s="111"/>
      <c r="I83" s="111" t="s">
        <v>33</v>
      </c>
      <c r="J83" s="113">
        <v>38.82</v>
      </c>
      <c r="K83" s="130">
        <v>60</v>
      </c>
      <c r="L83" s="101" t="s">
        <v>17</v>
      </c>
      <c r="M83" s="214">
        <v>40</v>
      </c>
      <c r="N83" s="214">
        <v>60</v>
      </c>
      <c r="O83" s="214">
        <v>60</v>
      </c>
      <c r="P83" s="214">
        <v>60</v>
      </c>
      <c r="Q83" s="214">
        <v>60</v>
      </c>
      <c r="R83" s="214">
        <v>60</v>
      </c>
      <c r="S83" s="214">
        <v>60</v>
      </c>
      <c r="T83" s="214">
        <v>60</v>
      </c>
      <c r="U83" s="214">
        <v>45</v>
      </c>
      <c r="V83" s="214"/>
      <c r="W83" s="214"/>
      <c r="X83" s="123">
        <f>+IF(H84="s",0,IF(AA83=0,0,IF(COUNTA(M83:W83)=AK85+0.25,SUMIF($C:$C,B83,$AA:$AA)/AK85,SUMIF($C:$C,B83,$AA:$AA)/(COUNTA(M83:W83)))))</f>
        <v>57.714285714285715</v>
      </c>
      <c r="Y83" s="466"/>
      <c r="Z83" s="534"/>
      <c r="AA83" s="134">
        <f t="shared" si="34"/>
        <v>505</v>
      </c>
      <c r="AB83" s="354">
        <f>+AA83+AC83</f>
        <v>1577</v>
      </c>
      <c r="AC83" s="354">
        <v>1072</v>
      </c>
      <c r="AD83" s="355">
        <f>+AB82-AB83</f>
        <v>853</v>
      </c>
      <c r="AE83" s="131">
        <f>+IF(((AA84+(AA85/2))*60)=0,"",(J83*AA83)/((AA84+(AA85/2))*60))</f>
        <v>0.8683986710963455</v>
      </c>
      <c r="AF83" s="347">
        <f>+AA84+AA85/2</f>
        <v>376.25</v>
      </c>
      <c r="AG83" s="347">
        <f t="shared" si="41"/>
        <v>376.15</v>
      </c>
      <c r="AH83" s="341">
        <f t="shared" si="42"/>
        <v>22575</v>
      </c>
      <c r="AI83" s="341">
        <f>+AA83*J83</f>
        <v>19604.099999999999</v>
      </c>
      <c r="AJ83" s="356">
        <f>+AA83-(AF83*K83/K85)</f>
        <v>-20</v>
      </c>
      <c r="AK83" s="348"/>
      <c r="AL83" s="349"/>
      <c r="AM83" s="341"/>
      <c r="AN83" s="341"/>
      <c r="AO83" s="341"/>
      <c r="AP83" s="341"/>
      <c r="AQ83" s="339">
        <f t="shared" ref="AQ83" si="46">IF(AR83=0,"",AT83-(($AQ$3*K83)+($AQ$3*K83)*AR83)+AA82)</f>
        <v>45.5</v>
      </c>
      <c r="AR83" s="434">
        <v>1.5</v>
      </c>
      <c r="AT83" s="390">
        <v>818</v>
      </c>
      <c r="AV83" s="390">
        <f t="shared" ref="AV83" si="47">+AT83-AD83</f>
        <v>-35</v>
      </c>
    </row>
    <row r="84" spans="2:48" s="98" customFormat="1" ht="62.25" customHeight="1" x14ac:dyDescent="0.9">
      <c r="B84" s="357">
        <f>+B83</f>
        <v>18</v>
      </c>
      <c r="C84" s="408"/>
      <c r="D84" s="184"/>
      <c r="E84" s="111">
        <f>+B83</f>
        <v>18</v>
      </c>
      <c r="F84" s="409"/>
      <c r="G84" s="541" t="str">
        <f t="shared" si="45"/>
        <v>2396-593-600</v>
      </c>
      <c r="H84" s="411" t="s">
        <v>413</v>
      </c>
      <c r="I84" s="113">
        <f>+IFERROR(IF(K85=0,0,IF((LOOKUP(2,1/(M84:W84&lt;&gt;""),M84:W84)-K85)&lt;0,0,IF(K85=0,"",LOOKUP(2,1/(M84:W84&lt;&gt;""),M84:W84)-K85))),0)</f>
        <v>0</v>
      </c>
      <c r="J84" s="113">
        <v>2</v>
      </c>
      <c r="K84" s="114" t="s">
        <v>22</v>
      </c>
      <c r="L84" s="102" t="s">
        <v>18</v>
      </c>
      <c r="M84" s="448">
        <v>43</v>
      </c>
      <c r="N84" s="448">
        <v>43</v>
      </c>
      <c r="O84" s="448">
        <v>43</v>
      </c>
      <c r="P84" s="448">
        <v>43</v>
      </c>
      <c r="Q84" s="448">
        <v>43</v>
      </c>
      <c r="R84" s="448">
        <v>43</v>
      </c>
      <c r="S84" s="448">
        <v>43</v>
      </c>
      <c r="T84" s="448">
        <v>43</v>
      </c>
      <c r="U84" s="448">
        <v>43</v>
      </c>
      <c r="V84" s="448"/>
      <c r="W84" s="448"/>
      <c r="X84" s="160">
        <f>+IF(H84="l",IF(COUNTA(M83:W83)=AK85+0.25,AA83-K83*AK85,AA83-(K83*COUNTA(M83:W83))),IF(H84="s",0,IF(COUNTA(M83:W83)=AK85+0.25,SUMIF($C:$C,B83,$AA:$AA)-K83*AK85,SUMIF($C:$C,B83,$AA:$AA)-K83*COUNTA(M83:W83))))</f>
        <v>-20</v>
      </c>
      <c r="Y84" s="466"/>
      <c r="Z84" s="534"/>
      <c r="AA84" s="462">
        <f t="shared" si="37"/>
        <v>376.25</v>
      </c>
      <c r="AB84" s="361"/>
      <c r="AC84" s="361"/>
      <c r="AD84" s="362"/>
      <c r="AE84" s="363"/>
      <c r="AF84" s="346"/>
      <c r="AG84" s="347">
        <f t="shared" si="41"/>
        <v>0</v>
      </c>
      <c r="AH84" s="341">
        <f t="shared" si="42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376.25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48" s="98" customFormat="1" ht="62.25" customHeight="1" thickBot="1" x14ac:dyDescent="0.95">
      <c r="B85" s="375">
        <f>+B83</f>
        <v>18</v>
      </c>
      <c r="C85" s="410"/>
      <c r="D85" s="413" t="s">
        <v>308</v>
      </c>
      <c r="E85" s="175">
        <f>+E84+100</f>
        <v>118</v>
      </c>
      <c r="F85" s="175"/>
      <c r="G85" s="542" t="str">
        <f t="shared" si="45"/>
        <v>2396-593-600</v>
      </c>
      <c r="H85" s="117"/>
      <c r="I85" s="442"/>
      <c r="J85" s="165">
        <f>+IF(K85="","",IF(K83=0,"",(K83*J83)/(K85*60)))</f>
        <v>0.90279069767441855</v>
      </c>
      <c r="K85" s="118">
        <v>43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>
        <v>12.460333333333335</v>
      </c>
      <c r="Z85" s="365">
        <v>12.46</v>
      </c>
      <c r="AA85" s="465">
        <f t="shared" si="37"/>
        <v>0</v>
      </c>
      <c r="AB85" s="367"/>
      <c r="AC85" s="367"/>
      <c r="AD85" s="368">
        <f>+IFERROR(AD83/(K83*$AQ$3),"")</f>
        <v>1.6247619047619049</v>
      </c>
      <c r="AE85" s="369"/>
      <c r="AF85" s="347"/>
      <c r="AG85" s="347">
        <f t="shared" si="41"/>
        <v>0</v>
      </c>
      <c r="AH85" s="341">
        <f t="shared" si="42"/>
        <v>0</v>
      </c>
      <c r="AI85" s="341"/>
      <c r="AJ85" s="356"/>
      <c r="AK85" s="370">
        <f>+$AJ$4</f>
        <v>8.75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1.5580952380952382</v>
      </c>
      <c r="AV85" s="390"/>
    </row>
    <row r="86" spans="2:48" s="419" customFormat="1" ht="91.5" customHeight="1" thickTop="1" thickBot="1" x14ac:dyDescent="0.95">
      <c r="B86" s="414"/>
      <c r="C86" s="414"/>
      <c r="D86" s="415"/>
      <c r="E86" s="415"/>
      <c r="F86" s="415"/>
      <c r="G86" s="415"/>
      <c r="H86" s="415"/>
      <c r="I86" s="415"/>
      <c r="J86" s="415"/>
      <c r="K86" s="415"/>
      <c r="L86" s="416"/>
      <c r="M86" s="416"/>
      <c r="N86" s="416"/>
      <c r="O86" s="416"/>
      <c r="P86" s="416"/>
      <c r="Q86" s="416"/>
      <c r="R86" s="416"/>
      <c r="S86" s="416"/>
      <c r="T86" s="416"/>
      <c r="U86" s="416"/>
      <c r="V86" s="416"/>
      <c r="W86" s="416"/>
      <c r="X86" s="415"/>
      <c r="Y86" s="415"/>
      <c r="Z86" s="415"/>
      <c r="AA86" s="415"/>
      <c r="AB86" s="415"/>
      <c r="AC86" s="415"/>
      <c r="AD86" s="415"/>
      <c r="AE86" s="417"/>
      <c r="AF86" s="418"/>
      <c r="AG86" s="418"/>
      <c r="AK86" s="420"/>
      <c r="AL86" s="421"/>
      <c r="AR86" s="435"/>
    </row>
    <row r="87" spans="2:48" s="419" customFormat="1" ht="91.5" customHeight="1" thickTop="1" thickBot="1" x14ac:dyDescent="0.95">
      <c r="B87" s="414"/>
      <c r="C87" s="414"/>
      <c r="D87" s="415"/>
      <c r="E87" s="415"/>
      <c r="F87" s="415"/>
      <c r="G87" s="415"/>
      <c r="H87" s="415"/>
      <c r="I87" s="415"/>
      <c r="J87" s="415"/>
      <c r="K87" s="415"/>
      <c r="L87" s="378" t="s">
        <v>21</v>
      </c>
      <c r="M87" s="379">
        <f t="shared" ref="M87:W87" si="48">+SUMIF($L$6:$L$86,$L$87,M6:M86)</f>
        <v>1540</v>
      </c>
      <c r="N87" s="379">
        <f t="shared" si="48"/>
        <v>1380</v>
      </c>
      <c r="O87" s="379">
        <f t="shared" si="48"/>
        <v>1543</v>
      </c>
      <c r="P87" s="379">
        <f t="shared" si="48"/>
        <v>1127</v>
      </c>
      <c r="Q87" s="379">
        <f t="shared" si="48"/>
        <v>640</v>
      </c>
      <c r="R87" s="379">
        <f t="shared" si="48"/>
        <v>819</v>
      </c>
      <c r="S87" s="379">
        <f t="shared" si="48"/>
        <v>420</v>
      </c>
      <c r="T87" s="379">
        <f t="shared" si="48"/>
        <v>240</v>
      </c>
      <c r="U87" s="379">
        <f t="shared" si="48"/>
        <v>0</v>
      </c>
      <c r="V87" s="379">
        <f t="shared" si="48"/>
        <v>0</v>
      </c>
      <c r="W87" s="379">
        <f t="shared" si="48"/>
        <v>0</v>
      </c>
      <c r="X87" s="332"/>
      <c r="Y87" s="332"/>
      <c r="Z87" s="537">
        <f>+SUM(M87:W87)</f>
        <v>7709</v>
      </c>
      <c r="AA87" s="538"/>
      <c r="AB87" s="415"/>
      <c r="AC87" s="415"/>
      <c r="AD87" s="415"/>
      <c r="AE87" s="417"/>
      <c r="AF87" s="418"/>
      <c r="AG87" s="418"/>
      <c r="AK87" s="420"/>
      <c r="AR87" s="435"/>
    </row>
    <row r="88" spans="2:48" s="419" customFormat="1" ht="91.5" customHeight="1" thickTop="1" thickBot="1" x14ac:dyDescent="0.95">
      <c r="B88" s="414"/>
      <c r="C88" s="414"/>
      <c r="D88" s="415"/>
      <c r="E88" s="415"/>
      <c r="F88" s="415"/>
      <c r="G88" s="415"/>
      <c r="H88" s="415"/>
      <c r="I88" s="415"/>
      <c r="J88" s="415"/>
      <c r="K88" s="415"/>
      <c r="L88" s="380"/>
      <c r="M88" s="376"/>
      <c r="N88" s="376"/>
      <c r="O88" s="376"/>
      <c r="P88" s="376"/>
      <c r="Q88" s="376"/>
      <c r="R88" s="376"/>
      <c r="S88" s="376"/>
      <c r="T88" s="376"/>
      <c r="U88" s="376"/>
      <c r="V88" s="376"/>
      <c r="W88" s="376"/>
      <c r="X88" s="332"/>
      <c r="Y88" s="332"/>
      <c r="Z88" s="332"/>
      <c r="AA88" s="332"/>
      <c r="AB88" s="415"/>
      <c r="AC88" s="415"/>
      <c r="AD88" s="415"/>
      <c r="AE88" s="417"/>
      <c r="AF88" s="418"/>
      <c r="AG88" s="418"/>
      <c r="AK88" s="420"/>
      <c r="AR88" s="435"/>
    </row>
    <row r="89" spans="2:48" s="419" customFormat="1" ht="91.5" customHeight="1" thickTop="1" thickBot="1" x14ac:dyDescent="0.95">
      <c r="B89" s="414"/>
      <c r="C89" s="414"/>
      <c r="D89" s="415"/>
      <c r="E89" s="415"/>
      <c r="F89" s="415"/>
      <c r="G89" s="415"/>
      <c r="H89" s="415"/>
      <c r="I89" s="415"/>
      <c r="J89" s="415"/>
      <c r="K89" s="415"/>
      <c r="L89" s="378" t="s">
        <v>17</v>
      </c>
      <c r="M89" s="379">
        <f t="shared" ref="M89:W89" si="49">+SUMIF($L$6:$L$86,$L$89,M6:M86)</f>
        <v>722</v>
      </c>
      <c r="N89" s="379">
        <f t="shared" si="49"/>
        <v>707</v>
      </c>
      <c r="O89" s="379">
        <f t="shared" si="49"/>
        <v>745</v>
      </c>
      <c r="P89" s="379">
        <f t="shared" si="49"/>
        <v>758</v>
      </c>
      <c r="Q89" s="379">
        <f t="shared" si="49"/>
        <v>844</v>
      </c>
      <c r="R89" s="379">
        <f t="shared" si="49"/>
        <v>868</v>
      </c>
      <c r="S89" s="379">
        <f t="shared" si="49"/>
        <v>831</v>
      </c>
      <c r="T89" s="379">
        <f t="shared" si="49"/>
        <v>847</v>
      </c>
      <c r="U89" s="379">
        <f t="shared" si="49"/>
        <v>629</v>
      </c>
      <c r="V89" s="379">
        <f t="shared" si="49"/>
        <v>0</v>
      </c>
      <c r="W89" s="379">
        <f t="shared" si="49"/>
        <v>0</v>
      </c>
      <c r="X89" s="332"/>
      <c r="Y89" s="332"/>
      <c r="Z89" s="537">
        <f>+SUM(M89:W89)</f>
        <v>6951</v>
      </c>
      <c r="AA89" s="538"/>
      <c r="AB89" s="415"/>
      <c r="AC89" s="415"/>
      <c r="AD89" s="415"/>
      <c r="AE89" s="417"/>
      <c r="AF89" s="418"/>
      <c r="AG89" s="418"/>
      <c r="AK89" s="420"/>
      <c r="AR89" s="435"/>
    </row>
    <row r="90" spans="2:48" s="419" customFormat="1" ht="91.5" customHeight="1" thickTop="1" thickBot="1" x14ac:dyDescent="0.95">
      <c r="B90" s="414"/>
      <c r="C90" s="414"/>
      <c r="D90" s="415"/>
      <c r="E90" s="415"/>
      <c r="F90" s="415"/>
      <c r="G90" s="415"/>
      <c r="H90" s="415"/>
      <c r="I90" s="415"/>
      <c r="J90" s="415"/>
      <c r="K90" s="415"/>
      <c r="L90" s="380"/>
      <c r="M90" s="376"/>
      <c r="N90" s="376"/>
      <c r="O90" s="376"/>
      <c r="P90" s="376"/>
      <c r="Q90" s="376"/>
      <c r="R90" s="376"/>
      <c r="S90" s="376"/>
      <c r="T90" s="376"/>
      <c r="U90" s="376"/>
      <c r="V90" s="376"/>
      <c r="W90" s="376"/>
      <c r="X90" s="332"/>
      <c r="Y90" s="332"/>
      <c r="Z90" s="332"/>
      <c r="AA90" s="332"/>
      <c r="AB90" s="415"/>
      <c r="AC90" s="415"/>
      <c r="AD90" s="415"/>
      <c r="AE90" s="417"/>
      <c r="AF90" s="418"/>
      <c r="AG90" s="418"/>
      <c r="AK90" s="420"/>
      <c r="AR90" s="435"/>
    </row>
    <row r="91" spans="2:48" s="419" customFormat="1" ht="91.5" customHeight="1" thickTop="1" thickBot="1" x14ac:dyDescent="0.95">
      <c r="B91" s="414"/>
      <c r="C91" s="414"/>
      <c r="D91" s="422"/>
      <c r="E91" s="422"/>
      <c r="F91" s="422"/>
      <c r="G91" s="422"/>
      <c r="H91" s="422"/>
      <c r="I91" s="422"/>
      <c r="J91" s="423"/>
      <c r="K91" s="422"/>
      <c r="L91" s="378" t="s">
        <v>19</v>
      </c>
      <c r="M91" s="379">
        <f t="shared" ref="M91:W91" si="50">+SUMIF($L$6:$L$86,$L$91,M6:M86)</f>
        <v>8</v>
      </c>
      <c r="N91" s="379">
        <f t="shared" si="50"/>
        <v>8</v>
      </c>
      <c r="O91" s="379">
        <f t="shared" si="50"/>
        <v>8</v>
      </c>
      <c r="P91" s="379">
        <f t="shared" si="50"/>
        <v>8</v>
      </c>
      <c r="Q91" s="379">
        <f t="shared" si="50"/>
        <v>8</v>
      </c>
      <c r="R91" s="379">
        <f t="shared" si="50"/>
        <v>8</v>
      </c>
      <c r="S91" s="379">
        <f t="shared" si="50"/>
        <v>8</v>
      </c>
      <c r="T91" s="379">
        <f t="shared" si="50"/>
        <v>8</v>
      </c>
      <c r="U91" s="379">
        <f t="shared" si="50"/>
        <v>8</v>
      </c>
      <c r="V91" s="379">
        <f t="shared" si="50"/>
        <v>0</v>
      </c>
      <c r="W91" s="379">
        <f t="shared" si="50"/>
        <v>0</v>
      </c>
      <c r="X91" s="381"/>
      <c r="Y91" s="381"/>
      <c r="Z91" s="332"/>
      <c r="AA91" s="332"/>
      <c r="AB91" s="415"/>
      <c r="AC91" s="415"/>
      <c r="AD91" s="415"/>
      <c r="AE91" s="417"/>
      <c r="AF91" s="418"/>
      <c r="AG91" s="418"/>
      <c r="AK91" s="420"/>
      <c r="AR91" s="435"/>
    </row>
    <row r="92" spans="2:48" s="419" customFormat="1" ht="62.25" customHeight="1" thickTop="1" x14ac:dyDescent="0.9">
      <c r="B92" s="414"/>
      <c r="C92" s="414"/>
      <c r="D92" s="422"/>
      <c r="E92" s="422"/>
      <c r="F92" s="422"/>
      <c r="G92" s="422"/>
      <c r="H92" s="422"/>
      <c r="I92" s="424"/>
      <c r="J92" s="423"/>
      <c r="K92" s="422"/>
      <c r="L92" s="380"/>
      <c r="M92" s="382"/>
      <c r="N92" s="377"/>
      <c r="O92" s="377"/>
      <c r="P92" s="377"/>
      <c r="Q92" s="377"/>
      <c r="R92" s="377"/>
      <c r="S92" s="377"/>
      <c r="T92" s="377"/>
      <c r="U92" s="377"/>
      <c r="V92" s="377"/>
      <c r="W92" s="377"/>
      <c r="X92" s="332"/>
      <c r="Y92" s="332"/>
      <c r="Z92" s="332"/>
      <c r="AA92" s="332"/>
      <c r="AB92" s="415"/>
      <c r="AC92" s="415"/>
      <c r="AD92" s="425"/>
      <c r="AE92" s="417"/>
      <c r="AF92" s="418"/>
      <c r="AG92" s="418"/>
      <c r="AK92" s="420"/>
      <c r="AR92" s="435"/>
    </row>
    <row r="93" spans="2:48" s="98" customFormat="1" ht="62.25" customHeight="1" thickBot="1" x14ac:dyDescent="0.95">
      <c r="B93" s="94"/>
      <c r="C93" s="94"/>
      <c r="D93" s="92"/>
      <c r="E93" s="92"/>
      <c r="F93" s="92"/>
      <c r="G93" s="92"/>
      <c r="H93" s="92"/>
      <c r="I93" s="91"/>
      <c r="J93" s="93"/>
      <c r="K93" s="92"/>
      <c r="L93" s="384"/>
      <c r="M93" s="340"/>
      <c r="N93" s="340"/>
      <c r="O93" s="340"/>
      <c r="P93" s="340"/>
      <c r="Q93" s="340"/>
      <c r="R93" s="340"/>
      <c r="S93" s="340"/>
      <c r="T93" s="340"/>
      <c r="U93" s="340"/>
      <c r="V93" s="340"/>
      <c r="W93" s="340"/>
      <c r="X93" s="340"/>
      <c r="Y93" s="340"/>
      <c r="Z93" s="340"/>
      <c r="AA93" s="340"/>
      <c r="AB93" s="91"/>
      <c r="AC93" s="91"/>
      <c r="AD93" s="91"/>
      <c r="AE93" s="95"/>
      <c r="AF93" s="158"/>
      <c r="AG93" s="158"/>
      <c r="AK93" s="183"/>
      <c r="AR93" s="434"/>
    </row>
    <row r="94" spans="2:48" s="98" customFormat="1" ht="88.5" customHeight="1" thickTop="1" thickBot="1" x14ac:dyDescent="0.95">
      <c r="B94" s="94"/>
      <c r="C94" s="94"/>
      <c r="D94" s="92"/>
      <c r="E94" s="92"/>
      <c r="F94" s="92"/>
      <c r="G94" s="92"/>
      <c r="H94" s="92"/>
      <c r="I94" s="91"/>
      <c r="J94" s="93"/>
      <c r="K94" s="212" t="s">
        <v>18</v>
      </c>
      <c r="L94" s="385" t="s">
        <v>180</v>
      </c>
      <c r="M94" s="379">
        <f t="shared" ref="M94:W94" si="51">+IF(M97=0,0,SUMIFS($J$6:$J$86,$L$6:$L$86,$K$94))</f>
        <v>11</v>
      </c>
      <c r="N94" s="379">
        <f t="shared" si="51"/>
        <v>11</v>
      </c>
      <c r="O94" s="379">
        <f t="shared" si="51"/>
        <v>11</v>
      </c>
      <c r="P94" s="379">
        <f t="shared" si="51"/>
        <v>11</v>
      </c>
      <c r="Q94" s="379">
        <f t="shared" si="51"/>
        <v>11</v>
      </c>
      <c r="R94" s="379">
        <f t="shared" si="51"/>
        <v>11</v>
      </c>
      <c r="S94" s="379">
        <f t="shared" si="51"/>
        <v>11</v>
      </c>
      <c r="T94" s="379">
        <f t="shared" si="51"/>
        <v>11</v>
      </c>
      <c r="U94" s="379">
        <f t="shared" si="51"/>
        <v>11</v>
      </c>
      <c r="V94" s="379">
        <f t="shared" si="51"/>
        <v>0</v>
      </c>
      <c r="W94" s="379">
        <f t="shared" si="51"/>
        <v>0</v>
      </c>
      <c r="X94" s="383"/>
      <c r="Y94" s="383"/>
      <c r="Z94" s="340"/>
      <c r="AA94" s="340"/>
      <c r="AB94" s="91"/>
      <c r="AC94" s="91"/>
      <c r="AD94" s="91"/>
      <c r="AE94" s="95"/>
      <c r="AF94" s="158"/>
      <c r="AG94" s="158"/>
      <c r="AK94" s="183"/>
      <c r="AR94" s="434"/>
    </row>
    <row r="95" spans="2:48" s="98" customFormat="1" ht="62.25" customHeight="1" thickTop="1" x14ac:dyDescent="0.9">
      <c r="B95" s="94"/>
      <c r="C95" s="94"/>
      <c r="D95" s="92"/>
      <c r="E95" s="92"/>
      <c r="F95" s="92"/>
      <c r="G95" s="92"/>
      <c r="H95" s="92"/>
      <c r="I95" s="92"/>
      <c r="J95" s="93"/>
      <c r="K95" s="212"/>
      <c r="L95" s="384"/>
      <c r="M95" s="386"/>
      <c r="N95" s="386"/>
      <c r="O95" s="386"/>
      <c r="P95" s="386"/>
      <c r="Q95" s="386"/>
      <c r="R95" s="386"/>
      <c r="S95" s="386"/>
      <c r="T95" s="386"/>
      <c r="U95" s="386"/>
      <c r="V95" s="386"/>
      <c r="W95" s="386"/>
      <c r="X95" s="340"/>
      <c r="Y95" s="340"/>
      <c r="Z95" s="340"/>
      <c r="AA95" s="340"/>
      <c r="AB95" s="91"/>
      <c r="AC95" s="91"/>
      <c r="AD95" s="91"/>
      <c r="AE95" s="95"/>
      <c r="AF95" s="158"/>
      <c r="AG95" s="158"/>
      <c r="AK95" s="183"/>
      <c r="AR95" s="434"/>
    </row>
    <row r="96" spans="2:48" s="98" customFormat="1" ht="62.25" customHeight="1" thickBot="1" x14ac:dyDescent="0.95">
      <c r="B96" s="94"/>
      <c r="C96" s="94"/>
      <c r="D96" s="92"/>
      <c r="E96" s="92"/>
      <c r="F96" s="92"/>
      <c r="G96" s="92"/>
      <c r="H96" s="92"/>
      <c r="I96" s="92"/>
      <c r="J96" s="93"/>
      <c r="K96" s="212"/>
      <c r="L96" s="384"/>
      <c r="M96" s="340"/>
      <c r="N96" s="340"/>
      <c r="O96" s="340"/>
      <c r="P96" s="340"/>
      <c r="Q96" s="387"/>
      <c r="R96" s="387"/>
      <c r="S96" s="387"/>
      <c r="T96" s="387"/>
      <c r="U96" s="387"/>
      <c r="V96" s="387"/>
      <c r="W96" s="387"/>
      <c r="X96" s="340"/>
      <c r="Y96" s="340"/>
      <c r="Z96" s="340"/>
      <c r="AA96" s="340"/>
      <c r="AB96" s="91"/>
      <c r="AC96" s="91"/>
      <c r="AD96" s="91"/>
      <c r="AE96" s="95"/>
      <c r="AF96" s="158"/>
      <c r="AG96" s="158"/>
      <c r="AK96" s="183"/>
      <c r="AR96" s="434"/>
    </row>
    <row r="97" spans="2:44" s="98" customFormat="1" ht="98.25" customHeight="1" thickTop="1" thickBot="1" x14ac:dyDescent="0.95">
      <c r="B97" s="94"/>
      <c r="C97" s="94"/>
      <c r="D97" s="92"/>
      <c r="E97" s="92"/>
      <c r="F97" s="92"/>
      <c r="G97" s="92"/>
      <c r="H97" s="92"/>
      <c r="I97" s="92"/>
      <c r="J97" s="93"/>
      <c r="K97" s="212"/>
      <c r="L97" s="385" t="s">
        <v>18</v>
      </c>
      <c r="M97" s="379">
        <f t="shared" ref="M97:W97" si="52">+SUMIF($L$6:$L$86,$L$97,M6:M86)</f>
        <v>638</v>
      </c>
      <c r="N97" s="379">
        <f t="shared" si="52"/>
        <v>639</v>
      </c>
      <c r="O97" s="379">
        <f t="shared" si="52"/>
        <v>639</v>
      </c>
      <c r="P97" s="379">
        <f t="shared" si="52"/>
        <v>639</v>
      </c>
      <c r="Q97" s="379">
        <f t="shared" si="52"/>
        <v>639</v>
      </c>
      <c r="R97" s="379">
        <f t="shared" si="52"/>
        <v>638</v>
      </c>
      <c r="S97" s="379">
        <f t="shared" si="52"/>
        <v>638</v>
      </c>
      <c r="T97" s="379">
        <f t="shared" si="52"/>
        <v>638</v>
      </c>
      <c r="U97" s="379">
        <f t="shared" si="52"/>
        <v>638</v>
      </c>
      <c r="V97" s="379">
        <f t="shared" si="52"/>
        <v>0</v>
      </c>
      <c r="W97" s="379">
        <f t="shared" si="52"/>
        <v>0</v>
      </c>
      <c r="X97" s="340"/>
      <c r="Y97" s="340"/>
      <c r="Z97" s="340"/>
      <c r="AA97" s="340"/>
      <c r="AB97" s="91"/>
      <c r="AC97" s="91"/>
      <c r="AD97" s="91"/>
      <c r="AE97" s="95"/>
      <c r="AF97" s="158"/>
      <c r="AG97" s="158"/>
      <c r="AK97" s="183"/>
      <c r="AR97" s="434"/>
    </row>
    <row r="98" spans="2:44" s="98" customFormat="1" ht="62.25" customHeight="1" thickTop="1" x14ac:dyDescent="0.9">
      <c r="B98" s="94"/>
      <c r="C98" s="94"/>
      <c r="D98" s="92"/>
      <c r="E98" s="92"/>
      <c r="F98" s="92"/>
      <c r="G98" s="92"/>
      <c r="H98" s="92"/>
      <c r="I98" s="92"/>
      <c r="J98" s="93"/>
      <c r="K98" s="212"/>
      <c r="L98" s="384"/>
      <c r="M98" s="388"/>
      <c r="N98" s="388"/>
      <c r="O98" s="388"/>
      <c r="P98" s="388"/>
      <c r="Q98" s="388"/>
      <c r="R98" s="388"/>
      <c r="S98" s="388"/>
      <c r="T98" s="388"/>
      <c r="U98" s="388"/>
      <c r="V98" s="388"/>
      <c r="W98" s="388"/>
      <c r="X98" s="340"/>
      <c r="Y98" s="340"/>
      <c r="Z98" s="340"/>
      <c r="AA98" s="340"/>
      <c r="AB98" s="91"/>
      <c r="AC98" s="91"/>
      <c r="AD98" s="91"/>
      <c r="AE98" s="95"/>
      <c r="AF98" s="158"/>
      <c r="AG98" s="158"/>
      <c r="AK98" s="183"/>
      <c r="AR98" s="434"/>
    </row>
    <row r="99" spans="2:44" s="98" customFormat="1" ht="62.25" customHeight="1" thickBot="1" x14ac:dyDescent="0.95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84"/>
      <c r="M99" s="340"/>
      <c r="N99" s="340"/>
      <c r="O99" s="340"/>
      <c r="P99" s="340"/>
      <c r="Q99" s="387"/>
      <c r="R99" s="387"/>
      <c r="S99" s="387"/>
      <c r="T99" s="387"/>
      <c r="U99" s="387"/>
      <c r="V99" s="387"/>
      <c r="W99" s="387"/>
      <c r="X99" s="340"/>
      <c r="Y99" s="340"/>
      <c r="Z99" s="340"/>
      <c r="AA99" s="340"/>
      <c r="AB99" s="91"/>
      <c r="AC99" s="91"/>
      <c r="AD99" s="91"/>
      <c r="AE99" s="95"/>
      <c r="AF99" s="158"/>
      <c r="AG99" s="158"/>
      <c r="AK99" s="183"/>
      <c r="AR99" s="434"/>
    </row>
    <row r="100" spans="2:44" s="98" customFormat="1" ht="94.5" customHeight="1" thickTop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92"/>
      <c r="L100" s="385" t="s">
        <v>13</v>
      </c>
      <c r="M100" s="379">
        <f>+M97+M94+M91</f>
        <v>657</v>
      </c>
      <c r="N100" s="379">
        <f t="shared" ref="N100:W100" si="53">+N97+N94+N91</f>
        <v>658</v>
      </c>
      <c r="O100" s="379">
        <f t="shared" si="53"/>
        <v>658</v>
      </c>
      <c r="P100" s="379">
        <f t="shared" si="53"/>
        <v>658</v>
      </c>
      <c r="Q100" s="379">
        <f t="shared" si="53"/>
        <v>658</v>
      </c>
      <c r="R100" s="379">
        <f t="shared" si="53"/>
        <v>657</v>
      </c>
      <c r="S100" s="379">
        <f t="shared" si="53"/>
        <v>657</v>
      </c>
      <c r="T100" s="379">
        <f t="shared" si="53"/>
        <v>657</v>
      </c>
      <c r="U100" s="379">
        <f t="shared" si="53"/>
        <v>657</v>
      </c>
      <c r="V100" s="379">
        <f t="shared" si="53"/>
        <v>0</v>
      </c>
      <c r="W100" s="379">
        <f t="shared" si="53"/>
        <v>0</v>
      </c>
      <c r="X100" s="340"/>
      <c r="Y100" s="340"/>
      <c r="Z100" s="340"/>
      <c r="AA100" s="340"/>
      <c r="AB100" s="91"/>
      <c r="AC100" s="91"/>
      <c r="AD100" s="91"/>
      <c r="AE100" s="95"/>
      <c r="AF100" s="155"/>
      <c r="AG100" s="155"/>
      <c r="AK100" s="183"/>
      <c r="AR100" s="434"/>
    </row>
    <row r="101" spans="2:44" s="98" customFormat="1" ht="62.25" thickTop="1" x14ac:dyDescent="0.9">
      <c r="B101" s="94"/>
      <c r="C101" s="94"/>
      <c r="D101" s="92"/>
      <c r="E101" s="92"/>
      <c r="F101" s="92"/>
      <c r="G101" s="92"/>
      <c r="H101" s="92"/>
      <c r="I101" s="92"/>
      <c r="J101" s="93"/>
      <c r="K101" s="92"/>
      <c r="L101" s="389"/>
      <c r="M101" s="340"/>
      <c r="N101" s="340"/>
      <c r="O101" s="340"/>
      <c r="P101" s="340"/>
      <c r="Q101" s="340"/>
      <c r="R101" s="340"/>
      <c r="S101" s="340"/>
      <c r="T101" s="340"/>
      <c r="U101" s="340"/>
      <c r="V101" s="340"/>
      <c r="W101" s="340"/>
      <c r="X101" s="340"/>
      <c r="Y101" s="340"/>
      <c r="Z101" s="340"/>
      <c r="AA101" s="340"/>
      <c r="AB101" s="91"/>
      <c r="AC101" s="91"/>
      <c r="AD101" s="91"/>
      <c r="AE101" s="95"/>
      <c r="AF101" s="158"/>
      <c r="AG101" s="158"/>
      <c r="AK101" s="183"/>
      <c r="AR101" s="434"/>
    </row>
    <row r="102" spans="2:44" x14ac:dyDescent="0.9">
      <c r="J102" s="91"/>
      <c r="K102" s="91"/>
      <c r="T102" s="515"/>
      <c r="U102" s="515"/>
      <c r="V102" s="515"/>
      <c r="AF102" s="158"/>
      <c r="AG102" s="158"/>
    </row>
    <row r="103" spans="2:44" ht="105" customHeight="1" x14ac:dyDescent="0.9">
      <c r="B103" s="426"/>
      <c r="AF103" s="158"/>
      <c r="AG103" s="158"/>
    </row>
    <row r="104" spans="2:44" s="98" customFormat="1" x14ac:dyDescent="0.9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99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5"/>
      <c r="AF104" s="158"/>
      <c r="AG104" s="158"/>
      <c r="AK104" s="183"/>
      <c r="AR104" s="434"/>
    </row>
    <row r="105" spans="2:44" s="98" customFormat="1" x14ac:dyDescent="0.9">
      <c r="B105" s="94"/>
      <c r="C105" s="94"/>
      <c r="D105" s="92"/>
      <c r="E105" s="92"/>
      <c r="F105" s="92"/>
      <c r="G105" s="92"/>
      <c r="H105" s="92"/>
      <c r="I105" s="91"/>
      <c r="J105" s="93"/>
      <c r="K105" s="92"/>
      <c r="L105" s="99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5"/>
      <c r="AF105" s="158"/>
      <c r="AG105" s="158"/>
      <c r="AK105" s="183"/>
      <c r="AR105" s="434"/>
    </row>
    <row r="106" spans="2:44" s="98" customFormat="1" x14ac:dyDescent="0.9">
      <c r="B106" s="94"/>
      <c r="C106" s="94"/>
      <c r="D106" s="92"/>
      <c r="E106" s="92"/>
      <c r="F106" s="92"/>
      <c r="G106" s="92"/>
      <c r="H106" s="92"/>
      <c r="I106" s="92"/>
      <c r="J106" s="93"/>
      <c r="K106" s="92"/>
      <c r="L106" s="99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5"/>
      <c r="AF106" s="158"/>
      <c r="AG106" s="158"/>
      <c r="AK106" s="183"/>
      <c r="AR106" s="434"/>
    </row>
    <row r="107" spans="2:44" s="98" customFormat="1" ht="66" customHeight="1" x14ac:dyDescent="0.9">
      <c r="B107" s="94"/>
      <c r="C107" s="94"/>
      <c r="D107" s="92"/>
      <c r="E107" s="92"/>
      <c r="F107" s="92"/>
      <c r="G107" s="92"/>
      <c r="H107" s="92"/>
      <c r="I107" s="92"/>
      <c r="J107" s="93"/>
      <c r="K107" s="92"/>
      <c r="L107" s="99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5"/>
      <c r="AF107" s="158"/>
      <c r="AG107" s="158"/>
      <c r="AK107" s="183"/>
      <c r="AR107" s="434"/>
    </row>
    <row r="109" spans="2:44" s="92" customFormat="1" x14ac:dyDescent="0.7">
      <c r="B109" s="94"/>
      <c r="C109" s="94"/>
      <c r="D109" s="92">
        <v>2</v>
      </c>
      <c r="J109" s="93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5"/>
      <c r="AF109" s="155"/>
      <c r="AG109" s="155"/>
      <c r="AH109" s="98"/>
      <c r="AI109" s="98"/>
      <c r="AJ109" s="98"/>
      <c r="AK109" s="183"/>
      <c r="AL109" s="91"/>
      <c r="AM109" s="91"/>
      <c r="AR109" s="243"/>
    </row>
    <row r="110" spans="2:44" s="92" customFormat="1" x14ac:dyDescent="0.7">
      <c r="B110" s="94"/>
      <c r="C110" s="94"/>
      <c r="H110" s="92">
        <v>1</v>
      </c>
      <c r="J110" s="93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5"/>
      <c r="AF110" s="155"/>
      <c r="AG110" s="155"/>
      <c r="AH110" s="98"/>
      <c r="AI110" s="98"/>
      <c r="AJ110" s="98"/>
      <c r="AK110" s="183"/>
      <c r="AL110" s="91"/>
      <c r="AM110" s="91"/>
      <c r="AR110" s="243"/>
    </row>
    <row r="111" spans="2:44" s="92" customFormat="1" x14ac:dyDescent="0.7">
      <c r="B111" s="94"/>
      <c r="C111" s="94"/>
      <c r="H111" s="92">
        <v>2</v>
      </c>
      <c r="J111" s="93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5"/>
      <c r="AF111" s="155"/>
      <c r="AG111" s="155"/>
      <c r="AH111" s="98"/>
      <c r="AI111" s="98"/>
      <c r="AJ111" s="98"/>
      <c r="AK111" s="183"/>
      <c r="AL111" s="91"/>
      <c r="AM111" s="91"/>
      <c r="AR111" s="243"/>
    </row>
    <row r="112" spans="2:44" s="92" customFormat="1" x14ac:dyDescent="0.7">
      <c r="B112" s="94"/>
      <c r="C112" s="94"/>
      <c r="H112" s="92">
        <v>3</v>
      </c>
      <c r="J112" s="93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5"/>
      <c r="AF112" s="155"/>
      <c r="AG112" s="155"/>
      <c r="AH112" s="98"/>
      <c r="AI112" s="98"/>
      <c r="AJ112" s="98"/>
      <c r="AK112" s="183"/>
      <c r="AL112" s="91"/>
      <c r="AM112" s="91"/>
      <c r="AR112" s="243"/>
    </row>
    <row r="113" spans="2:44" s="92" customFormat="1" x14ac:dyDescent="0.7">
      <c r="B113" s="94"/>
      <c r="C113" s="94"/>
      <c r="H113" s="92">
        <v>4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/>
      <c r="AF113" s="155"/>
      <c r="AG113" s="155"/>
      <c r="AH113" s="98"/>
      <c r="AI113" s="98"/>
      <c r="AJ113" s="98"/>
      <c r="AK113" s="183"/>
      <c r="AL113" s="91"/>
      <c r="AM113" s="91"/>
      <c r="AR113" s="243"/>
    </row>
    <row r="114" spans="2:44" s="92" customFormat="1" x14ac:dyDescent="0.7">
      <c r="B114" s="94"/>
      <c r="C114" s="94"/>
      <c r="H114" s="92">
        <v>5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/>
      <c r="AF114" s="155"/>
      <c r="AG114" s="155"/>
      <c r="AH114" s="98"/>
      <c r="AI114" s="98"/>
      <c r="AJ114" s="98"/>
      <c r="AK114" s="183"/>
      <c r="AL114" s="91"/>
      <c r="AM114" s="91"/>
      <c r="AR114" s="243"/>
    </row>
    <row r="115" spans="2:44" s="92" customFormat="1" x14ac:dyDescent="0.7">
      <c r="B115" s="94"/>
      <c r="C115" s="94"/>
      <c r="H115" s="92">
        <v>6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/>
      <c r="AF115" s="155"/>
      <c r="AG115" s="155"/>
      <c r="AH115" s="98"/>
      <c r="AI115" s="98"/>
      <c r="AJ115" s="98"/>
      <c r="AK115" s="183"/>
      <c r="AL115" s="91"/>
      <c r="AM115" s="91"/>
      <c r="AR115" s="243"/>
    </row>
    <row r="116" spans="2:44" s="92" customFormat="1" x14ac:dyDescent="0.7">
      <c r="B116" s="94"/>
      <c r="C116" s="94"/>
      <c r="H116" s="92">
        <v>7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/>
      <c r="AF116" s="155"/>
      <c r="AG116" s="155"/>
      <c r="AH116" s="98"/>
      <c r="AI116" s="98"/>
      <c r="AJ116" s="98"/>
      <c r="AK116" s="183"/>
      <c r="AL116" s="91"/>
      <c r="AM116" s="91"/>
      <c r="AR116" s="243"/>
    </row>
    <row r="117" spans="2:44" s="92" customFormat="1" x14ac:dyDescent="0.7">
      <c r="B117" s="94"/>
      <c r="C117" s="94"/>
      <c r="H117" s="92">
        <v>8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5"/>
      <c r="AG117" s="155"/>
      <c r="AH117" s="98"/>
      <c r="AI117" s="98"/>
      <c r="AJ117" s="98"/>
      <c r="AK117" s="183"/>
      <c r="AL117" s="91"/>
      <c r="AM117" s="91"/>
      <c r="AR117" s="243"/>
    </row>
    <row r="118" spans="2:44" s="92" customFormat="1" x14ac:dyDescent="0.7">
      <c r="B118" s="94"/>
      <c r="C118" s="94"/>
      <c r="H118" s="92">
        <v>11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5"/>
      <c r="AG118" s="155"/>
      <c r="AH118" s="98"/>
      <c r="AI118" s="98"/>
      <c r="AJ118" s="98"/>
      <c r="AK118" s="183"/>
      <c r="AL118" s="91"/>
      <c r="AM118" s="91"/>
      <c r="AR118" s="243"/>
    </row>
    <row r="119" spans="2:44" s="92" customFormat="1" x14ac:dyDescent="0.7">
      <c r="B119" s="94"/>
      <c r="C119" s="94"/>
      <c r="H119" s="92">
        <v>12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5"/>
      <c r="AG119" s="155"/>
      <c r="AH119" s="98"/>
      <c r="AI119" s="98"/>
      <c r="AJ119" s="98"/>
      <c r="AK119" s="183"/>
      <c r="AL119" s="91"/>
      <c r="AM119" s="91"/>
      <c r="AR119" s="243"/>
    </row>
    <row r="120" spans="2:44" s="92" customFormat="1" x14ac:dyDescent="0.7">
      <c r="B120" s="94"/>
      <c r="C120" s="94"/>
      <c r="H120" s="92">
        <v>13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5"/>
      <c r="AG120" s="155"/>
      <c r="AH120" s="98"/>
      <c r="AI120" s="98"/>
      <c r="AJ120" s="98"/>
      <c r="AK120" s="183"/>
      <c r="AL120" s="91"/>
      <c r="AM120" s="91"/>
      <c r="AR120" s="243"/>
    </row>
    <row r="121" spans="2:44" s="92" customFormat="1" x14ac:dyDescent="0.7">
      <c r="B121" s="94"/>
      <c r="C121" s="94"/>
      <c r="H121" s="92">
        <v>14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22" spans="2:44" s="92" customFormat="1" x14ac:dyDescent="0.7">
      <c r="B122" s="94"/>
      <c r="C122" s="94"/>
      <c r="H122" s="92">
        <v>15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5"/>
      <c r="AG122" s="155"/>
      <c r="AH122" s="98"/>
      <c r="AI122" s="98"/>
      <c r="AJ122" s="98"/>
      <c r="AK122" s="183"/>
      <c r="AL122" s="91"/>
      <c r="AM122" s="91"/>
      <c r="AR122" s="243"/>
    </row>
    <row r="123" spans="2:44" s="92" customFormat="1" x14ac:dyDescent="0.7">
      <c r="B123" s="94"/>
      <c r="C123" s="94"/>
      <c r="H123" s="92">
        <v>17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5"/>
      <c r="AG123" s="155"/>
      <c r="AH123" s="98"/>
      <c r="AI123" s="98"/>
      <c r="AJ123" s="98"/>
      <c r="AK123" s="183"/>
      <c r="AL123" s="91"/>
      <c r="AM123" s="91"/>
      <c r="AR123" s="243"/>
    </row>
    <row r="124" spans="2:44" s="92" customFormat="1" x14ac:dyDescent="0.7">
      <c r="B124" s="94"/>
      <c r="C124" s="94"/>
      <c r="H124" s="92">
        <v>18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/>
      <c r="AF124" s="155"/>
      <c r="AG124" s="155"/>
      <c r="AH124" s="98"/>
      <c r="AI124" s="98"/>
      <c r="AJ124" s="98"/>
      <c r="AK124" s="183"/>
      <c r="AL124" s="91"/>
      <c r="AM124" s="91"/>
      <c r="AR124" s="243"/>
    </row>
    <row r="125" spans="2:44" s="92" customFormat="1" x14ac:dyDescent="0.7">
      <c r="B125" s="94"/>
      <c r="C125" s="94"/>
      <c r="H125" s="92">
        <v>19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81" spans="2:44" s="92" customFormat="1" x14ac:dyDescent="0.7">
      <c r="B181" s="94"/>
      <c r="C181" s="94"/>
      <c r="G181" s="92">
        <v>1</v>
      </c>
      <c r="J181" s="93"/>
      <c r="L181" s="99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  <c r="AC181" s="91"/>
      <c r="AD181" s="91"/>
      <c r="AE181" s="95"/>
      <c r="AF181" s="155"/>
      <c r="AG181" s="155"/>
      <c r="AH181" s="98"/>
      <c r="AI181" s="98"/>
      <c r="AJ181" s="98"/>
      <c r="AK181" s="183"/>
      <c r="AL181" s="91"/>
      <c r="AM181" s="91"/>
      <c r="AR181" s="243"/>
    </row>
  </sheetData>
  <sheetProtection algorithmName="SHA-512" hashValue="CyN9bbHTDX1kkOEfcTE6gnjN/YjJZlhxNS8AJ9QG9bWet/RRPT/atj/JQdvYt0Rzu8JHHFB5eEWr1Y2zsaIGhA==" saltValue="PC++gqyjb8SukmNeZzCARA==" spinCount="100000" sheet="1" autoFilter="0"/>
  <autoFilter ref="A5:CR85">
    <filterColumn colId="9" showButton="0"/>
  </autoFilter>
  <mergeCells count="58">
    <mergeCell ref="AD1:AE1"/>
    <mergeCell ref="AD2:AE3"/>
    <mergeCell ref="H3:I3"/>
    <mergeCell ref="K3:L3"/>
    <mergeCell ref="B4:G4"/>
    <mergeCell ref="K4:L4"/>
    <mergeCell ref="AD4:AE4"/>
    <mergeCell ref="J5:K5"/>
    <mergeCell ref="G6:G9"/>
    <mergeCell ref="Z6:Z8"/>
    <mergeCell ref="AW7:BF7"/>
    <mergeCell ref="G10:G13"/>
    <mergeCell ref="Z10:Z12"/>
    <mergeCell ref="AW11:BF11"/>
    <mergeCell ref="G14:G17"/>
    <mergeCell ref="Z14:Z16"/>
    <mergeCell ref="AW15:BF15"/>
    <mergeCell ref="G18:G21"/>
    <mergeCell ref="Z18:Z20"/>
    <mergeCell ref="AW19:BF19"/>
    <mergeCell ref="G22:G25"/>
    <mergeCell ref="Z22:Z24"/>
    <mergeCell ref="G26:G29"/>
    <mergeCell ref="Z26:Z28"/>
    <mergeCell ref="G30:G33"/>
    <mergeCell ref="Z30:Z32"/>
    <mergeCell ref="G34:G37"/>
    <mergeCell ref="Z34:Z36"/>
    <mergeCell ref="G38:G41"/>
    <mergeCell ref="Z38:Z40"/>
    <mergeCell ref="G42:G45"/>
    <mergeCell ref="Z42:Z44"/>
    <mergeCell ref="G50:G53"/>
    <mergeCell ref="Z50:Z52"/>
    <mergeCell ref="AW51:BF51"/>
    <mergeCell ref="Z54:Z56"/>
    <mergeCell ref="AW43:BF43"/>
    <mergeCell ref="G46:G49"/>
    <mergeCell ref="Z46:Z48"/>
    <mergeCell ref="G58:G61"/>
    <mergeCell ref="Z58:Z60"/>
    <mergeCell ref="G62:G65"/>
    <mergeCell ref="Z62:Z64"/>
    <mergeCell ref="G66:G69"/>
    <mergeCell ref="Z66:Z68"/>
    <mergeCell ref="G70:G73"/>
    <mergeCell ref="Z70:Z72"/>
    <mergeCell ref="AW71:BF71"/>
    <mergeCell ref="G74:G77"/>
    <mergeCell ref="Z74:Z76"/>
    <mergeCell ref="AW75:BG75"/>
    <mergeCell ref="T102:V102"/>
    <mergeCell ref="G78:G81"/>
    <mergeCell ref="Z78:Z80"/>
    <mergeCell ref="G82:G85"/>
    <mergeCell ref="Z82:Z84"/>
    <mergeCell ref="Z87:AA87"/>
    <mergeCell ref="Z89:AA89"/>
  </mergeCells>
  <conditionalFormatting sqref="AD2:AE3">
    <cfRule type="cellIs" dxfId="8371" priority="375" operator="lessThan">
      <formula>0.85</formula>
    </cfRule>
  </conditionalFormatting>
  <conditionalFormatting sqref="AM1:AM5 AM86:AM1048576">
    <cfRule type="cellIs" dxfId="8370" priority="374" operator="notEqual">
      <formula>0</formula>
    </cfRule>
  </conditionalFormatting>
  <conditionalFormatting sqref="AQ86:AQ88 AQ50 AQ58">
    <cfRule type="cellIs" dxfId="8369" priority="373" operator="lessThan">
      <formula>0</formula>
    </cfRule>
  </conditionalFormatting>
  <conditionalFormatting sqref="X86:Y86 X10:X85">
    <cfRule type="cellIs" dxfId="8368" priority="372" operator="lessThan">
      <formula>0</formula>
    </cfRule>
  </conditionalFormatting>
  <conditionalFormatting sqref="AM22:AM25">
    <cfRule type="cellIs" dxfId="8367" priority="370" operator="notEqual">
      <formula>0</formula>
    </cfRule>
  </conditionalFormatting>
  <conditionalFormatting sqref="I24">
    <cfRule type="cellIs" dxfId="8366" priority="369" operator="greaterThan">
      <formula>0</formula>
    </cfRule>
  </conditionalFormatting>
  <conditionalFormatting sqref="J24">
    <cfRule type="cellIs" dxfId="8365" priority="368" operator="greaterThan">
      <formula>0</formula>
    </cfRule>
  </conditionalFormatting>
  <conditionalFormatting sqref="AM62:AM65">
    <cfRule type="cellIs" dxfId="8364" priority="366" operator="notEqual">
      <formula>0</formula>
    </cfRule>
  </conditionalFormatting>
  <conditionalFormatting sqref="I64">
    <cfRule type="cellIs" dxfId="8363" priority="365" operator="greaterThan">
      <formula>0</formula>
    </cfRule>
  </conditionalFormatting>
  <conditionalFormatting sqref="AM18:AM21">
    <cfRule type="cellIs" dxfId="8362" priority="363" operator="notEqual">
      <formula>0</formula>
    </cfRule>
  </conditionalFormatting>
  <conditionalFormatting sqref="I20">
    <cfRule type="cellIs" dxfId="8361" priority="362" operator="greaterThan">
      <formula>0</formula>
    </cfRule>
  </conditionalFormatting>
  <conditionalFormatting sqref="J20">
    <cfRule type="cellIs" dxfId="8360" priority="361" operator="greaterThan">
      <formula>0</formula>
    </cfRule>
  </conditionalFormatting>
  <conditionalFormatting sqref="AM10:AM13">
    <cfRule type="cellIs" dxfId="8359" priority="359" operator="notEqual">
      <formula>0</formula>
    </cfRule>
  </conditionalFormatting>
  <conditionalFormatting sqref="I12">
    <cfRule type="cellIs" dxfId="8358" priority="358" operator="greaterThan">
      <formula>0</formula>
    </cfRule>
  </conditionalFormatting>
  <conditionalFormatting sqref="AM54:AM57">
    <cfRule type="cellIs" dxfId="8357" priority="356" operator="notEqual">
      <formula>0</formula>
    </cfRule>
  </conditionalFormatting>
  <conditionalFormatting sqref="I56">
    <cfRule type="cellIs" dxfId="8356" priority="355" operator="greaterThan">
      <formula>0</formula>
    </cfRule>
  </conditionalFormatting>
  <conditionalFormatting sqref="J56">
    <cfRule type="cellIs" dxfId="8355" priority="354" operator="greaterThan">
      <formula>0</formula>
    </cfRule>
  </conditionalFormatting>
  <conditionalFormatting sqref="AM30:AM33">
    <cfRule type="cellIs" dxfId="8354" priority="348" operator="notEqual">
      <formula>0</formula>
    </cfRule>
  </conditionalFormatting>
  <conditionalFormatting sqref="I32">
    <cfRule type="cellIs" dxfId="8353" priority="347" operator="greaterThan">
      <formula>0</formula>
    </cfRule>
  </conditionalFormatting>
  <conditionalFormatting sqref="J32">
    <cfRule type="cellIs" dxfId="8352" priority="346" operator="greaterThan">
      <formula>0</formula>
    </cfRule>
  </conditionalFormatting>
  <conditionalFormatting sqref="J12">
    <cfRule type="cellIs" dxfId="8351" priority="345" operator="greaterThan">
      <formula>0</formula>
    </cfRule>
  </conditionalFormatting>
  <conditionalFormatting sqref="J64">
    <cfRule type="cellIs" dxfId="8350" priority="340" operator="greaterThan">
      <formula>0</formula>
    </cfRule>
  </conditionalFormatting>
  <conditionalFormatting sqref="AM46:AM49">
    <cfRule type="cellIs" dxfId="8349" priority="338" operator="notEqual">
      <formula>0</formula>
    </cfRule>
  </conditionalFormatting>
  <conditionalFormatting sqref="I48">
    <cfRule type="cellIs" dxfId="8348" priority="337" operator="greaterThan">
      <formula>0</formula>
    </cfRule>
  </conditionalFormatting>
  <conditionalFormatting sqref="J48">
    <cfRule type="cellIs" dxfId="8347" priority="336" operator="greaterThan">
      <formula>0</formula>
    </cfRule>
  </conditionalFormatting>
  <conditionalFormatting sqref="AM26:AM29">
    <cfRule type="cellIs" dxfId="8346" priority="334" operator="notEqual">
      <formula>0</formula>
    </cfRule>
  </conditionalFormatting>
  <conditionalFormatting sqref="I28">
    <cfRule type="cellIs" dxfId="8345" priority="333" operator="greaterThan">
      <formula>0</formula>
    </cfRule>
  </conditionalFormatting>
  <conditionalFormatting sqref="J28">
    <cfRule type="cellIs" dxfId="8344" priority="332" operator="greaterThan">
      <formula>0</formula>
    </cfRule>
  </conditionalFormatting>
  <conditionalFormatting sqref="AM78:AM81">
    <cfRule type="cellIs" dxfId="8343" priority="330" operator="notEqual">
      <formula>0</formula>
    </cfRule>
  </conditionalFormatting>
  <conditionalFormatting sqref="I80">
    <cfRule type="cellIs" dxfId="8342" priority="329" operator="greaterThan">
      <formula>0</formula>
    </cfRule>
  </conditionalFormatting>
  <conditionalFormatting sqref="AM74:AM77">
    <cfRule type="cellIs" dxfId="8341" priority="327" operator="notEqual">
      <formula>0</formula>
    </cfRule>
  </conditionalFormatting>
  <conditionalFormatting sqref="I76">
    <cfRule type="cellIs" dxfId="8340" priority="326" operator="greaterThan">
      <formula>0</formula>
    </cfRule>
  </conditionalFormatting>
  <conditionalFormatting sqref="J76">
    <cfRule type="cellIs" dxfId="8339" priority="325" operator="greaterThan">
      <formula>0</formula>
    </cfRule>
  </conditionalFormatting>
  <conditionalFormatting sqref="Y12 Y20 Y24 Y28 Y32 Y48 Y56 Y64 Y76 Y80">
    <cfRule type="cellIs" dxfId="8338" priority="324" operator="lessThan">
      <formula>0</formula>
    </cfRule>
  </conditionalFormatting>
  <conditionalFormatting sqref="Y10:Y12 Y18:Y20 Y22:Y24 Y26:Y28 Y30:Y32 Y46:Y48 Y54:Y56 Y62:Y64 Y74:Y76 Y78:Y80">
    <cfRule type="cellIs" dxfId="8337" priority="323" operator="lessThan">
      <formula>0</formula>
    </cfRule>
  </conditionalFormatting>
  <conditionalFormatting sqref="Y13 Y21 Y25 Y29 Y33 Y49 Y57 Y77 Y81">
    <cfRule type="cellIs" dxfId="8336" priority="322" operator="lessThan">
      <formula>0</formula>
    </cfRule>
  </conditionalFormatting>
  <conditionalFormatting sqref="AM38:AM41">
    <cfRule type="cellIs" dxfId="8335" priority="320" operator="notEqual">
      <formula>0</formula>
    </cfRule>
  </conditionalFormatting>
  <conditionalFormatting sqref="I40">
    <cfRule type="cellIs" dxfId="8334" priority="319" operator="greaterThan">
      <formula>0</formula>
    </cfRule>
  </conditionalFormatting>
  <conditionalFormatting sqref="Y39">
    <cfRule type="iconSet" priority="318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8333" priority="317" operator="lessThan">
      <formula>0</formula>
    </cfRule>
  </conditionalFormatting>
  <conditionalFormatting sqref="Y38:Y40">
    <cfRule type="cellIs" dxfId="8332" priority="316" operator="lessThan">
      <formula>0</formula>
    </cfRule>
  </conditionalFormatting>
  <conditionalFormatting sqref="Y41">
    <cfRule type="cellIs" dxfId="8331" priority="315" operator="lessThan">
      <formula>0</formula>
    </cfRule>
  </conditionalFormatting>
  <conditionalFormatting sqref="AM42:AM45">
    <cfRule type="cellIs" dxfId="8330" priority="313" operator="notEqual">
      <formula>0</formula>
    </cfRule>
  </conditionalFormatting>
  <conditionalFormatting sqref="I44">
    <cfRule type="cellIs" dxfId="8329" priority="312" operator="greaterThan">
      <formula>0</formula>
    </cfRule>
  </conditionalFormatting>
  <conditionalFormatting sqref="Y43">
    <cfRule type="iconSet" priority="311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8328" priority="310" operator="lessThan">
      <formula>0</formula>
    </cfRule>
  </conditionalFormatting>
  <conditionalFormatting sqref="Y42:Y44">
    <cfRule type="cellIs" dxfId="8327" priority="309" operator="lessThan">
      <formula>0</formula>
    </cfRule>
  </conditionalFormatting>
  <conditionalFormatting sqref="Y45">
    <cfRule type="cellIs" dxfId="8326" priority="308" operator="lessThan">
      <formula>0</formula>
    </cfRule>
  </conditionalFormatting>
  <conditionalFormatting sqref="AM66:AM69">
    <cfRule type="cellIs" dxfId="8325" priority="306" operator="notEqual">
      <formula>0</formula>
    </cfRule>
  </conditionalFormatting>
  <conditionalFormatting sqref="I68">
    <cfRule type="cellIs" dxfId="8324" priority="305" operator="greaterThan">
      <formula>0</formula>
    </cfRule>
  </conditionalFormatting>
  <conditionalFormatting sqref="Y67">
    <cfRule type="iconSet" priority="304">
      <iconSet>
        <cfvo type="percent" val="0"/>
        <cfvo type="percent" val="&quot;$I$6&quot;"/>
        <cfvo type="percent" val="#REF!"/>
      </iconSet>
    </cfRule>
  </conditionalFormatting>
  <conditionalFormatting sqref="Y68">
    <cfRule type="cellIs" dxfId="8323" priority="303" operator="lessThan">
      <formula>0</formula>
    </cfRule>
  </conditionalFormatting>
  <conditionalFormatting sqref="Y66:Y68">
    <cfRule type="cellIs" dxfId="8322" priority="302" operator="lessThan">
      <formula>0</formula>
    </cfRule>
  </conditionalFormatting>
  <conditionalFormatting sqref="Y69">
    <cfRule type="cellIs" dxfId="8321" priority="301" operator="lessThan">
      <formula>0</formula>
    </cfRule>
  </conditionalFormatting>
  <conditionalFormatting sqref="AM14:AM17">
    <cfRule type="cellIs" dxfId="8320" priority="299" operator="notEqual">
      <formula>0</formula>
    </cfRule>
  </conditionalFormatting>
  <conditionalFormatting sqref="Y15">
    <cfRule type="iconSet" priority="298">
      <iconSet>
        <cfvo type="percent" val="0"/>
        <cfvo type="percent" val="&quot;$I$6&quot;"/>
        <cfvo type="percent" val="#REF!"/>
      </iconSet>
    </cfRule>
  </conditionalFormatting>
  <conditionalFormatting sqref="Y16">
    <cfRule type="cellIs" dxfId="8319" priority="297" operator="lessThan">
      <formula>0</formula>
    </cfRule>
  </conditionalFormatting>
  <conditionalFormatting sqref="Y14:Y16">
    <cfRule type="cellIs" dxfId="8318" priority="296" operator="lessThan">
      <formula>0</formula>
    </cfRule>
  </conditionalFormatting>
  <conditionalFormatting sqref="Y17">
    <cfRule type="cellIs" dxfId="8317" priority="295" operator="lessThan">
      <formula>0</formula>
    </cfRule>
  </conditionalFormatting>
  <conditionalFormatting sqref="AM82:AM83">
    <cfRule type="cellIs" dxfId="8316" priority="293" operator="notEqual">
      <formula>0</formula>
    </cfRule>
  </conditionalFormatting>
  <conditionalFormatting sqref="I84">
    <cfRule type="cellIs" dxfId="8315" priority="292" operator="greaterThan">
      <formula>0</formula>
    </cfRule>
  </conditionalFormatting>
  <conditionalFormatting sqref="Y83">
    <cfRule type="iconSet" priority="291">
      <iconSet>
        <cfvo type="percent" val="0"/>
        <cfvo type="percent" val="&quot;$I$6&quot;"/>
        <cfvo type="percent" val="#REF!"/>
      </iconSet>
    </cfRule>
  </conditionalFormatting>
  <conditionalFormatting sqref="Y84">
    <cfRule type="cellIs" dxfId="8314" priority="290" operator="lessThan">
      <formula>0</formula>
    </cfRule>
  </conditionalFormatting>
  <conditionalFormatting sqref="Y82:Y84">
    <cfRule type="cellIs" dxfId="8313" priority="289" operator="lessThan">
      <formula>0</formula>
    </cfRule>
  </conditionalFormatting>
  <conditionalFormatting sqref="Y85">
    <cfRule type="cellIs" dxfId="8312" priority="288" operator="lessThan">
      <formula>0</formula>
    </cfRule>
  </conditionalFormatting>
  <conditionalFormatting sqref="AM50:AM53">
    <cfRule type="cellIs" dxfId="8311" priority="286" operator="notEqual">
      <formula>0</formula>
    </cfRule>
  </conditionalFormatting>
  <conditionalFormatting sqref="I52">
    <cfRule type="cellIs" dxfId="8310" priority="285" operator="greaterThan">
      <formula>0</formula>
    </cfRule>
  </conditionalFormatting>
  <conditionalFormatting sqref="Y51">
    <cfRule type="iconSet" priority="284">
      <iconSet>
        <cfvo type="percent" val="0"/>
        <cfvo type="percent" val="&quot;$I$6&quot;"/>
        <cfvo type="percent" val="#REF!"/>
      </iconSet>
    </cfRule>
  </conditionalFormatting>
  <conditionalFormatting sqref="Y52">
    <cfRule type="cellIs" dxfId="8309" priority="283" operator="lessThan">
      <formula>0</formula>
    </cfRule>
  </conditionalFormatting>
  <conditionalFormatting sqref="Y50:Y52">
    <cfRule type="cellIs" dxfId="8308" priority="282" operator="lessThan">
      <formula>0</formula>
    </cfRule>
  </conditionalFormatting>
  <conditionalFormatting sqref="Y53">
    <cfRule type="cellIs" dxfId="8307" priority="281" operator="lessThan">
      <formula>0</formula>
    </cfRule>
  </conditionalFormatting>
  <conditionalFormatting sqref="AQ6">
    <cfRule type="cellIs" dxfId="8306" priority="280" operator="lessThan">
      <formula>0</formula>
    </cfRule>
  </conditionalFormatting>
  <conditionalFormatting sqref="AQ6">
    <cfRule type="cellIs" dxfId="8305" priority="279" operator="lessThan">
      <formula>0</formula>
    </cfRule>
  </conditionalFormatting>
  <conditionalFormatting sqref="AQ8:AQ9">
    <cfRule type="cellIs" dxfId="8304" priority="278" operator="lessThan">
      <formula>0</formula>
    </cfRule>
  </conditionalFormatting>
  <conditionalFormatting sqref="AQ8:AQ9">
    <cfRule type="cellIs" dxfId="8303" priority="277" operator="lessThan">
      <formula>0</formula>
    </cfRule>
  </conditionalFormatting>
  <conditionalFormatting sqref="AQ8:AQ9">
    <cfRule type="cellIs" dxfId="8302" priority="276" operator="lessThan">
      <formula>0</formula>
    </cfRule>
  </conditionalFormatting>
  <conditionalFormatting sqref="AQ8:AQ9">
    <cfRule type="cellIs" dxfId="8301" priority="275" operator="lessThan">
      <formula>0</formula>
    </cfRule>
  </conditionalFormatting>
  <conditionalFormatting sqref="AQ8:AQ9">
    <cfRule type="cellIs" dxfId="8300" priority="274" operator="lessThan">
      <formula>0</formula>
    </cfRule>
  </conditionalFormatting>
  <conditionalFormatting sqref="AQ8:AQ9">
    <cfRule type="cellIs" dxfId="8299" priority="273" operator="lessThan">
      <formula>0</formula>
    </cfRule>
  </conditionalFormatting>
  <conditionalFormatting sqref="AQ8:AQ9">
    <cfRule type="cellIs" dxfId="8298" priority="272" operator="lessThan">
      <formula>0</formula>
    </cfRule>
  </conditionalFormatting>
  <conditionalFormatting sqref="AQ8:AQ9">
    <cfRule type="cellIs" dxfId="8297" priority="271" operator="lessThan">
      <formula>0</formula>
    </cfRule>
  </conditionalFormatting>
  <conditionalFormatting sqref="AQ6">
    <cfRule type="cellIs" dxfId="8296" priority="270" operator="lessThan">
      <formula>0</formula>
    </cfRule>
  </conditionalFormatting>
  <conditionalFormatting sqref="AQ6 AQ8:AQ9">
    <cfRule type="cellIs" dxfId="8295" priority="269" operator="lessThan">
      <formula>0</formula>
    </cfRule>
  </conditionalFormatting>
  <conditionalFormatting sqref="AM6:AM9">
    <cfRule type="cellIs" dxfId="8294" priority="268" operator="notEqual">
      <formula>0</formula>
    </cfRule>
  </conditionalFormatting>
  <conditionalFormatting sqref="I8">
    <cfRule type="cellIs" dxfId="8293" priority="267" operator="greaterThan">
      <formula>0</formula>
    </cfRule>
  </conditionalFormatting>
  <conditionalFormatting sqref="AQ6 AQ8:AQ9">
    <cfRule type="cellIs" dxfId="8292" priority="266" operator="lessThan">
      <formula>0</formula>
    </cfRule>
  </conditionalFormatting>
  <conditionalFormatting sqref="AQ6 AQ8:AQ9">
    <cfRule type="cellIs" dxfId="8291" priority="265" operator="lessThan">
      <formula>0</formula>
    </cfRule>
  </conditionalFormatting>
  <conditionalFormatting sqref="AQ6 AQ8:AQ9">
    <cfRule type="cellIs" dxfId="8290" priority="264" operator="lessThan">
      <formula>0</formula>
    </cfRule>
  </conditionalFormatting>
  <conditionalFormatting sqref="J8">
    <cfRule type="cellIs" dxfId="8289" priority="263" operator="greaterThan">
      <formula>0</formula>
    </cfRule>
  </conditionalFormatting>
  <conditionalFormatting sqref="AQ8:AQ9">
    <cfRule type="cellIs" dxfId="8288" priority="262" operator="lessThan">
      <formula>0</formula>
    </cfRule>
  </conditionalFormatting>
  <conditionalFormatting sqref="AQ8:AQ9">
    <cfRule type="cellIs" dxfId="8287" priority="261" operator="lessThan">
      <formula>0</formula>
    </cfRule>
  </conditionalFormatting>
  <conditionalFormatting sqref="AQ8:AQ9">
    <cfRule type="cellIs" dxfId="8286" priority="260" operator="lessThan">
      <formula>0</formula>
    </cfRule>
  </conditionalFormatting>
  <conditionalFormatting sqref="AQ8:AQ9">
    <cfRule type="cellIs" dxfId="8285" priority="259" operator="lessThan">
      <formula>0</formula>
    </cfRule>
  </conditionalFormatting>
  <conditionalFormatting sqref="Y7">
    <cfRule type="iconSet" priority="257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8284" priority="256" operator="lessThan">
      <formula>0</formula>
    </cfRule>
  </conditionalFormatting>
  <conditionalFormatting sqref="Y6:Y8">
    <cfRule type="cellIs" dxfId="8283" priority="255" operator="lessThan">
      <formula>0</formula>
    </cfRule>
  </conditionalFormatting>
  <conditionalFormatting sqref="Y9">
    <cfRule type="cellIs" dxfId="8282" priority="254" operator="lessThan">
      <formula>0</formula>
    </cfRule>
  </conditionalFormatting>
  <conditionalFormatting sqref="J40">
    <cfRule type="cellIs" dxfId="8281" priority="253" operator="greaterThan">
      <formula>0</formula>
    </cfRule>
  </conditionalFormatting>
  <conditionalFormatting sqref="J44">
    <cfRule type="cellIs" dxfId="8280" priority="252" operator="greaterThan">
      <formula>0</formula>
    </cfRule>
  </conditionalFormatting>
  <conditionalFormatting sqref="J80">
    <cfRule type="cellIs" dxfId="8279" priority="251" operator="greaterThan">
      <formula>0</formula>
    </cfRule>
  </conditionalFormatting>
  <conditionalFormatting sqref="AM58:AM61">
    <cfRule type="cellIs" dxfId="8278" priority="249" operator="notEqual">
      <formula>0</formula>
    </cfRule>
  </conditionalFormatting>
  <conditionalFormatting sqref="Y59">
    <cfRule type="iconSet" priority="248">
      <iconSet>
        <cfvo type="percent" val="0"/>
        <cfvo type="percent" val="&quot;$I$6&quot;"/>
        <cfvo type="percent" val="#REF!"/>
      </iconSet>
    </cfRule>
  </conditionalFormatting>
  <conditionalFormatting sqref="Y60">
    <cfRule type="cellIs" dxfId="8277" priority="247" operator="lessThan">
      <formula>0</formula>
    </cfRule>
  </conditionalFormatting>
  <conditionalFormatting sqref="Y58:Y60">
    <cfRule type="cellIs" dxfId="8276" priority="246" operator="lessThan">
      <formula>0</formula>
    </cfRule>
  </conditionalFormatting>
  <conditionalFormatting sqref="Y61">
    <cfRule type="cellIs" dxfId="8275" priority="245" operator="lessThan">
      <formula>0</formula>
    </cfRule>
  </conditionalFormatting>
  <conditionalFormatting sqref="I60">
    <cfRule type="cellIs" dxfId="8274" priority="244" operator="greaterThan">
      <formula>0</formula>
    </cfRule>
  </conditionalFormatting>
  <conditionalFormatting sqref="AM34:AM37">
    <cfRule type="cellIs" dxfId="8273" priority="242" operator="notEqual">
      <formula>0</formula>
    </cfRule>
  </conditionalFormatting>
  <conditionalFormatting sqref="I36">
    <cfRule type="cellIs" dxfId="8272" priority="241" operator="greaterThan">
      <formula>0</formula>
    </cfRule>
  </conditionalFormatting>
  <conditionalFormatting sqref="Y35">
    <cfRule type="iconSet" priority="240">
      <iconSet>
        <cfvo type="percent" val="0"/>
        <cfvo type="percent" val="&quot;$I$6&quot;"/>
        <cfvo type="percent" val="#REF!"/>
      </iconSet>
    </cfRule>
  </conditionalFormatting>
  <conditionalFormatting sqref="Y36">
    <cfRule type="cellIs" dxfId="8271" priority="239" operator="lessThan">
      <formula>0</formula>
    </cfRule>
  </conditionalFormatting>
  <conditionalFormatting sqref="Y34:Y36">
    <cfRule type="cellIs" dxfId="8270" priority="238" operator="lessThan">
      <formula>0</formula>
    </cfRule>
  </conditionalFormatting>
  <conditionalFormatting sqref="Y37">
    <cfRule type="cellIs" dxfId="8269" priority="237" operator="lessThan">
      <formula>0</formula>
    </cfRule>
  </conditionalFormatting>
  <conditionalFormatting sqref="Y65">
    <cfRule type="cellIs" dxfId="8268" priority="236" operator="lessThan">
      <formula>0</formula>
    </cfRule>
  </conditionalFormatting>
  <conditionalFormatting sqref="J52">
    <cfRule type="cellIs" dxfId="8267" priority="235" operator="greaterThan">
      <formula>0</formula>
    </cfRule>
  </conditionalFormatting>
  <conditionalFormatting sqref="Z29">
    <cfRule type="cellIs" dxfId="8266" priority="234" operator="lessThan">
      <formula>0</formula>
    </cfRule>
  </conditionalFormatting>
  <conditionalFormatting sqref="Y79 Y11 Y19 Y23 Y27 Y31 Y47 Y55 Y63 Y75">
    <cfRule type="iconSet" priority="376">
      <iconSet>
        <cfvo type="percent" val="0"/>
        <cfvo type="percent" val="&quot;$I$6&quot;"/>
        <cfvo type="percent" val="#REF!"/>
      </iconSet>
    </cfRule>
  </conditionalFormatting>
  <conditionalFormatting sqref="AQ7">
    <cfRule type="cellIs" dxfId="8265" priority="233" operator="lessThan">
      <formula>0</formula>
    </cfRule>
  </conditionalFormatting>
  <conditionalFormatting sqref="AQ7">
    <cfRule type="cellIs" dxfId="8264" priority="232" operator="lessThan">
      <formula>0</formula>
    </cfRule>
  </conditionalFormatting>
  <conditionalFormatting sqref="AQ7">
    <cfRule type="cellIs" dxfId="8263" priority="231" operator="lessThan">
      <formula>0</formula>
    </cfRule>
  </conditionalFormatting>
  <conditionalFormatting sqref="AQ7">
    <cfRule type="cellIs" dxfId="8262" priority="230" operator="lessThan">
      <formula>0</formula>
    </cfRule>
  </conditionalFormatting>
  <conditionalFormatting sqref="AQ7">
    <cfRule type="cellIs" dxfId="8261" priority="229" operator="lessThan">
      <formula>0</formula>
    </cfRule>
  </conditionalFormatting>
  <conditionalFormatting sqref="AQ7">
    <cfRule type="cellIs" dxfId="8260" priority="228" operator="lessThan">
      <formula>0</formula>
    </cfRule>
  </conditionalFormatting>
  <conditionalFormatting sqref="AQ7">
    <cfRule type="cellIs" dxfId="8259" priority="227" operator="lessThan">
      <formula>0</formula>
    </cfRule>
  </conditionalFormatting>
  <conditionalFormatting sqref="AQ7">
    <cfRule type="cellIs" dxfId="8258" priority="226" operator="lessThan">
      <formula>0</formula>
    </cfRule>
  </conditionalFormatting>
  <conditionalFormatting sqref="AQ7">
    <cfRule type="cellIs" dxfId="8257" priority="225" operator="lessThan">
      <formula>0</formula>
    </cfRule>
  </conditionalFormatting>
  <conditionalFormatting sqref="AQ7">
    <cfRule type="cellIs" dxfId="8256" priority="224" operator="lessThan">
      <formula>0</formula>
    </cfRule>
  </conditionalFormatting>
  <conditionalFormatting sqref="AQ7">
    <cfRule type="cellIs" dxfId="8255" priority="223" operator="lessThan">
      <formula>0</formula>
    </cfRule>
  </conditionalFormatting>
  <conditionalFormatting sqref="AQ7">
    <cfRule type="cellIs" dxfId="8254" priority="222" operator="lessThan">
      <formula>0</formula>
    </cfRule>
  </conditionalFormatting>
  <conditionalFormatting sqref="AQ7">
    <cfRule type="cellIs" dxfId="8253" priority="221" operator="lessThan">
      <formula>0</formula>
    </cfRule>
  </conditionalFormatting>
  <conditionalFormatting sqref="AQ7">
    <cfRule type="cellIs" dxfId="8252" priority="220" operator="lessThan">
      <formula>0</formula>
    </cfRule>
  </conditionalFormatting>
  <conditionalFormatting sqref="AQ7">
    <cfRule type="cellIs" dxfId="8251" priority="219" operator="lessThan">
      <formula>0</formula>
    </cfRule>
  </conditionalFormatting>
  <conditionalFormatting sqref="AQ7">
    <cfRule type="cellIs" dxfId="8250" priority="218" operator="lessThan">
      <formula>0</formula>
    </cfRule>
  </conditionalFormatting>
  <conditionalFormatting sqref="AQ7">
    <cfRule type="cellIs" dxfId="8249" priority="217" operator="lessThan">
      <formula>0</formula>
    </cfRule>
  </conditionalFormatting>
  <conditionalFormatting sqref="AQ7">
    <cfRule type="cellIs" dxfId="8248" priority="216" operator="lessThan">
      <formula>0</formula>
    </cfRule>
  </conditionalFormatting>
  <conditionalFormatting sqref="AQ7">
    <cfRule type="cellIs" dxfId="8247" priority="215" operator="lessThan">
      <formula>0</formula>
    </cfRule>
  </conditionalFormatting>
  <conditionalFormatting sqref="AQ7">
    <cfRule type="cellIs" dxfId="8246" priority="214" operator="lessThan">
      <formula>0</formula>
    </cfRule>
  </conditionalFormatting>
  <conditionalFormatting sqref="AQ7">
    <cfRule type="cellIs" dxfId="8245" priority="213" operator="lessThan">
      <formula>0</formula>
    </cfRule>
  </conditionalFormatting>
  <conditionalFormatting sqref="AQ7">
    <cfRule type="cellIs" dxfId="8244" priority="212" operator="lessThan">
      <formula>0</formula>
    </cfRule>
  </conditionalFormatting>
  <conditionalFormatting sqref="AQ7">
    <cfRule type="cellIs" dxfId="8243" priority="211" operator="lessThan">
      <formula>0</formula>
    </cfRule>
  </conditionalFormatting>
  <conditionalFormatting sqref="AQ7">
    <cfRule type="cellIs" dxfId="8242" priority="210" operator="lessThan">
      <formula>0</formula>
    </cfRule>
  </conditionalFormatting>
  <conditionalFormatting sqref="AQ7">
    <cfRule type="cellIs" dxfId="8241" priority="209" operator="lessThan">
      <formula>0</formula>
    </cfRule>
  </conditionalFormatting>
  <conditionalFormatting sqref="AQ7">
    <cfRule type="cellIs" dxfId="8240" priority="208" operator="lessThan">
      <formula>0</formula>
    </cfRule>
  </conditionalFormatting>
  <conditionalFormatting sqref="AQ7">
    <cfRule type="cellIs" dxfId="8239" priority="207" operator="lessThan">
      <formula>0</formula>
    </cfRule>
  </conditionalFormatting>
  <conditionalFormatting sqref="AQ7">
    <cfRule type="cellIs" dxfId="8238" priority="206" operator="lessThan">
      <formula>0</formula>
    </cfRule>
  </conditionalFormatting>
  <conditionalFormatting sqref="AQ7">
    <cfRule type="cellIs" dxfId="8237" priority="205" operator="lessThan">
      <formula>0</formula>
    </cfRule>
  </conditionalFormatting>
  <conditionalFormatting sqref="AQ7">
    <cfRule type="cellIs" dxfId="8236" priority="204" operator="lessThan">
      <formula>0</formula>
    </cfRule>
  </conditionalFormatting>
  <conditionalFormatting sqref="AQ7">
    <cfRule type="cellIs" dxfId="8235" priority="203" operator="lessThan">
      <formula>0</formula>
    </cfRule>
  </conditionalFormatting>
  <conditionalFormatting sqref="AQ7">
    <cfRule type="cellIs" dxfId="8234" priority="202" operator="lessThan">
      <formula>0</formula>
    </cfRule>
  </conditionalFormatting>
  <conditionalFormatting sqref="AQ7">
    <cfRule type="cellIs" dxfId="8233" priority="201" operator="lessThan">
      <formula>0</formula>
    </cfRule>
  </conditionalFormatting>
  <conditionalFormatting sqref="AQ7">
    <cfRule type="cellIs" dxfId="8232" priority="200" operator="lessThan">
      <formula>0</formula>
    </cfRule>
  </conditionalFormatting>
  <conditionalFormatting sqref="AQ7">
    <cfRule type="cellIs" dxfId="8231" priority="199" operator="lessThan">
      <formula>0</formula>
    </cfRule>
  </conditionalFormatting>
  <conditionalFormatting sqref="AQ7">
    <cfRule type="cellIs" dxfId="8230" priority="198" operator="lessThan">
      <formula>0</formula>
    </cfRule>
  </conditionalFormatting>
  <conditionalFormatting sqref="AQ7">
    <cfRule type="cellIs" dxfId="8229" priority="197" operator="lessThan">
      <formula>0</formula>
    </cfRule>
  </conditionalFormatting>
  <conditionalFormatting sqref="AQ7">
    <cfRule type="cellIs" dxfId="8228" priority="196" operator="lessThan">
      <formula>0</formula>
    </cfRule>
  </conditionalFormatting>
  <conditionalFormatting sqref="AQ7">
    <cfRule type="cellIs" dxfId="8227" priority="195" operator="lessThan">
      <formula>0</formula>
    </cfRule>
  </conditionalFormatting>
  <conditionalFormatting sqref="AQ7">
    <cfRule type="cellIs" dxfId="8226" priority="194" operator="lessThan">
      <formula>0</formula>
    </cfRule>
  </conditionalFormatting>
  <conditionalFormatting sqref="AQ7">
    <cfRule type="cellIs" dxfId="8225" priority="193" operator="lessThan">
      <formula>0</formula>
    </cfRule>
  </conditionalFormatting>
  <conditionalFormatting sqref="AQ7">
    <cfRule type="cellIs" dxfId="8224" priority="192" operator="lessThan">
      <formula>0</formula>
    </cfRule>
  </conditionalFormatting>
  <conditionalFormatting sqref="AQ7">
    <cfRule type="cellIs" dxfId="8223" priority="191" operator="lessThan">
      <formula>0</formula>
    </cfRule>
  </conditionalFormatting>
  <conditionalFormatting sqref="AQ7">
    <cfRule type="cellIs" dxfId="8222" priority="190" operator="lessThan">
      <formula>0</formula>
    </cfRule>
  </conditionalFormatting>
  <conditionalFormatting sqref="AQ7">
    <cfRule type="cellIs" dxfId="8221" priority="189" operator="lessThan">
      <formula>0</formula>
    </cfRule>
  </conditionalFormatting>
  <conditionalFormatting sqref="AQ7">
    <cfRule type="cellIs" dxfId="8220" priority="188" operator="lessThan">
      <formula>0</formula>
    </cfRule>
  </conditionalFormatting>
  <conditionalFormatting sqref="AQ7">
    <cfRule type="cellIs" dxfId="8219" priority="187" operator="lessThan">
      <formula>0</formula>
    </cfRule>
  </conditionalFormatting>
  <conditionalFormatting sqref="AQ7">
    <cfRule type="cellIs" dxfId="8218" priority="186" operator="lessThan">
      <formula>0</formula>
    </cfRule>
  </conditionalFormatting>
  <conditionalFormatting sqref="AQ7">
    <cfRule type="cellIs" dxfId="8217" priority="185" operator="lessThan">
      <formula>0</formula>
    </cfRule>
  </conditionalFormatting>
  <conditionalFormatting sqref="AQ7">
    <cfRule type="cellIs" dxfId="8216" priority="184" operator="lessThan">
      <formula>0</formula>
    </cfRule>
  </conditionalFormatting>
  <conditionalFormatting sqref="AQ7">
    <cfRule type="cellIs" dxfId="8215" priority="183" operator="lessThan">
      <formula>0</formula>
    </cfRule>
  </conditionalFormatting>
  <conditionalFormatting sqref="AQ7">
    <cfRule type="cellIs" dxfId="8214" priority="182" operator="lessThan">
      <formula>0</formula>
    </cfRule>
  </conditionalFormatting>
  <conditionalFormatting sqref="AQ7">
    <cfRule type="cellIs" dxfId="8213" priority="181" operator="lessThan">
      <formula>0</formula>
    </cfRule>
  </conditionalFormatting>
  <conditionalFormatting sqref="AQ7">
    <cfRule type="cellIs" dxfId="8212" priority="180" operator="lessThan">
      <formula>0</formula>
    </cfRule>
  </conditionalFormatting>
  <conditionalFormatting sqref="AQ7">
    <cfRule type="cellIs" dxfId="8211" priority="179" operator="lessThan">
      <formula>0</formula>
    </cfRule>
  </conditionalFormatting>
  <conditionalFormatting sqref="AQ7">
    <cfRule type="cellIs" dxfId="8210" priority="178" operator="lessThan">
      <formula>0</formula>
    </cfRule>
  </conditionalFormatting>
  <conditionalFormatting sqref="AQ7">
    <cfRule type="cellIs" dxfId="8209" priority="177" operator="lessThan">
      <formula>0</formula>
    </cfRule>
  </conditionalFormatting>
  <conditionalFormatting sqref="AQ7">
    <cfRule type="cellIs" dxfId="8208" priority="176" operator="lessThan">
      <formula>0</formula>
    </cfRule>
  </conditionalFormatting>
  <conditionalFormatting sqref="AQ7">
    <cfRule type="cellIs" dxfId="8207" priority="175" operator="lessThan">
      <formula>0</formula>
    </cfRule>
  </conditionalFormatting>
  <conditionalFormatting sqref="AQ7">
    <cfRule type="cellIs" dxfId="8206" priority="174" operator="lessThan">
      <formula>0</formula>
    </cfRule>
  </conditionalFormatting>
  <conditionalFormatting sqref="AQ7">
    <cfRule type="cellIs" dxfId="8205" priority="173" operator="lessThan">
      <formula>0</formula>
    </cfRule>
  </conditionalFormatting>
  <conditionalFormatting sqref="AQ7">
    <cfRule type="cellIs" dxfId="8204" priority="172" operator="lessThan">
      <formula>0</formula>
    </cfRule>
  </conditionalFormatting>
  <conditionalFormatting sqref="AQ7">
    <cfRule type="cellIs" dxfId="8203" priority="171" operator="lessThan">
      <formula>0</formula>
    </cfRule>
  </conditionalFormatting>
  <conditionalFormatting sqref="AQ7">
    <cfRule type="cellIs" dxfId="8202" priority="170" operator="lessThan">
      <formula>0</formula>
    </cfRule>
  </conditionalFormatting>
  <conditionalFormatting sqref="AQ7">
    <cfRule type="cellIs" dxfId="8201" priority="169" operator="lessThan">
      <formula>0</formula>
    </cfRule>
  </conditionalFormatting>
  <conditionalFormatting sqref="AQ7">
    <cfRule type="cellIs" dxfId="8200" priority="168" operator="lessThan">
      <formula>0</formula>
    </cfRule>
  </conditionalFormatting>
  <conditionalFormatting sqref="AQ7">
    <cfRule type="cellIs" dxfId="8199" priority="167" operator="lessThan">
      <formula>0</formula>
    </cfRule>
  </conditionalFormatting>
  <conditionalFormatting sqref="AQ7">
    <cfRule type="cellIs" dxfId="8198" priority="166" operator="lessThan">
      <formula>0</formula>
    </cfRule>
  </conditionalFormatting>
  <conditionalFormatting sqref="AQ7">
    <cfRule type="cellIs" dxfId="8197" priority="165" operator="lessThan">
      <formula>0</formula>
    </cfRule>
  </conditionalFormatting>
  <conditionalFormatting sqref="AQ7">
    <cfRule type="cellIs" dxfId="8196" priority="164" operator="lessThan">
      <formula>0</formula>
    </cfRule>
  </conditionalFormatting>
  <conditionalFormatting sqref="AQ7">
    <cfRule type="cellIs" dxfId="8195" priority="163" operator="lessThan">
      <formula>0</formula>
    </cfRule>
  </conditionalFormatting>
  <conditionalFormatting sqref="AQ7">
    <cfRule type="cellIs" dxfId="8194" priority="162" operator="lessThan">
      <formula>0</formula>
    </cfRule>
  </conditionalFormatting>
  <conditionalFormatting sqref="AQ7">
    <cfRule type="cellIs" dxfId="8193" priority="161" operator="lessThan">
      <formula>0</formula>
    </cfRule>
  </conditionalFormatting>
  <conditionalFormatting sqref="AQ7">
    <cfRule type="cellIs" dxfId="8192" priority="160" operator="lessThan">
      <formula>0</formula>
    </cfRule>
  </conditionalFormatting>
  <conditionalFormatting sqref="AQ7">
    <cfRule type="cellIs" dxfId="8191" priority="159" operator="lessThan">
      <formula>0</formula>
    </cfRule>
  </conditionalFormatting>
  <conditionalFormatting sqref="AQ7">
    <cfRule type="cellIs" dxfId="8190" priority="158" operator="lessThan">
      <formula>0</formula>
    </cfRule>
  </conditionalFormatting>
  <conditionalFormatting sqref="AQ7">
    <cfRule type="cellIs" dxfId="8189" priority="157" operator="lessThan">
      <formula>0</formula>
    </cfRule>
  </conditionalFormatting>
  <conditionalFormatting sqref="AQ7">
    <cfRule type="cellIs" dxfId="8188" priority="156" operator="lessThan">
      <formula>0</formula>
    </cfRule>
  </conditionalFormatting>
  <conditionalFormatting sqref="AQ7">
    <cfRule type="cellIs" dxfId="8187" priority="155" operator="lessThan">
      <formula>0</formula>
    </cfRule>
  </conditionalFormatting>
  <conditionalFormatting sqref="AQ7">
    <cfRule type="cellIs" dxfId="8186" priority="154" operator="lessThan">
      <formula>0</formula>
    </cfRule>
  </conditionalFormatting>
  <conditionalFormatting sqref="AQ7">
    <cfRule type="cellIs" dxfId="8185" priority="138" operator="lessThan">
      <formula>0</formula>
    </cfRule>
  </conditionalFormatting>
  <conditionalFormatting sqref="AQ7">
    <cfRule type="cellIs" dxfId="8184" priority="153" operator="lessThan">
      <formula>0</formula>
    </cfRule>
  </conditionalFormatting>
  <conditionalFormatting sqref="AQ7">
    <cfRule type="cellIs" dxfId="8183" priority="152" operator="lessThan">
      <formula>0</formula>
    </cfRule>
  </conditionalFormatting>
  <conditionalFormatting sqref="AQ7">
    <cfRule type="cellIs" dxfId="8182" priority="151" operator="lessThan">
      <formula>0</formula>
    </cfRule>
  </conditionalFormatting>
  <conditionalFormatting sqref="AQ7">
    <cfRule type="cellIs" dxfId="8181" priority="150" operator="lessThan">
      <formula>0</formula>
    </cfRule>
  </conditionalFormatting>
  <conditionalFormatting sqref="AQ7">
    <cfRule type="cellIs" dxfId="8180" priority="149" operator="lessThan">
      <formula>0</formula>
    </cfRule>
  </conditionalFormatting>
  <conditionalFormatting sqref="AQ7">
    <cfRule type="cellIs" dxfId="8179" priority="148" operator="lessThan">
      <formula>0</formula>
    </cfRule>
  </conditionalFormatting>
  <conditionalFormatting sqref="AQ7">
    <cfRule type="cellIs" dxfId="8178" priority="147" operator="lessThan">
      <formula>0</formula>
    </cfRule>
  </conditionalFormatting>
  <conditionalFormatting sqref="AQ7">
    <cfRule type="cellIs" dxfId="8177" priority="146" operator="lessThan">
      <formula>0</formula>
    </cfRule>
  </conditionalFormatting>
  <conditionalFormatting sqref="AQ7">
    <cfRule type="cellIs" dxfId="8176" priority="145" operator="lessThan">
      <formula>0</formula>
    </cfRule>
  </conditionalFormatting>
  <conditionalFormatting sqref="AQ7">
    <cfRule type="cellIs" dxfId="8175" priority="144" operator="lessThan">
      <formula>0</formula>
    </cfRule>
  </conditionalFormatting>
  <conditionalFormatting sqref="AQ7">
    <cfRule type="cellIs" dxfId="8174" priority="143" operator="lessThan">
      <formula>0</formula>
    </cfRule>
  </conditionalFormatting>
  <conditionalFormatting sqref="AQ7">
    <cfRule type="cellIs" dxfId="8173" priority="142" operator="lessThan">
      <formula>0</formula>
    </cfRule>
  </conditionalFormatting>
  <conditionalFormatting sqref="AQ7">
    <cfRule type="cellIs" dxfId="8172" priority="141" operator="lessThan">
      <formula>0</formula>
    </cfRule>
  </conditionalFormatting>
  <conditionalFormatting sqref="AQ7">
    <cfRule type="cellIs" dxfId="8171" priority="140" operator="lessThan">
      <formula>0</formula>
    </cfRule>
  </conditionalFormatting>
  <conditionalFormatting sqref="AQ7">
    <cfRule type="cellIs" dxfId="8170" priority="139" operator="lessThan">
      <formula>0</formula>
    </cfRule>
  </conditionalFormatting>
  <conditionalFormatting sqref="J60">
    <cfRule type="cellIs" dxfId="8169" priority="137" operator="greaterThan">
      <formula>0</formula>
    </cfRule>
  </conditionalFormatting>
  <conditionalFormatting sqref="AM70:AM73">
    <cfRule type="cellIs" dxfId="8168" priority="134" operator="notEqual">
      <formula>0</formula>
    </cfRule>
  </conditionalFormatting>
  <conditionalFormatting sqref="I72">
    <cfRule type="cellIs" dxfId="8167" priority="133" operator="greaterThan">
      <formula>0</formula>
    </cfRule>
  </conditionalFormatting>
  <conditionalFormatting sqref="J72">
    <cfRule type="cellIs" dxfId="8166" priority="132" operator="greaterThan">
      <formula>0</formula>
    </cfRule>
  </conditionalFormatting>
  <conditionalFormatting sqref="Y72">
    <cfRule type="cellIs" dxfId="8165" priority="131" operator="lessThan">
      <formula>0</formula>
    </cfRule>
  </conditionalFormatting>
  <conditionalFormatting sqref="Y70:Y72">
    <cfRule type="cellIs" dxfId="8164" priority="130" operator="lessThan">
      <formula>0</formula>
    </cfRule>
  </conditionalFormatting>
  <conditionalFormatting sqref="Y73">
    <cfRule type="cellIs" dxfId="8163" priority="129" operator="lessThan">
      <formula>0</formula>
    </cfRule>
  </conditionalFormatting>
  <conditionalFormatting sqref="Y71">
    <cfRule type="iconSet" priority="136">
      <iconSet>
        <cfvo type="percent" val="0"/>
        <cfvo type="percent" val="&quot;$I$6&quot;"/>
        <cfvo type="percent" val="#REF!"/>
      </iconSet>
    </cfRule>
  </conditionalFormatting>
  <conditionalFormatting sqref="X7">
    <cfRule type="iconSet" priority="128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8162" priority="127" operator="lessThan">
      <formula>0</formula>
    </cfRule>
  </conditionalFormatting>
  <conditionalFormatting sqref="X6:X9">
    <cfRule type="cellIs" dxfId="8161" priority="126" operator="lessThan">
      <formula>0</formula>
    </cfRule>
  </conditionalFormatting>
  <conditionalFormatting sqref="X71 X11 X15 X19 X23 X27 X31 X35 X39 X43 X47 X51 X55 X59 X63 X67 X75 X79 X83">
    <cfRule type="iconSet" priority="125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4">
    <cfRule type="cellIs" dxfId="8160" priority="124" operator="lessThan">
      <formula>0</formula>
    </cfRule>
  </conditionalFormatting>
  <conditionalFormatting sqref="AQ10 AQ14 AQ18 AQ22 AQ26 AQ30 AQ34 AQ38 AQ42 AQ46 AQ50 AQ54 AQ58 AQ62 AQ66 AQ70 AQ74 AQ78 AQ82">
    <cfRule type="cellIs" dxfId="8159" priority="122" operator="lessThan">
      <formula>0</formula>
    </cfRule>
  </conditionalFormatting>
  <conditionalFormatting sqref="AQ10 AQ14 AQ18 AQ22 AQ26 AQ30 AQ34 AQ38 AQ42 AQ46 AQ50 AQ54 AQ58 AQ62 AQ66 AQ70 AQ74 AQ78 AQ82">
    <cfRule type="cellIs" dxfId="8158" priority="121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57" priority="120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56" priority="119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55" priority="118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54" priority="117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53" priority="116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52" priority="115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51" priority="114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50" priority="113" operator="lessThan">
      <formula>0</formula>
    </cfRule>
  </conditionalFormatting>
  <conditionalFormatting sqref="AQ10 AQ14 AQ18 AQ22 AQ26 AQ30 AQ34 AQ38 AQ42 AQ46 AQ50 AQ54 AQ58 AQ62 AQ66 AQ70 AQ74 AQ78 AQ82">
    <cfRule type="cellIs" dxfId="8149" priority="112" operator="lessThan">
      <formula>0</formula>
    </cfRule>
  </conditionalFormatting>
  <conditionalFormatting sqref="AQ10 AQ12:AQ14 AQ16:AQ18 AQ20:AQ22 AQ24:AQ26 AQ28:AQ30 AQ32:AQ34 AQ36:AQ38 AQ40:AQ42 AQ44:AQ46 AQ48:AQ49 AQ52:AQ54 AQ56:AQ57 AQ60:AQ62 AQ64:AQ66 AQ68:AQ70 AQ72:AQ74 AQ76:AQ78 AQ80:AQ82 AQ84:AQ85">
    <cfRule type="cellIs" dxfId="8148" priority="111" operator="lessThan">
      <formula>0</formula>
    </cfRule>
  </conditionalFormatting>
  <conditionalFormatting sqref="AQ10 AQ12:AQ14 AQ16:AQ18 AQ20:AQ22 AQ24:AQ26 AQ28:AQ30 AQ32:AQ34 AQ36:AQ38 AQ40:AQ42 AQ44:AQ46 AQ48:AQ49 AQ52:AQ54 AQ56:AQ57 AQ60:AQ62 AQ64:AQ66 AQ68:AQ70 AQ72:AQ74 AQ76:AQ78 AQ80:AQ82 AQ84:AQ85">
    <cfRule type="cellIs" dxfId="8147" priority="110" operator="lessThan">
      <formula>0</formula>
    </cfRule>
  </conditionalFormatting>
  <conditionalFormatting sqref="AQ10 AQ12:AQ14 AQ16:AQ18 AQ20:AQ22 AQ24:AQ26 AQ28:AQ30 AQ32:AQ34 AQ36:AQ38 AQ40:AQ42 AQ44:AQ46 AQ48:AQ49 AQ52:AQ54 AQ56:AQ57 AQ60:AQ62 AQ64:AQ66 AQ68:AQ70 AQ72:AQ74 AQ76:AQ78 AQ80:AQ82 AQ84:AQ85">
    <cfRule type="cellIs" dxfId="8146" priority="109" operator="lessThan">
      <formula>0</formula>
    </cfRule>
  </conditionalFormatting>
  <conditionalFormatting sqref="AQ10 AQ12:AQ14 AQ16:AQ18 AQ20:AQ22 AQ24:AQ26 AQ28:AQ30 AQ32:AQ34 AQ36:AQ38 AQ40:AQ42 AQ44:AQ46 AQ48:AQ49 AQ52:AQ54 AQ56:AQ57 AQ60:AQ62 AQ64:AQ66 AQ68:AQ70 AQ72:AQ74 AQ76:AQ78 AQ80:AQ82 AQ84:AQ85">
    <cfRule type="cellIs" dxfId="8145" priority="108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44" priority="107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43" priority="106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42" priority="105" operator="lessThan">
      <formula>0</formula>
    </cfRule>
  </conditionalFormatting>
  <conditionalFormatting sqref="AQ12:AQ13 AQ16:AQ17 AQ20:AQ21 AQ24:AQ25 AQ28:AQ29 AQ32:AQ33 AQ36:AQ37 AQ40:AQ41 AQ44:AQ45 AQ48:AQ49 AQ52:AQ53 AQ56:AQ57 AQ60:AQ61 AQ64:AQ65 AQ68:AQ69 AQ72:AQ73 AQ76:AQ77 AQ80:AQ81 AQ84:AQ85">
    <cfRule type="cellIs" dxfId="8141" priority="104" operator="lessThan">
      <formula>0</formula>
    </cfRule>
  </conditionalFormatting>
  <conditionalFormatting sqref="AQ11 AQ15 AQ19 AQ23 AQ27 AQ31 AQ35 AQ39 AQ43 AQ47 AQ51 AQ55 AQ59 AQ63 AQ67 AQ71 AQ79 AQ83 AQ75">
    <cfRule type="cellIs" dxfId="8140" priority="103" operator="lessThan">
      <formula>0</formula>
    </cfRule>
  </conditionalFormatting>
  <conditionalFormatting sqref="AQ11 AQ15 AQ19 AQ23 AQ27 AQ31 AQ35 AQ39 AQ43 AQ47 AQ51 AQ55 AQ59 AQ63 AQ67 AQ71 AQ79 AQ83 AQ75">
    <cfRule type="cellIs" dxfId="8139" priority="102" operator="lessThan">
      <formula>0</formula>
    </cfRule>
  </conditionalFormatting>
  <conditionalFormatting sqref="AQ11 AQ15 AQ19 AQ23 AQ27 AQ31 AQ35 AQ39 AQ43 AQ47 AQ51 AQ55 AQ59 AQ63 AQ67 AQ71 AQ79 AQ83 AQ75">
    <cfRule type="cellIs" dxfId="8138" priority="101" operator="lessThan">
      <formula>0</formula>
    </cfRule>
  </conditionalFormatting>
  <conditionalFormatting sqref="AQ11 AQ15 AQ19 AQ23 AQ27 AQ31 AQ35 AQ39 AQ43 AQ47 AQ51 AQ55 AQ59 AQ63 AQ67 AQ71 AQ79 AQ83 AQ75">
    <cfRule type="cellIs" dxfId="8137" priority="100" operator="lessThan">
      <formula>0</formula>
    </cfRule>
  </conditionalFormatting>
  <conditionalFormatting sqref="AQ11 AQ15 AQ19 AQ23 AQ27 AQ31 AQ35 AQ39 AQ43 AQ47 AQ51 AQ55 AQ59 AQ63 AQ67 AQ71 AQ79 AQ83 AQ75">
    <cfRule type="cellIs" dxfId="8136" priority="99" operator="lessThan">
      <formula>0</formula>
    </cfRule>
  </conditionalFormatting>
  <conditionalFormatting sqref="AQ11 AQ15 AQ19 AQ23 AQ27 AQ31 AQ35 AQ39 AQ43 AQ47 AQ51 AQ55 AQ59 AQ63 AQ67 AQ71 AQ79 AQ83 AQ75">
    <cfRule type="cellIs" dxfId="8135" priority="98" operator="lessThan">
      <formula>0</formula>
    </cfRule>
  </conditionalFormatting>
  <conditionalFormatting sqref="AQ11 AQ15 AQ19 AQ23 AQ27 AQ31 AQ35 AQ39 AQ43 AQ47 AQ51 AQ55 AQ59 AQ63 AQ67 AQ71 AQ79 AQ83 AQ75">
    <cfRule type="cellIs" dxfId="8134" priority="97" operator="lessThan">
      <formula>0</formula>
    </cfRule>
  </conditionalFormatting>
  <conditionalFormatting sqref="AQ11 AQ15 AQ19 AQ23 AQ27 AQ31 AQ35 AQ39 AQ43 AQ47 AQ51 AQ55 AQ59 AQ63 AQ67 AQ71 AQ79 AQ83 AQ75">
    <cfRule type="cellIs" dxfId="8133" priority="96" operator="lessThan">
      <formula>0</formula>
    </cfRule>
  </conditionalFormatting>
  <conditionalFormatting sqref="AQ11 AQ15 AQ19 AQ23 AQ27 AQ31 AQ35 AQ39 AQ43 AQ47 AQ51 AQ55 AQ59 AQ63 AQ67 AQ71 AQ79 AQ83 AQ75">
    <cfRule type="cellIs" dxfId="8132" priority="95" operator="lessThan">
      <formula>0</formula>
    </cfRule>
  </conditionalFormatting>
  <conditionalFormatting sqref="AQ11 AQ15 AQ19 AQ23 AQ27 AQ31 AQ35 AQ39 AQ43 AQ47 AQ51 AQ55 AQ59 AQ63 AQ67 AQ71 AQ79 AQ83 AQ75">
    <cfRule type="cellIs" dxfId="8131" priority="94" operator="lessThan">
      <formula>0</formula>
    </cfRule>
  </conditionalFormatting>
  <conditionalFormatting sqref="AQ11 AQ15 AQ19 AQ23 AQ27 AQ31 AQ35 AQ39 AQ43 AQ47 AQ51 AQ55 AQ59 AQ63 AQ67 AQ71 AQ79 AQ83 AQ75">
    <cfRule type="cellIs" dxfId="8130" priority="93" operator="lessThan">
      <formula>0</formula>
    </cfRule>
  </conditionalFormatting>
  <conditionalFormatting sqref="AQ11 AQ15 AQ19 AQ23 AQ27 AQ31 AQ35 AQ39 AQ43 AQ47 AQ51 AQ55 AQ59 AQ63 AQ67 AQ71 AQ79 AQ83 AQ75">
    <cfRule type="cellIs" dxfId="8129" priority="92" operator="lessThan">
      <formula>0</formula>
    </cfRule>
  </conditionalFormatting>
  <conditionalFormatting sqref="AQ11 AQ15 AQ19 AQ23 AQ27 AQ31 AQ35 AQ39 AQ43 AQ47 AQ51 AQ55 AQ59 AQ63 AQ67 AQ71 AQ79 AQ83 AQ75">
    <cfRule type="cellIs" dxfId="8128" priority="91" operator="lessThan">
      <formula>0</formula>
    </cfRule>
  </conditionalFormatting>
  <conditionalFormatting sqref="AQ11 AQ15 AQ19 AQ23 AQ27 AQ31 AQ35 AQ39 AQ43 AQ47 AQ51 AQ55 AQ59 AQ63 AQ67 AQ71 AQ79 AQ83 AQ75">
    <cfRule type="cellIs" dxfId="8127" priority="90" operator="lessThan">
      <formula>0</formula>
    </cfRule>
  </conditionalFormatting>
  <conditionalFormatting sqref="AQ11 AQ15 AQ19 AQ23 AQ27 AQ31 AQ35 AQ39 AQ43 AQ47 AQ51 AQ55 AQ59 AQ63 AQ67 AQ71 AQ79 AQ83 AQ75">
    <cfRule type="cellIs" dxfId="8126" priority="89" operator="lessThan">
      <formula>0</formula>
    </cfRule>
  </conditionalFormatting>
  <conditionalFormatting sqref="AQ11 AQ15 AQ19 AQ23 AQ27 AQ31 AQ35 AQ39 AQ43 AQ47 AQ51 AQ55 AQ59 AQ63 AQ67 AQ71 AQ79 AQ83 AQ75">
    <cfRule type="cellIs" dxfId="8125" priority="88" operator="lessThan">
      <formula>0</formula>
    </cfRule>
  </conditionalFormatting>
  <conditionalFormatting sqref="AQ11 AQ15 AQ19 AQ23 AQ27 AQ31 AQ35 AQ39 AQ43 AQ47 AQ51 AQ55 AQ59 AQ63 AQ67 AQ71 AQ79 AQ83 AQ75">
    <cfRule type="cellIs" dxfId="8124" priority="87" operator="lessThan">
      <formula>0</formula>
    </cfRule>
  </conditionalFormatting>
  <conditionalFormatting sqref="AQ11 AQ15 AQ19 AQ23 AQ27 AQ31 AQ35 AQ39 AQ43 AQ47 AQ51 AQ55 AQ59 AQ63 AQ67 AQ71 AQ79 AQ83 AQ75">
    <cfRule type="cellIs" dxfId="8123" priority="86" operator="lessThan">
      <formula>0</formula>
    </cfRule>
  </conditionalFormatting>
  <conditionalFormatting sqref="AQ11 AQ15 AQ19 AQ23 AQ27 AQ31 AQ35 AQ39 AQ43 AQ47 AQ51 AQ55 AQ59 AQ63 AQ67 AQ71 AQ79 AQ83 AQ75">
    <cfRule type="cellIs" dxfId="8122" priority="85" operator="lessThan">
      <formula>0</formula>
    </cfRule>
  </conditionalFormatting>
  <conditionalFormatting sqref="AQ11 AQ15 AQ19 AQ23 AQ27 AQ31 AQ35 AQ39 AQ43 AQ47 AQ51 AQ55 AQ59 AQ63 AQ67 AQ71 AQ79 AQ83 AQ75">
    <cfRule type="cellIs" dxfId="8121" priority="84" operator="lessThan">
      <formula>0</formula>
    </cfRule>
  </conditionalFormatting>
  <conditionalFormatting sqref="AQ11 AQ15 AQ19 AQ23 AQ27 AQ31 AQ35 AQ39 AQ43 AQ47 AQ51 AQ55 AQ59 AQ63 AQ67 AQ71 AQ79 AQ83 AQ75">
    <cfRule type="cellIs" dxfId="8120" priority="83" operator="lessThan">
      <formula>0</formula>
    </cfRule>
  </conditionalFormatting>
  <conditionalFormatting sqref="AQ11 AQ15 AQ19 AQ23 AQ27 AQ31 AQ35 AQ39 AQ43 AQ47 AQ51 AQ55 AQ59 AQ63 AQ67 AQ71 AQ79 AQ83 AQ75">
    <cfRule type="cellIs" dxfId="8119" priority="82" operator="lessThan">
      <formula>0</formula>
    </cfRule>
  </conditionalFormatting>
  <conditionalFormatting sqref="AQ11 AQ15 AQ19 AQ23 AQ27 AQ31 AQ35 AQ39 AQ43 AQ47 AQ51 AQ55 AQ59 AQ63 AQ67 AQ71 AQ79 AQ83 AQ75">
    <cfRule type="cellIs" dxfId="8118" priority="81" operator="lessThan">
      <formula>0</formula>
    </cfRule>
  </conditionalFormatting>
  <conditionalFormatting sqref="AQ11 AQ15 AQ19 AQ23 AQ27 AQ31 AQ35 AQ39 AQ43 AQ47 AQ51 AQ55 AQ59 AQ63 AQ67 AQ71 AQ79 AQ83 AQ75">
    <cfRule type="cellIs" dxfId="8117" priority="80" operator="lessThan">
      <formula>0</formula>
    </cfRule>
  </conditionalFormatting>
  <conditionalFormatting sqref="AQ11 AQ15 AQ19 AQ23 AQ27 AQ31 AQ35 AQ39 AQ43 AQ47 AQ51 AQ55 AQ59 AQ63 AQ67 AQ71 AQ79 AQ83 AQ75">
    <cfRule type="cellIs" dxfId="8116" priority="79" operator="lessThan">
      <formula>0</formula>
    </cfRule>
  </conditionalFormatting>
  <conditionalFormatting sqref="AQ11 AQ15 AQ19 AQ23 AQ27 AQ31 AQ35 AQ39 AQ43 AQ47 AQ51 AQ55 AQ59 AQ63 AQ67 AQ71 AQ79 AQ83 AQ75">
    <cfRule type="cellIs" dxfId="8115" priority="78" operator="lessThan">
      <formula>0</formula>
    </cfRule>
  </conditionalFormatting>
  <conditionalFormatting sqref="AQ11 AQ15 AQ19 AQ23 AQ27 AQ31 AQ35 AQ39 AQ43 AQ47 AQ51 AQ55 AQ59 AQ63 AQ67 AQ71 AQ79 AQ83 AQ75">
    <cfRule type="cellIs" dxfId="8114" priority="77" operator="lessThan">
      <formula>0</formula>
    </cfRule>
  </conditionalFormatting>
  <conditionalFormatting sqref="AQ11 AQ15 AQ19 AQ23 AQ27 AQ31 AQ35 AQ39 AQ43 AQ47 AQ51 AQ55 AQ59 AQ63 AQ67 AQ71 AQ79 AQ83 AQ75">
    <cfRule type="cellIs" dxfId="8113" priority="76" operator="lessThan">
      <formula>0</formula>
    </cfRule>
  </conditionalFormatting>
  <conditionalFormatting sqref="AQ11 AQ15 AQ19 AQ23 AQ27 AQ31 AQ35 AQ39 AQ43 AQ47 AQ51 AQ55 AQ59 AQ63 AQ67 AQ71 AQ79 AQ83 AQ75">
    <cfRule type="cellIs" dxfId="8112" priority="75" operator="lessThan">
      <formula>0</formula>
    </cfRule>
  </conditionalFormatting>
  <conditionalFormatting sqref="AQ11 AQ15 AQ19 AQ23 AQ27 AQ31 AQ35 AQ39 AQ43 AQ47 AQ51 AQ55 AQ59 AQ63 AQ67 AQ71 AQ79 AQ83 AQ75">
    <cfRule type="cellIs" dxfId="8111" priority="74" operator="lessThan">
      <formula>0</formula>
    </cfRule>
  </conditionalFormatting>
  <conditionalFormatting sqref="AQ11 AQ15 AQ19 AQ23 AQ27 AQ31 AQ35 AQ39 AQ43 AQ47 AQ51 AQ55 AQ59 AQ63 AQ67 AQ71 AQ79 AQ83 AQ75">
    <cfRule type="cellIs" dxfId="8110" priority="73" operator="lessThan">
      <formula>0</formula>
    </cfRule>
  </conditionalFormatting>
  <conditionalFormatting sqref="AQ11 AQ15 AQ19 AQ23 AQ27 AQ31 AQ35 AQ39 AQ43 AQ47 AQ51 AQ55 AQ59 AQ63 AQ67 AQ71 AQ79 AQ83 AQ75">
    <cfRule type="cellIs" dxfId="8109" priority="72" operator="lessThan">
      <formula>0</formula>
    </cfRule>
  </conditionalFormatting>
  <conditionalFormatting sqref="AQ11 AQ15 AQ19 AQ23 AQ27 AQ31 AQ35 AQ39 AQ43 AQ47 AQ51 AQ55 AQ59 AQ63 AQ67 AQ71 AQ79 AQ83 AQ75">
    <cfRule type="cellIs" dxfId="8108" priority="71" operator="lessThan">
      <formula>0</formula>
    </cfRule>
  </conditionalFormatting>
  <conditionalFormatting sqref="AQ11 AQ15 AQ19 AQ23 AQ27 AQ31 AQ35 AQ39 AQ43 AQ47 AQ51 AQ55 AQ59 AQ63 AQ67 AQ71 AQ79 AQ83 AQ75">
    <cfRule type="cellIs" dxfId="8107" priority="70" operator="lessThan">
      <formula>0</formula>
    </cfRule>
  </conditionalFormatting>
  <conditionalFormatting sqref="AQ11 AQ15 AQ19 AQ23 AQ27 AQ31 AQ35 AQ39 AQ43 AQ47 AQ51 AQ55 AQ59 AQ63 AQ67 AQ71 AQ79 AQ83 AQ75">
    <cfRule type="cellIs" dxfId="8106" priority="69" operator="lessThan">
      <formula>0</formula>
    </cfRule>
  </conditionalFormatting>
  <conditionalFormatting sqref="AQ11 AQ15 AQ19 AQ23 AQ27 AQ31 AQ35 AQ39 AQ43 AQ47 AQ51 AQ55 AQ59 AQ63 AQ67 AQ71 AQ79 AQ83 AQ75">
    <cfRule type="cellIs" dxfId="8105" priority="68" operator="lessThan">
      <formula>0</formula>
    </cfRule>
  </conditionalFormatting>
  <conditionalFormatting sqref="AQ11 AQ15 AQ19 AQ23 AQ27 AQ31 AQ35 AQ39 AQ43 AQ47 AQ51 AQ55 AQ59 AQ63 AQ67 AQ71 AQ79 AQ83 AQ75">
    <cfRule type="cellIs" dxfId="8104" priority="67" operator="lessThan">
      <formula>0</formula>
    </cfRule>
  </conditionalFormatting>
  <conditionalFormatting sqref="AQ11 AQ15 AQ19 AQ23 AQ27 AQ31 AQ35 AQ39 AQ43 AQ47 AQ51 AQ55 AQ59 AQ63 AQ67 AQ71 AQ79 AQ83 AQ75">
    <cfRule type="cellIs" dxfId="8103" priority="66" operator="lessThan">
      <formula>0</formula>
    </cfRule>
  </conditionalFormatting>
  <conditionalFormatting sqref="AQ11 AQ15 AQ19 AQ23 AQ27 AQ31 AQ35 AQ39 AQ43 AQ47 AQ51 AQ55 AQ59 AQ63 AQ67 AQ71 AQ79 AQ83 AQ75">
    <cfRule type="cellIs" dxfId="8102" priority="65" operator="lessThan">
      <formula>0</formula>
    </cfRule>
  </conditionalFormatting>
  <conditionalFormatting sqref="AQ11 AQ15 AQ19 AQ23 AQ27 AQ31 AQ35 AQ39 AQ43 AQ47 AQ51 AQ55 AQ59 AQ63 AQ67 AQ71 AQ79 AQ83 AQ75">
    <cfRule type="cellIs" dxfId="8101" priority="64" operator="lessThan">
      <formula>0</formula>
    </cfRule>
  </conditionalFormatting>
  <conditionalFormatting sqref="AQ11 AQ15 AQ19 AQ23 AQ27 AQ31 AQ35 AQ39 AQ43 AQ47 AQ51 AQ55 AQ59 AQ63 AQ67 AQ71 AQ79 AQ83 AQ75">
    <cfRule type="cellIs" dxfId="8100" priority="63" operator="lessThan">
      <formula>0</formula>
    </cfRule>
  </conditionalFormatting>
  <conditionalFormatting sqref="AQ11 AQ15 AQ19 AQ23 AQ27 AQ31 AQ35 AQ39 AQ43 AQ47 AQ51 AQ55 AQ59 AQ63 AQ67 AQ71 AQ79 AQ83 AQ75">
    <cfRule type="cellIs" dxfId="8099" priority="62" operator="lessThan">
      <formula>0</formula>
    </cfRule>
  </conditionalFormatting>
  <conditionalFormatting sqref="AQ11 AQ15 AQ19 AQ23 AQ27 AQ31 AQ35 AQ39 AQ43 AQ47 AQ51 AQ55 AQ59 AQ63 AQ67 AQ71 AQ79 AQ83 AQ75">
    <cfRule type="cellIs" dxfId="8098" priority="61" operator="lessThan">
      <formula>0</formula>
    </cfRule>
  </conditionalFormatting>
  <conditionalFormatting sqref="AQ11 AQ15 AQ19 AQ23 AQ27 AQ31 AQ35 AQ39 AQ43 AQ47 AQ51 AQ55 AQ59 AQ63 AQ67 AQ71 AQ79 AQ83 AQ75">
    <cfRule type="cellIs" dxfId="8097" priority="60" operator="lessThan">
      <formula>0</formula>
    </cfRule>
  </conditionalFormatting>
  <conditionalFormatting sqref="AQ11 AQ15 AQ19 AQ23 AQ27 AQ31 AQ35 AQ39 AQ43 AQ47 AQ51 AQ55 AQ59 AQ63 AQ67 AQ71 AQ79 AQ83 AQ75">
    <cfRule type="cellIs" dxfId="8096" priority="59" operator="lessThan">
      <formula>0</formula>
    </cfRule>
  </conditionalFormatting>
  <conditionalFormatting sqref="AQ11 AQ15 AQ19 AQ23 AQ27 AQ31 AQ35 AQ39 AQ43 AQ47 AQ51 AQ55 AQ59 AQ63 AQ67 AQ71 AQ79 AQ83 AQ75">
    <cfRule type="cellIs" dxfId="8095" priority="58" operator="lessThan">
      <formula>0</formula>
    </cfRule>
  </conditionalFormatting>
  <conditionalFormatting sqref="AQ11 AQ15 AQ19 AQ23 AQ27 AQ31 AQ35 AQ39 AQ43 AQ47 AQ51 AQ55 AQ59 AQ63 AQ67 AQ71 AQ79 AQ83 AQ75">
    <cfRule type="cellIs" dxfId="8094" priority="57" operator="lessThan">
      <formula>0</formula>
    </cfRule>
  </conditionalFormatting>
  <conditionalFormatting sqref="AQ11 AQ15 AQ19 AQ23 AQ27 AQ31 AQ35 AQ39 AQ43 AQ47 AQ51 AQ55 AQ59 AQ63 AQ67 AQ71 AQ79 AQ83 AQ75">
    <cfRule type="cellIs" dxfId="8093" priority="56" operator="lessThan">
      <formula>0</formula>
    </cfRule>
  </conditionalFormatting>
  <conditionalFormatting sqref="AQ11 AQ15 AQ19 AQ23 AQ27 AQ31 AQ35 AQ39 AQ43 AQ47 AQ51 AQ55 AQ59 AQ63 AQ67 AQ71 AQ79 AQ83 AQ75">
    <cfRule type="cellIs" dxfId="8092" priority="55" operator="lessThan">
      <formula>0</formula>
    </cfRule>
  </conditionalFormatting>
  <conditionalFormatting sqref="AQ11 AQ15 AQ19 AQ23 AQ27 AQ31 AQ35 AQ39 AQ43 AQ47 AQ51 AQ55 AQ59 AQ63 AQ67 AQ71 AQ79 AQ83 AQ75">
    <cfRule type="cellIs" dxfId="8091" priority="54" operator="lessThan">
      <formula>0</formula>
    </cfRule>
  </conditionalFormatting>
  <conditionalFormatting sqref="AQ11 AQ15 AQ19 AQ23 AQ27 AQ31 AQ35 AQ39 AQ43 AQ47 AQ51 AQ55 AQ59 AQ63 AQ67 AQ71 AQ79 AQ83 AQ75">
    <cfRule type="cellIs" dxfId="8090" priority="53" operator="lessThan">
      <formula>0</formula>
    </cfRule>
  </conditionalFormatting>
  <conditionalFormatting sqref="AQ11 AQ15 AQ19 AQ23 AQ27 AQ31 AQ35 AQ39 AQ43 AQ47 AQ51 AQ55 AQ59 AQ63 AQ67 AQ71 AQ79 AQ83 AQ75">
    <cfRule type="cellIs" dxfId="8089" priority="52" operator="lessThan">
      <formula>0</formula>
    </cfRule>
  </conditionalFormatting>
  <conditionalFormatting sqref="AQ11 AQ15 AQ19 AQ23 AQ27 AQ31 AQ35 AQ39 AQ43 AQ47 AQ51 AQ55 AQ59 AQ63 AQ67 AQ71 AQ79 AQ83 AQ75">
    <cfRule type="cellIs" dxfId="8088" priority="51" operator="lessThan">
      <formula>0</formula>
    </cfRule>
  </conditionalFormatting>
  <conditionalFormatting sqref="AQ11 AQ15 AQ19 AQ23 AQ27 AQ31 AQ35 AQ39 AQ43 AQ47 AQ51 AQ55 AQ59 AQ63 AQ67 AQ71 AQ79 AQ83 AQ75">
    <cfRule type="cellIs" dxfId="8087" priority="50" operator="lessThan">
      <formula>0</formula>
    </cfRule>
  </conditionalFormatting>
  <conditionalFormatting sqref="AQ11 AQ15 AQ19 AQ23 AQ27 AQ31 AQ35 AQ39 AQ43 AQ47 AQ51 AQ55 AQ59 AQ63 AQ67 AQ71 AQ79 AQ83 AQ75">
    <cfRule type="cellIs" dxfId="8086" priority="49" operator="lessThan">
      <formula>0</formula>
    </cfRule>
  </conditionalFormatting>
  <conditionalFormatting sqref="AQ11 AQ15 AQ19 AQ23 AQ27 AQ31 AQ35 AQ39 AQ43 AQ47 AQ51 AQ55 AQ59 AQ63 AQ67 AQ71 AQ79 AQ83 AQ75">
    <cfRule type="cellIs" dxfId="8085" priority="48" operator="lessThan">
      <formula>0</formula>
    </cfRule>
  </conditionalFormatting>
  <conditionalFormatting sqref="AQ11 AQ15 AQ19 AQ23 AQ27 AQ31 AQ35 AQ39 AQ43 AQ47 AQ51 AQ55 AQ59 AQ63 AQ67 AQ71 AQ79 AQ83 AQ75">
    <cfRule type="cellIs" dxfId="8084" priority="47" operator="lessThan">
      <formula>0</formula>
    </cfRule>
  </conditionalFormatting>
  <conditionalFormatting sqref="AQ11 AQ15 AQ19 AQ23 AQ27 AQ31 AQ35 AQ39 AQ43 AQ47 AQ51 AQ55 AQ59 AQ63 AQ67 AQ71 AQ79 AQ83 AQ75">
    <cfRule type="cellIs" dxfId="8083" priority="46" operator="lessThan">
      <formula>0</formula>
    </cfRule>
  </conditionalFormatting>
  <conditionalFormatting sqref="AQ11 AQ15 AQ19 AQ23 AQ27 AQ31 AQ35 AQ39 AQ43 AQ47 AQ51 AQ55 AQ59 AQ63 AQ67 AQ71 AQ79 AQ83 AQ75">
    <cfRule type="cellIs" dxfId="8082" priority="45" operator="lessThan">
      <formula>0</formula>
    </cfRule>
  </conditionalFormatting>
  <conditionalFormatting sqref="AQ11 AQ15 AQ19 AQ23 AQ27 AQ31 AQ35 AQ39 AQ43 AQ47 AQ51 AQ55 AQ59 AQ63 AQ67 AQ71 AQ79 AQ83 AQ75">
    <cfRule type="cellIs" dxfId="8081" priority="44" operator="lessThan">
      <formula>0</formula>
    </cfRule>
  </conditionalFormatting>
  <conditionalFormatting sqref="AQ11 AQ15 AQ19 AQ23 AQ27 AQ31 AQ35 AQ39 AQ43 AQ47 AQ51 AQ55 AQ59 AQ63 AQ67 AQ71 AQ79 AQ83 AQ75">
    <cfRule type="cellIs" dxfId="8080" priority="43" operator="lessThan">
      <formula>0</formula>
    </cfRule>
  </conditionalFormatting>
  <conditionalFormatting sqref="AQ11 AQ15 AQ19 AQ23 AQ27 AQ31 AQ35 AQ39 AQ43 AQ47 AQ51 AQ55 AQ59 AQ63 AQ67 AQ71 AQ79 AQ83 AQ75">
    <cfRule type="cellIs" dxfId="8079" priority="42" operator="lessThan">
      <formula>0</formula>
    </cfRule>
  </conditionalFormatting>
  <conditionalFormatting sqref="AQ11 AQ15 AQ19 AQ23 AQ27 AQ31 AQ35 AQ39 AQ43 AQ47 AQ51 AQ55 AQ59 AQ63 AQ67 AQ71 AQ79 AQ83 AQ75">
    <cfRule type="cellIs" dxfId="8078" priority="41" operator="lessThan">
      <formula>0</formula>
    </cfRule>
  </conditionalFormatting>
  <conditionalFormatting sqref="AQ11 AQ15 AQ19 AQ23 AQ27 AQ31 AQ35 AQ39 AQ43 AQ47 AQ51 AQ55 AQ59 AQ63 AQ67 AQ71 AQ79 AQ83 AQ75">
    <cfRule type="cellIs" dxfId="8077" priority="40" operator="lessThan">
      <formula>0</formula>
    </cfRule>
  </conditionalFormatting>
  <conditionalFormatting sqref="AQ11 AQ15 AQ19 AQ23 AQ27 AQ31 AQ35 AQ39 AQ43 AQ47 AQ51 AQ55 AQ59 AQ63 AQ67 AQ71 AQ79 AQ83 AQ75">
    <cfRule type="cellIs" dxfId="8076" priority="39" operator="lessThan">
      <formula>0</formula>
    </cfRule>
  </conditionalFormatting>
  <conditionalFormatting sqref="AQ11 AQ15 AQ19 AQ23 AQ27 AQ31 AQ35 AQ39 AQ43 AQ47 AQ51 AQ55 AQ59 AQ63 AQ67 AQ71 AQ79 AQ83 AQ75">
    <cfRule type="cellIs" dxfId="8075" priority="38" operator="lessThan">
      <formula>0</formula>
    </cfRule>
  </conditionalFormatting>
  <conditionalFormatting sqref="AQ11 AQ15 AQ19 AQ23 AQ27 AQ31 AQ35 AQ39 AQ43 AQ47 AQ51 AQ55 AQ59 AQ63 AQ67 AQ71 AQ79 AQ83 AQ75">
    <cfRule type="cellIs" dxfId="8074" priority="37" operator="lessThan">
      <formula>0</formula>
    </cfRule>
  </conditionalFormatting>
  <conditionalFormatting sqref="AQ11 AQ15 AQ19 AQ23 AQ27 AQ31 AQ35 AQ39 AQ43 AQ47 AQ51 AQ55 AQ59 AQ63 AQ67 AQ71 AQ79 AQ83 AQ75">
    <cfRule type="cellIs" dxfId="8073" priority="36" operator="lessThan">
      <formula>0</formula>
    </cfRule>
  </conditionalFormatting>
  <conditionalFormatting sqref="AQ11 AQ15 AQ19 AQ23 AQ27 AQ31 AQ35 AQ39 AQ43 AQ47 AQ51 AQ55 AQ59 AQ63 AQ67 AQ71 AQ79 AQ83 AQ75">
    <cfRule type="cellIs" dxfId="8072" priority="35" operator="lessThan">
      <formula>0</formula>
    </cfRule>
  </conditionalFormatting>
  <conditionalFormatting sqref="AQ11 AQ15 AQ19 AQ23 AQ27 AQ31 AQ35 AQ39 AQ43 AQ47 AQ51 AQ55 AQ59 AQ63 AQ67 AQ71 AQ79 AQ83 AQ75">
    <cfRule type="cellIs" dxfId="8071" priority="34" operator="lessThan">
      <formula>0</formula>
    </cfRule>
  </conditionalFormatting>
  <conditionalFormatting sqref="AQ11 AQ15 AQ19 AQ23 AQ27 AQ31 AQ35 AQ39 AQ43 AQ47 AQ51 AQ55 AQ59 AQ63 AQ67 AQ71 AQ79 AQ83 AQ75">
    <cfRule type="cellIs" dxfId="8070" priority="33" operator="lessThan">
      <formula>0</formula>
    </cfRule>
  </conditionalFormatting>
  <conditionalFormatting sqref="AQ11 AQ15 AQ19 AQ23 AQ27 AQ31 AQ35 AQ39 AQ43 AQ47 AQ51 AQ55 AQ59 AQ63 AQ67 AQ71 AQ79 AQ83 AQ75">
    <cfRule type="cellIs" dxfId="8069" priority="32" operator="lessThan">
      <formula>0</formula>
    </cfRule>
  </conditionalFormatting>
  <conditionalFormatting sqref="AQ11 AQ15 AQ19 AQ23 AQ27 AQ31 AQ35 AQ39 AQ43 AQ47 AQ51 AQ55 AQ59 AQ63 AQ67 AQ71 AQ79 AQ83 AQ75">
    <cfRule type="cellIs" dxfId="8068" priority="31" operator="lessThan">
      <formula>0</formula>
    </cfRule>
  </conditionalFormatting>
  <conditionalFormatting sqref="AQ11 AQ15 AQ19 AQ23 AQ27 AQ31 AQ35 AQ39 AQ43 AQ47 AQ51 AQ55 AQ59 AQ63 AQ67 AQ71 AQ79 AQ83 AQ75">
    <cfRule type="cellIs" dxfId="8067" priority="30" operator="lessThan">
      <formula>0</formula>
    </cfRule>
  </conditionalFormatting>
  <conditionalFormatting sqref="AQ11 AQ15 AQ19 AQ23 AQ27 AQ31 AQ35 AQ39 AQ43 AQ47 AQ51 AQ55 AQ59 AQ63 AQ67 AQ71 AQ79 AQ83 AQ75">
    <cfRule type="cellIs" dxfId="8066" priority="29" operator="lessThan">
      <formula>0</formula>
    </cfRule>
  </conditionalFormatting>
  <conditionalFormatting sqref="AQ11 AQ15 AQ19 AQ23 AQ27 AQ31 AQ35 AQ39 AQ43 AQ47 AQ51 AQ55 AQ59 AQ63 AQ67 AQ71 AQ79 AQ83 AQ75">
    <cfRule type="cellIs" dxfId="8065" priority="28" operator="lessThan">
      <formula>0</formula>
    </cfRule>
  </conditionalFormatting>
  <conditionalFormatting sqref="AQ11 AQ15 AQ19 AQ23 AQ27 AQ31 AQ35 AQ39 AQ43 AQ47 AQ51 AQ55 AQ59 AQ63 AQ67 AQ71 AQ79 AQ83 AQ75">
    <cfRule type="cellIs" dxfId="8064" priority="27" operator="lessThan">
      <formula>0</formula>
    </cfRule>
  </conditionalFormatting>
  <conditionalFormatting sqref="AQ11 AQ15 AQ19 AQ23 AQ27 AQ31 AQ35 AQ39 AQ43 AQ47 AQ51 AQ55 AQ59 AQ63 AQ67 AQ71 AQ79 AQ83 AQ75">
    <cfRule type="cellIs" dxfId="8063" priority="26" operator="lessThan">
      <formula>0</formula>
    </cfRule>
  </conditionalFormatting>
  <conditionalFormatting sqref="AQ11 AQ15 AQ19 AQ23 AQ27 AQ31 AQ35 AQ39 AQ43 AQ47 AQ51 AQ55 AQ59 AQ63 AQ67 AQ71 AQ79 AQ83 AQ75">
    <cfRule type="cellIs" dxfId="8062" priority="25" operator="lessThan">
      <formula>0</formula>
    </cfRule>
  </conditionalFormatting>
  <conditionalFormatting sqref="AQ11 AQ15 AQ19 AQ23 AQ27 AQ31 AQ35 AQ39 AQ43 AQ47 AQ51 AQ55 AQ59 AQ63 AQ67 AQ71 AQ79 AQ83 AQ75">
    <cfRule type="cellIs" dxfId="8061" priority="24" operator="lessThan">
      <formula>0</formula>
    </cfRule>
  </conditionalFormatting>
  <conditionalFormatting sqref="AQ11 AQ15 AQ19 AQ23 AQ27 AQ31 AQ35 AQ39 AQ43 AQ47 AQ51 AQ55 AQ59 AQ63 AQ67 AQ71 AQ79 AQ83 AQ75">
    <cfRule type="cellIs" dxfId="8060" priority="8" operator="lessThan">
      <formula>0</formula>
    </cfRule>
  </conditionalFormatting>
  <conditionalFormatting sqref="AQ11 AQ15 AQ19 AQ23 AQ27 AQ31 AQ35 AQ39 AQ43 AQ47 AQ51 AQ55 AQ59 AQ63 AQ67 AQ71 AQ79 AQ83 AQ75">
    <cfRule type="cellIs" dxfId="8059" priority="23" operator="lessThan">
      <formula>0</formula>
    </cfRule>
  </conditionalFormatting>
  <conditionalFormatting sqref="AQ11 AQ15 AQ19 AQ23 AQ27 AQ31 AQ35 AQ39 AQ43 AQ47 AQ51 AQ55 AQ59 AQ63 AQ67 AQ71 AQ79 AQ83 AQ75">
    <cfRule type="cellIs" dxfId="8058" priority="22" operator="lessThan">
      <formula>0</formula>
    </cfRule>
  </conditionalFormatting>
  <conditionalFormatting sqref="AQ11 AQ15 AQ19 AQ23 AQ27 AQ31 AQ35 AQ39 AQ43 AQ47 AQ51 AQ55 AQ59 AQ63 AQ67 AQ71 AQ79 AQ83 AQ75">
    <cfRule type="cellIs" dxfId="8057" priority="21" operator="lessThan">
      <formula>0</formula>
    </cfRule>
  </conditionalFormatting>
  <conditionalFormatting sqref="AQ11 AQ15 AQ19 AQ23 AQ27 AQ31 AQ35 AQ39 AQ43 AQ47 AQ51 AQ55 AQ59 AQ63 AQ67 AQ71 AQ79 AQ83 AQ75">
    <cfRule type="cellIs" dxfId="8056" priority="20" operator="lessThan">
      <formula>0</formula>
    </cfRule>
  </conditionalFormatting>
  <conditionalFormatting sqref="AQ11 AQ15 AQ19 AQ23 AQ27 AQ31 AQ35 AQ39 AQ43 AQ47 AQ51 AQ55 AQ59 AQ63 AQ67 AQ71 AQ79 AQ83 AQ75">
    <cfRule type="cellIs" dxfId="8055" priority="19" operator="lessThan">
      <formula>0</formula>
    </cfRule>
  </conditionalFormatting>
  <conditionalFormatting sqref="AQ11 AQ15 AQ19 AQ23 AQ27 AQ31 AQ35 AQ39 AQ43 AQ47 AQ51 AQ55 AQ59 AQ63 AQ67 AQ71 AQ79 AQ83 AQ75">
    <cfRule type="cellIs" dxfId="8054" priority="18" operator="lessThan">
      <formula>0</formula>
    </cfRule>
  </conditionalFormatting>
  <conditionalFormatting sqref="AQ11 AQ15 AQ19 AQ23 AQ27 AQ31 AQ35 AQ39 AQ43 AQ47 AQ51 AQ55 AQ59 AQ63 AQ67 AQ71 AQ79 AQ83 AQ75">
    <cfRule type="cellIs" dxfId="8053" priority="17" operator="lessThan">
      <formula>0</formula>
    </cfRule>
  </conditionalFormatting>
  <conditionalFormatting sqref="AQ11 AQ15 AQ19 AQ23 AQ27 AQ31 AQ35 AQ39 AQ43 AQ47 AQ51 AQ55 AQ59 AQ63 AQ67 AQ71 AQ79 AQ83 AQ75">
    <cfRule type="cellIs" dxfId="8052" priority="16" operator="lessThan">
      <formula>0</formula>
    </cfRule>
  </conditionalFormatting>
  <conditionalFormatting sqref="AQ11 AQ15 AQ19 AQ23 AQ27 AQ31 AQ35 AQ39 AQ43 AQ47 AQ51 AQ55 AQ59 AQ63 AQ67 AQ71 AQ79 AQ83 AQ75">
    <cfRule type="cellIs" dxfId="8051" priority="15" operator="lessThan">
      <formula>0</formula>
    </cfRule>
  </conditionalFormatting>
  <conditionalFormatting sqref="AQ11 AQ15 AQ19 AQ23 AQ27 AQ31 AQ35 AQ39 AQ43 AQ47 AQ51 AQ55 AQ59 AQ63 AQ67 AQ71 AQ79 AQ83 AQ75">
    <cfRule type="cellIs" dxfId="8050" priority="14" operator="lessThan">
      <formula>0</formula>
    </cfRule>
  </conditionalFormatting>
  <conditionalFormatting sqref="AQ11 AQ15 AQ19 AQ23 AQ27 AQ31 AQ35 AQ39 AQ43 AQ47 AQ51 AQ55 AQ59 AQ63 AQ67 AQ71 AQ79 AQ83 AQ75">
    <cfRule type="cellIs" dxfId="8049" priority="13" operator="lessThan">
      <formula>0</formula>
    </cfRule>
  </conditionalFormatting>
  <conditionalFormatting sqref="AQ11 AQ15 AQ19 AQ23 AQ27 AQ31 AQ35 AQ39 AQ43 AQ47 AQ51 AQ55 AQ59 AQ63 AQ67 AQ71 AQ79 AQ83 AQ75">
    <cfRule type="cellIs" dxfId="8048" priority="12" operator="lessThan">
      <formula>0</formula>
    </cfRule>
  </conditionalFormatting>
  <conditionalFormatting sqref="AQ11 AQ15 AQ19 AQ23 AQ27 AQ31 AQ35 AQ39 AQ43 AQ47 AQ51 AQ55 AQ59 AQ63 AQ67 AQ71 AQ79 AQ83 AQ75">
    <cfRule type="cellIs" dxfId="8047" priority="11" operator="lessThan">
      <formula>0</formula>
    </cfRule>
  </conditionalFormatting>
  <conditionalFormatting sqref="AQ11 AQ15 AQ19 AQ23 AQ27 AQ31 AQ35 AQ39 AQ43 AQ47 AQ51 AQ55 AQ59 AQ63 AQ67 AQ71 AQ79 AQ83 AQ75">
    <cfRule type="cellIs" dxfId="8046" priority="10" operator="lessThan">
      <formula>0</formula>
    </cfRule>
  </conditionalFormatting>
  <conditionalFormatting sqref="AQ11 AQ15 AQ19 AQ23 AQ27 AQ31 AQ35 AQ39 AQ43 AQ47 AQ51 AQ55 AQ59 AQ63 AQ67 AQ71 AQ79 AQ83 AQ75">
    <cfRule type="cellIs" dxfId="8045" priority="9" operator="lessThan">
      <formula>0</formula>
    </cfRule>
  </conditionalFormatting>
  <conditionalFormatting sqref="J68">
    <cfRule type="cellIs" dxfId="8044" priority="7" operator="greaterThan">
      <formula>0</formula>
    </cfRule>
  </conditionalFormatting>
  <conditionalFormatting sqref="J84">
    <cfRule type="cellIs" dxfId="8043" priority="6" operator="greaterThan">
      <formula>0</formula>
    </cfRule>
  </conditionalFormatting>
  <conditionalFormatting sqref="J16">
    <cfRule type="cellIs" dxfId="8042" priority="5" operator="greaterThan">
      <formula>0</formula>
    </cfRule>
  </conditionalFormatting>
  <conditionalFormatting sqref="J36">
    <cfRule type="cellIs" dxfId="8041" priority="3" operator="greaterThan">
      <formula>0</formula>
    </cfRule>
  </conditionalFormatting>
  <conditionalFormatting sqref="I16">
    <cfRule type="cellIs" dxfId="8040" priority="2" operator="greaterThan">
      <formula>0</formula>
    </cfRule>
  </conditionalFormatting>
  <conditionalFormatting sqref="AM84:AM85">
    <cfRule type="cellIs" dxfId="8039" priority="1" operator="notEqual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71" id="{9D9F2CF6-C22B-4933-8645-23AA8DD2D24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367" id="{4A964825-6227-4291-B3A0-F9EB83C0342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364" id="{BF6967FF-5D78-4EA8-B57A-B6AE90FFCA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360" id="{5131A138-630C-4F07-96CA-2E9062D2171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357" id="{6072C723-ACF3-482F-9B0A-B62ADC25DB3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349" id="{72B1B5BF-EDED-4507-A3E8-D6EBB34A52B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339" id="{518D54E8-F7CD-48AF-B050-75DA0BA4CF1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335" id="{34EC2469-EA87-4993-9F63-D1C4932EC26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331" id="{F2CE42C0-0DC1-45C7-BBD3-7C653122BF9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328" id="{F262FF4D-3551-4DAE-A19D-8A70BC21B38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321" id="{5F1E9B4B-96B7-4C02-9153-6FA39F45367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314" id="{82301BE5-E36C-4E1F-BFAD-7F96E90C808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307" id="{F5C42F40-B560-40AA-BD08-D26700AC939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300" id="{E91C4375-0E9C-43AD-9AD8-E0C35C5C7A6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294" id="{B3B86315-F951-40B5-8075-3A8472A9BA0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287" id="{50365BA3-471E-4025-B18E-84E0AD5E509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258" id="{1D0F17EC-E968-4C8B-8DAC-16146A02225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250" id="{B068E2CD-4346-4343-99A9-09E7019F1D6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243" id="{5B584D73-22E3-498A-8EDA-AEF3E71D28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135" id="{04D235F7-957C-4A0B-9F4C-17E8CCF9A5E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85"/>
  <sheetViews>
    <sheetView zoomScale="18" zoomScaleNormal="18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G6" sqref="G6:G9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0.74039216189071944</v>
      </c>
      <c r="AE2" s="520"/>
      <c r="AH2" s="183">
        <f>+SUBTOTAL(9,AH6:AH107)</f>
        <v>350977.5</v>
      </c>
      <c r="AI2" s="183">
        <f>+SUBTOTAL(9,AI6:AI107)</f>
        <v>259860.99</v>
      </c>
      <c r="AT2" s="91">
        <v>0.59793648334624327</v>
      </c>
    </row>
    <row r="3" spans="2:58" ht="94.5" customHeight="1" x14ac:dyDescent="0.9">
      <c r="B3" s="490"/>
      <c r="C3" s="490"/>
      <c r="D3" s="490"/>
      <c r="E3" s="490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90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+SUMIF($L$6:$L$90,AA3,$AA$6:$AA$90)</f>
        <v>7797</v>
      </c>
      <c r="AB4" s="144" t="s">
        <v>28</v>
      </c>
      <c r="AC4" s="145"/>
      <c r="AD4" s="524" t="str">
        <f ca="1">RIGHT(CELL("filename",A1),LEN(CELL("filename",A1))-FIND("]",CELL("filename",A1)))</f>
        <v>15-01-2026</v>
      </c>
      <c r="AE4" s="524"/>
      <c r="AF4" s="397">
        <f>+SUM(AF6:AF95)</f>
        <v>5849.625</v>
      </c>
      <c r="AG4" s="397"/>
      <c r="AH4" s="98"/>
      <c r="AI4" s="98"/>
      <c r="AJ4" s="398">
        <v>8.75</v>
      </c>
      <c r="AQ4" s="437">
        <f>+SUBTOTAL(9,AQ6:AQ91)</f>
        <v>438.19874999999979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488</v>
      </c>
      <c r="H6" s="106"/>
      <c r="I6" s="106"/>
      <c r="J6" s="107" t="s">
        <v>20</v>
      </c>
      <c r="K6" s="108" t="s">
        <v>23</v>
      </c>
      <c r="L6" s="100" t="s">
        <v>21</v>
      </c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7" t="str">
        <f t="shared" ref="X6" si="0">IF(AQ7="","",SUM(M6:W6)-(-(AQ7-SUM(M6:W6))/$AQ$3)*SUM($M$2:$W$2))</f>
        <v/>
      </c>
      <c r="Y6" s="466">
        <v>0</v>
      </c>
      <c r="Z6" s="533">
        <f>+X8</f>
        <v>-181</v>
      </c>
      <c r="AA6" s="447">
        <f t="shared" ref="AA6:AA7" si="1">+SUM(L6:W6)</f>
        <v>0</v>
      </c>
      <c r="AB6" s="343">
        <f>+AC6+AA6</f>
        <v>1910</v>
      </c>
      <c r="AC6" s="343">
        <v>1910</v>
      </c>
      <c r="AD6" s="344"/>
      <c r="AE6" s="345"/>
      <c r="AF6" s="346"/>
      <c r="AG6" s="347">
        <f t="shared" ref="AG6:AG81" si="2">TRUNC(AF6)+(AF6-TRUNC(AF6))*60/100</f>
        <v>0</v>
      </c>
      <c r="AH6" s="341">
        <f t="shared" ref="AH6:AH81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483</v>
      </c>
      <c r="E7" s="111"/>
      <c r="F7" s="111" t="s">
        <v>35</v>
      </c>
      <c r="G7" s="541" t="str">
        <f>+G6</f>
        <v>7394-593-741</v>
      </c>
      <c r="H7" s="111"/>
      <c r="I7" s="111" t="s">
        <v>33</v>
      </c>
      <c r="J7" s="113">
        <v>41.87</v>
      </c>
      <c r="K7" s="494">
        <v>60</v>
      </c>
      <c r="L7" s="101" t="s">
        <v>17</v>
      </c>
      <c r="M7" s="214">
        <v>60</v>
      </c>
      <c r="N7" s="214">
        <v>60</v>
      </c>
      <c r="O7" s="214">
        <v>50</v>
      </c>
      <c r="P7" s="214">
        <v>50</v>
      </c>
      <c r="Q7" s="214">
        <v>40</v>
      </c>
      <c r="R7" s="214">
        <v>30</v>
      </c>
      <c r="S7" s="214">
        <v>20</v>
      </c>
      <c r="T7" s="214">
        <v>20</v>
      </c>
      <c r="U7" s="214">
        <v>14</v>
      </c>
      <c r="V7" s="214"/>
      <c r="W7" s="214"/>
      <c r="X7" s="123">
        <f>+IF(H8="s",0,IF(AA7=0,0,IF(COUNTA(M7:W7)=AK9+0.25,SUMIF($C:$C,B7,$AA:$AA)/AK9,SUMIF($C:$C,B7,$AA:$AA)/(COUNTA(M7:W7)))))</f>
        <v>39.314285714285717</v>
      </c>
      <c r="Y7" s="466"/>
      <c r="Z7" s="534"/>
      <c r="AA7" s="134">
        <f t="shared" si="1"/>
        <v>344</v>
      </c>
      <c r="AB7" s="354">
        <f>+AA7+AC7</f>
        <v>1850</v>
      </c>
      <c r="AC7" s="354">
        <v>1506</v>
      </c>
      <c r="AD7" s="355">
        <f>+AB6-AB7</f>
        <v>60</v>
      </c>
      <c r="AE7" s="131">
        <f>+IF(((AA8+(AA9/2))*60)=0,"",(J7*AA7)/((AA8+(AA9/2))*60))</f>
        <v>0.87851662092101246</v>
      </c>
      <c r="AF7" s="347">
        <f>+AA8+AA9/2</f>
        <v>273.25</v>
      </c>
      <c r="AG7" s="347">
        <f t="shared" si="2"/>
        <v>273.14999999999998</v>
      </c>
      <c r="AH7" s="341">
        <f t="shared" si="3"/>
        <v>16395</v>
      </c>
      <c r="AI7" s="341">
        <f>+AA7*J7</f>
        <v>14403.279999999999</v>
      </c>
      <c r="AJ7" s="356">
        <f>+AA7-(AF7*K7/K9)</f>
        <v>-4.8297872340425556</v>
      </c>
      <c r="AK7" s="348"/>
      <c r="AL7" s="349"/>
      <c r="AM7" s="341"/>
      <c r="AN7" s="341"/>
      <c r="AO7" s="341"/>
      <c r="AP7" s="341"/>
      <c r="AQ7" s="339"/>
      <c r="AR7" s="434"/>
      <c r="AT7" s="390">
        <v>404</v>
      </c>
      <c r="AV7" s="390">
        <f>+AT7-AD7</f>
        <v>344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7394-593-741</v>
      </c>
      <c r="H8" s="411"/>
      <c r="I8" s="113">
        <f>+IFERROR(IF(K9=0,0,IF((LOOKUP(2,1/(M8:W8&lt;&gt;""),M8:W8)-K9)&lt;0,0,IF(K9=0,"",LOOKUP(2,1/(M8:W8&lt;&gt;""),M8:W8)-K9))),0)</f>
        <v>0</v>
      </c>
      <c r="J8" s="113">
        <v>1</v>
      </c>
      <c r="K8" s="114" t="s">
        <v>22</v>
      </c>
      <c r="L8" s="102" t="s">
        <v>18</v>
      </c>
      <c r="M8" s="448">
        <v>48</v>
      </c>
      <c r="N8" s="448">
        <v>46</v>
      </c>
      <c r="O8" s="448">
        <v>41</v>
      </c>
      <c r="P8" s="448">
        <v>37</v>
      </c>
      <c r="Q8" s="448">
        <v>30</v>
      </c>
      <c r="R8" s="448">
        <v>27</v>
      </c>
      <c r="S8" s="448">
        <v>22</v>
      </c>
      <c r="T8" s="448">
        <v>18</v>
      </c>
      <c r="U8" s="448">
        <v>5</v>
      </c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-181</v>
      </c>
      <c r="Y8" s="466"/>
      <c r="Z8" s="534"/>
      <c r="AA8" s="462">
        <f t="shared" ref="AA8:AA9" si="4">+SUM(M8:W8)-U8*0.25</f>
        <v>272.75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272.75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7394-593-741</v>
      </c>
      <c r="H9" s="117"/>
      <c r="I9" s="442"/>
      <c r="J9" s="165">
        <f>+IF(K9="","",IF(K7=0,"",(K7*J7)/(K9*60)))</f>
        <v>0.89085106382978718</v>
      </c>
      <c r="K9" s="118">
        <v>47</v>
      </c>
      <c r="L9" s="104" t="s">
        <v>19</v>
      </c>
      <c r="M9" s="216">
        <v>1</v>
      </c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173"/>
      <c r="Y9" s="467">
        <v>14.39</v>
      </c>
      <c r="Z9" s="365">
        <v>14.39</v>
      </c>
      <c r="AA9" s="465">
        <f t="shared" si="4"/>
        <v>1</v>
      </c>
      <c r="AB9" s="367"/>
      <c r="AC9" s="367"/>
      <c r="AD9" s="368">
        <f>+IFERROR(AD7/(K7*$AQ$3),"")</f>
        <v>0.11428571428571428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1</v>
      </c>
      <c r="AM9" s="341">
        <f>+AL9-AA9</f>
        <v>0</v>
      </c>
      <c r="AN9" s="341"/>
      <c r="AO9" s="341"/>
      <c r="AP9" s="341"/>
      <c r="AQ9" s="369"/>
      <c r="AR9" s="434"/>
      <c r="AT9" s="390">
        <v>0.7695238095238095</v>
      </c>
      <c r="AV9" s="390"/>
    </row>
    <row r="10" spans="2:58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539" t="s">
        <v>494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30</v>
      </c>
      <c r="N10" s="448"/>
      <c r="O10" s="448">
        <v>30</v>
      </c>
      <c r="P10" s="448">
        <v>53</v>
      </c>
      <c r="Q10" s="448"/>
      <c r="R10" s="448">
        <v>60</v>
      </c>
      <c r="S10" s="448"/>
      <c r="T10" s="448">
        <v>50</v>
      </c>
      <c r="U10" s="448">
        <v>30</v>
      </c>
      <c r="V10" s="448"/>
      <c r="W10" s="448"/>
      <c r="X10" s="447">
        <f t="shared" ref="X10" si="5">IF(AQ11="","",SUM(M10:W10)-(-(AQ11-SUM(M10:W10))/$AQ$3)*SUM($M$2:$W$2))</f>
        <v>253</v>
      </c>
      <c r="Y10" s="466">
        <v>0</v>
      </c>
      <c r="Z10" s="533">
        <f>+X12</f>
        <v>0</v>
      </c>
      <c r="AA10" s="447">
        <f t="shared" ref="AA10:AA11" si="6">+SUM(L10:W10)</f>
        <v>253</v>
      </c>
      <c r="AB10" s="343">
        <f>+AC10+AA10</f>
        <v>253</v>
      </c>
      <c r="AC10" s="343"/>
      <c r="AD10" s="344"/>
      <c r="AE10" s="345"/>
      <c r="AF10" s="346"/>
      <c r="AG10" s="347">
        <f t="shared" ref="AG10:AG13" si="7">TRUNC(AF10)+(AF10-TRUNC(AF10))*60/100</f>
        <v>0</v>
      </c>
      <c r="AH10" s="341">
        <f t="shared" ref="AH10:AH13" si="8">+AF10*60</f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1</v>
      </c>
      <c r="C11" s="406">
        <f>+B11</f>
        <v>1</v>
      </c>
      <c r="D11" s="407" t="s">
        <v>493</v>
      </c>
      <c r="E11" s="111"/>
      <c r="F11" s="111" t="s">
        <v>35</v>
      </c>
      <c r="G11" s="539" t="str">
        <f>+G10</f>
        <v>2395-582-401</v>
      </c>
      <c r="H11" s="111"/>
      <c r="I11" s="111" t="s">
        <v>33</v>
      </c>
      <c r="J11" s="113">
        <v>46.35</v>
      </c>
      <c r="K11" s="130">
        <v>57</v>
      </c>
      <c r="L11" s="101" t="s">
        <v>17</v>
      </c>
      <c r="M11" s="214"/>
      <c r="N11" s="214"/>
      <c r="O11" s="214"/>
      <c r="P11" s="214"/>
      <c r="Q11" s="214"/>
      <c r="R11" s="214"/>
      <c r="S11" s="214"/>
      <c r="T11" s="214"/>
      <c r="U11" s="214"/>
      <c r="V11" s="214"/>
      <c r="W11" s="214"/>
      <c r="X11" s="123">
        <f>+IF(H12="s",0,IF(AA11=0,0,IF(COUNTA(M11:W11)=AK13+0.25,SUMIF($C:$C,B11,$AA:$AA)/AK13,SUMIF($C:$C,B11,$AA:$AA)/(COUNTA(M11:W11)))))</f>
        <v>0</v>
      </c>
      <c r="Y11" s="466"/>
      <c r="Z11" s="534"/>
      <c r="AA11" s="134">
        <f t="shared" si="6"/>
        <v>0</v>
      </c>
      <c r="AB11" s="354">
        <f>+AA11+AC11</f>
        <v>0</v>
      </c>
      <c r="AC11" s="354"/>
      <c r="AD11" s="355">
        <f>+AB10-AB11</f>
        <v>253</v>
      </c>
      <c r="AE11" s="131">
        <f>+IF(((AA12+(AA13/2))*60)=0,"",(J11*AA11)/((AA12+(AA13/2))*60))</f>
        <v>0</v>
      </c>
      <c r="AF11" s="347">
        <f>+AA12+AA13/2</f>
        <v>151.125</v>
      </c>
      <c r="AG11" s="347">
        <f t="shared" si="7"/>
        <v>151.07499999999999</v>
      </c>
      <c r="AH11" s="341">
        <f t="shared" si="8"/>
        <v>9067.5</v>
      </c>
      <c r="AI11" s="341">
        <f>+AA11*J11</f>
        <v>0</v>
      </c>
      <c r="AJ11" s="356">
        <f>+AA11-(AF11*K11/K13)</f>
        <v>-175.79846938775509</v>
      </c>
      <c r="AK11" s="348"/>
      <c r="AL11" s="349"/>
      <c r="AM11" s="341"/>
      <c r="AN11" s="341"/>
      <c r="AO11" s="341"/>
      <c r="AP11" s="341"/>
      <c r="AQ11" s="339">
        <f>-300+AA10</f>
        <v>-47</v>
      </c>
      <c r="AR11" s="434"/>
      <c r="AT11" s="390"/>
      <c r="AV11" s="390">
        <f>+AT11-AD11</f>
        <v>-253</v>
      </c>
      <c r="AW11" s="535" t="s">
        <v>484</v>
      </c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539" t="str">
        <f>+G10</f>
        <v>2395-582-401</v>
      </c>
      <c r="H12" s="411" t="s">
        <v>412</v>
      </c>
      <c r="I12" s="113">
        <f>+IFERROR(IF(K13=0,0,IF((LOOKUP(2,1/(M12:W12&lt;&gt;""),M12:W12)-K13)&lt;0,0,IF(K13=0,"",LOOKUP(2,1/(M12:W12&lt;&gt;""),M12:W12)-K13))),0)</f>
        <v>0</v>
      </c>
      <c r="J12" s="113"/>
      <c r="K12" s="114" t="s">
        <v>22</v>
      </c>
      <c r="L12" s="102" t="s">
        <v>18</v>
      </c>
      <c r="M12" s="448"/>
      <c r="N12" s="448">
        <v>2</v>
      </c>
      <c r="O12" s="448">
        <v>7</v>
      </c>
      <c r="P12" s="448">
        <v>11</v>
      </c>
      <c r="Q12" s="448">
        <v>18</v>
      </c>
      <c r="R12" s="448">
        <v>21</v>
      </c>
      <c r="S12" s="448">
        <v>26</v>
      </c>
      <c r="T12" s="448">
        <v>30</v>
      </c>
      <c r="U12" s="448">
        <v>43</v>
      </c>
      <c r="V12" s="448"/>
      <c r="W12" s="448"/>
      <c r="X12" s="160">
        <f>+IF(H12="l",IF(COUNTA(M11:W11)=AK13+0.25,AA11-K11*AK13,AA11-(K11*COUNTA(M11:W11))),IF(H12="s",0,IF(COUNTA(M11:W11)=AK13+0.25,SUMIF($C:$C,B11,$AA:$AA)-K11*AK13,SUMIF($C:$C,B11,$AA:$AA)-K11*COUNTA(M11:W11))))</f>
        <v>0</v>
      </c>
      <c r="Y12" s="466"/>
      <c r="Z12" s="534"/>
      <c r="AA12" s="462">
        <f t="shared" ref="AA12:AA13" si="9">+SUM(M12:W12)-U12*0.25</f>
        <v>147.25</v>
      </c>
      <c r="AB12" s="360"/>
      <c r="AC12" s="360"/>
      <c r="AD12" s="362"/>
      <c r="AE12" s="363"/>
      <c r="AF12" s="346"/>
      <c r="AG12" s="347">
        <f t="shared" si="7"/>
        <v>0</v>
      </c>
      <c r="AH12" s="341">
        <f t="shared" si="8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147.25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539" t="str">
        <f>+G10</f>
        <v>2395-582-401</v>
      </c>
      <c r="H13" s="117"/>
      <c r="I13" s="442"/>
      <c r="J13" s="165">
        <f>+IF(K13="","",IF(K11=0,"",(K11*J11)/(K13*60)))</f>
        <v>0.89862244897959198</v>
      </c>
      <c r="K13" s="118">
        <v>49</v>
      </c>
      <c r="L13" s="104" t="s">
        <v>19</v>
      </c>
      <c r="M13" s="216"/>
      <c r="N13" s="216">
        <v>1</v>
      </c>
      <c r="O13" s="216">
        <v>1</v>
      </c>
      <c r="P13" s="216">
        <v>1</v>
      </c>
      <c r="Q13" s="216">
        <v>1</v>
      </c>
      <c r="R13" s="216">
        <v>1</v>
      </c>
      <c r="S13" s="216">
        <v>1</v>
      </c>
      <c r="T13" s="216">
        <v>1</v>
      </c>
      <c r="U13" s="216">
        <v>1</v>
      </c>
      <c r="V13" s="216"/>
      <c r="W13" s="216"/>
      <c r="X13" s="173"/>
      <c r="Y13" s="467"/>
      <c r="Z13" s="371">
        <f>+IF(COUNTA(M11:W11)=$AJ$4+0.25,$AJ$4-(AA11/K11),COUNTA(M11:W11)-(AA11/K11))+Y13</f>
        <v>0</v>
      </c>
      <c r="AA13" s="465">
        <f t="shared" si="9"/>
        <v>7.75</v>
      </c>
      <c r="AB13" s="367"/>
      <c r="AC13" s="367"/>
      <c r="AD13" s="368">
        <f>+IFERROR(AD11/(K11*$AQ$3),"")</f>
        <v>0.5072681704260652</v>
      </c>
      <c r="AE13" s="369"/>
      <c r="AF13" s="347"/>
      <c r="AG13" s="347">
        <f t="shared" si="7"/>
        <v>0</v>
      </c>
      <c r="AH13" s="341">
        <f t="shared" si="8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7.75</v>
      </c>
      <c r="AM13" s="341">
        <f>+AL13-AA13</f>
        <v>0</v>
      </c>
      <c r="AN13" s="341"/>
      <c r="AO13" s="341"/>
      <c r="AP13" s="341"/>
      <c r="AQ13" s="369"/>
      <c r="AR13" s="434"/>
      <c r="AT13" s="390"/>
      <c r="AV13" s="390"/>
    </row>
    <row r="14" spans="2:58" s="98" customFormat="1" ht="62.25" customHeight="1" thickTop="1" x14ac:dyDescent="0.9">
      <c r="B14" s="342" t="str">
        <f>+B15</f>
        <v>2*</v>
      </c>
      <c r="C14" s="405"/>
      <c r="D14" s="106"/>
      <c r="E14" s="106"/>
      <c r="F14" s="106"/>
      <c r="G14" s="540" t="s">
        <v>429</v>
      </c>
      <c r="H14" s="106"/>
      <c r="I14" s="106"/>
      <c r="J14" s="107" t="s">
        <v>20</v>
      </c>
      <c r="K14" s="108" t="s">
        <v>23</v>
      </c>
      <c r="L14" s="100" t="s">
        <v>21</v>
      </c>
      <c r="M14" s="448"/>
      <c r="N14" s="448"/>
      <c r="O14" s="448"/>
      <c r="P14" s="448"/>
      <c r="Q14" s="448"/>
      <c r="R14" s="448"/>
      <c r="S14" s="448"/>
      <c r="T14" s="448"/>
      <c r="U14" s="448"/>
      <c r="V14" s="448"/>
      <c r="W14" s="448"/>
      <c r="X14" s="447" t="str">
        <f t="shared" ref="X14:X66" si="10">IF(AQ15="","",SUM(M14:W14)-(-(AQ15-SUM(M14:W14))/$AQ$3)*SUM($M$2:$W$2))</f>
        <v/>
      </c>
      <c r="Y14" s="466">
        <v>0</v>
      </c>
      <c r="Z14" s="533">
        <f>+X16</f>
        <v>0</v>
      </c>
      <c r="AA14" s="447">
        <f t="shared" ref="AA14:AA67" si="11">+SUM(L14:W14)</f>
        <v>0</v>
      </c>
      <c r="AB14" s="343">
        <f>+AC14+AA14</f>
        <v>6629</v>
      </c>
      <c r="AC14" s="343">
        <v>6629</v>
      </c>
      <c r="AD14" s="344"/>
      <c r="AE14" s="345"/>
      <c r="AF14" s="346"/>
      <c r="AG14" s="347">
        <f t="shared" si="2"/>
        <v>0</v>
      </c>
      <c r="AH14" s="341">
        <f t="shared" si="3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 t="s">
        <v>492</v>
      </c>
      <c r="C15" s="406" t="str">
        <f>+B15</f>
        <v>2*</v>
      </c>
      <c r="D15" s="407" t="s">
        <v>427</v>
      </c>
      <c r="E15" s="111"/>
      <c r="F15" s="111" t="s">
        <v>428</v>
      </c>
      <c r="G15" s="541" t="str">
        <f t="shared" ref="G15:G17" si="12">+G14</f>
        <v>NEGRONI-202942</v>
      </c>
      <c r="H15" s="111"/>
      <c r="I15" s="111" t="s">
        <v>430</v>
      </c>
      <c r="J15" s="113">
        <v>48.06</v>
      </c>
      <c r="K15" s="130">
        <v>60</v>
      </c>
      <c r="L15" s="101" t="s">
        <v>17</v>
      </c>
      <c r="M15" s="214"/>
      <c r="N15" s="214"/>
      <c r="O15" s="214"/>
      <c r="P15" s="214"/>
      <c r="Q15" s="214"/>
      <c r="R15" s="214"/>
      <c r="S15" s="214">
        <v>8</v>
      </c>
      <c r="T15" s="214"/>
      <c r="U15" s="214"/>
      <c r="V15" s="214"/>
      <c r="W15" s="214"/>
      <c r="X15" s="123">
        <f>+IF(H16="s",0,IF(AA15=0,0,IF(COUNTA(M15:W15)=AK17+0.25,SUMIF($C:$C,B15,$AA:$AA)/AK17,SUMIF($C:$C,B15,$AA:$AA)/(COUNTA(M15:W15)))))</f>
        <v>0</v>
      </c>
      <c r="Y15" s="466"/>
      <c r="Z15" s="534"/>
      <c r="AA15" s="134">
        <f t="shared" si="11"/>
        <v>8</v>
      </c>
      <c r="AB15" s="354">
        <f>+AA15+AC15</f>
        <v>6629</v>
      </c>
      <c r="AC15" s="354">
        <v>6621</v>
      </c>
      <c r="AD15" s="355">
        <f>+AB14-AB15</f>
        <v>0</v>
      </c>
      <c r="AE15" s="131">
        <f>+IF(((AA16+(AA17/2))*60)=0,"",(J15*AA15)/((AA16+(AA17/2))*60))</f>
        <v>6.4080000000000004</v>
      </c>
      <c r="AF15" s="347">
        <f>+AA16+AA17/2</f>
        <v>1</v>
      </c>
      <c r="AG15" s="347">
        <f t="shared" si="2"/>
        <v>1</v>
      </c>
      <c r="AH15" s="341">
        <f t="shared" si="3"/>
        <v>60</v>
      </c>
      <c r="AI15" s="341">
        <f>+AA15*J15</f>
        <v>384.48</v>
      </c>
      <c r="AJ15" s="356">
        <f>+AA15-(AF15*K15/K17)</f>
        <v>6.9090909090909092</v>
      </c>
      <c r="AK15" s="348"/>
      <c r="AL15" s="349"/>
      <c r="AM15" s="341"/>
      <c r="AN15" s="341"/>
      <c r="AO15" s="341"/>
      <c r="AP15" s="341"/>
      <c r="AQ15" s="339" t="str">
        <f t="shared" ref="AQ15:AQ75" si="13">IF(AR15=0,"",AT15-(($AQ$3*K15)+($AQ$3*K15)*AR15)+AA14)</f>
        <v/>
      </c>
      <c r="AR15" s="434"/>
      <c r="AT15" s="390">
        <v>8</v>
      </c>
      <c r="AV15" s="390">
        <f>+AT15-AD15</f>
        <v>8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 t="str">
        <f>+B15</f>
        <v>2*</v>
      </c>
      <c r="C16" s="408"/>
      <c r="D16" s="184"/>
      <c r="E16" s="111" t="str">
        <f>+B15</f>
        <v>2*</v>
      </c>
      <c r="F16" s="409"/>
      <c r="G16" s="541" t="str">
        <f t="shared" si="12"/>
        <v>NEGRONI-202942</v>
      </c>
      <c r="H16" s="411" t="s">
        <v>414</v>
      </c>
      <c r="I16" s="113">
        <f>+IFERROR(IF(K17=0,0,IF((LOOKUP(2,1/(M16:W16&lt;&gt;""),M16:W16)-K17)&lt;0,0,IF(K17=0,"",LOOKUP(2,1/(M16:W16&lt;&gt;""),M16:W16)-K17))),0)</f>
        <v>0</v>
      </c>
      <c r="J16" s="113">
        <v>0</v>
      </c>
      <c r="K16" s="114" t="s">
        <v>22</v>
      </c>
      <c r="L16" s="102" t="s">
        <v>18</v>
      </c>
      <c r="M16" s="448"/>
      <c r="N16" s="448"/>
      <c r="O16" s="448"/>
      <c r="P16" s="448"/>
      <c r="Q16" s="448"/>
      <c r="R16" s="448"/>
      <c r="S16" s="448">
        <v>1</v>
      </c>
      <c r="T16" s="448"/>
      <c r="U16" s="448"/>
      <c r="V16" s="448"/>
      <c r="W16" s="448"/>
      <c r="X16" s="160">
        <f>+IF(H16="l",IF(COUNTA(M15:W15)=AK17+0.25,AA15-K15*AK17,AA15-(K15*COUNTA(M15:W15))),IF(H16="s",0,IF(COUNTA(M15:W15)=AK17+0.25,SUMIF($C:$C,B15,$AA:$AA)-K15*AK17,SUMIF($C:$C,B15,$AA:$AA)-K15*COUNTA(M15:W15))))</f>
        <v>0</v>
      </c>
      <c r="Y16" s="466"/>
      <c r="Z16" s="534"/>
      <c r="AA16" s="462">
        <f t="shared" ref="AA16:AA69" si="14">+SUM(M16:W16)-U16*0.25</f>
        <v>1</v>
      </c>
      <c r="AB16" s="360"/>
      <c r="AC16" s="360"/>
      <c r="AD16" s="362"/>
      <c r="AE16" s="363"/>
      <c r="AF16" s="346"/>
      <c r="AG16" s="347">
        <f t="shared" si="2"/>
        <v>0</v>
      </c>
      <c r="AH16" s="341">
        <f t="shared" si="3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1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 t="str">
        <f>+B15</f>
        <v>2*</v>
      </c>
      <c r="C17" s="410"/>
      <c r="D17" s="174" t="s">
        <v>419</v>
      </c>
      <c r="E17" s="175" t="e">
        <f>+E16+100</f>
        <v>#VALUE!</v>
      </c>
      <c r="F17" s="175"/>
      <c r="G17" s="542" t="str">
        <f t="shared" si="12"/>
        <v>NEGRONI-202942</v>
      </c>
      <c r="H17" s="117"/>
      <c r="I17" s="442"/>
      <c r="J17" s="165">
        <f>+IF(K17="","",IF(K15=0,"",(K15*J15)/(K17*60)))</f>
        <v>0.87381818181818194</v>
      </c>
      <c r="K17" s="118">
        <v>55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36.14</v>
      </c>
      <c r="Z17" s="365">
        <v>36.14</v>
      </c>
      <c r="AA17" s="465">
        <f t="shared" si="14"/>
        <v>0</v>
      </c>
      <c r="AB17" s="367"/>
      <c r="AC17" s="367"/>
      <c r="AD17" s="368">
        <f>+IFERROR(AD15/(K15*$AQ$3),"")</f>
        <v>0</v>
      </c>
      <c r="AE17" s="369"/>
      <c r="AF17" s="347"/>
      <c r="AG17" s="347">
        <f t="shared" si="2"/>
        <v>0</v>
      </c>
      <c r="AH17" s="341">
        <f t="shared" si="3"/>
        <v>0</v>
      </c>
      <c r="AI17" s="341"/>
      <c r="AJ17" s="356"/>
      <c r="AK17" s="370">
        <f>+$AJ$4</f>
        <v>8.75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1.5238095238095238E-2</v>
      </c>
      <c r="AV17" s="390"/>
    </row>
    <row r="18" spans="2:58" s="98" customFormat="1" ht="62.25" customHeight="1" thickTop="1" x14ac:dyDescent="0.9">
      <c r="B18" s="342">
        <f>+B19</f>
        <v>2</v>
      </c>
      <c r="C18" s="405"/>
      <c r="D18" s="106"/>
      <c r="E18" s="106"/>
      <c r="F18" s="106"/>
      <c r="G18" s="540" t="s">
        <v>481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120</v>
      </c>
      <c r="N18" s="448">
        <v>60</v>
      </c>
      <c r="O18" s="448">
        <v>60</v>
      </c>
      <c r="P18" s="448">
        <v>120</v>
      </c>
      <c r="Q18" s="448">
        <v>60</v>
      </c>
      <c r="R18" s="448">
        <v>120</v>
      </c>
      <c r="S18" s="448"/>
      <c r="T18" s="448"/>
      <c r="U18" s="448"/>
      <c r="V18" s="448"/>
      <c r="W18" s="448"/>
      <c r="X18" s="447">
        <f t="shared" si="10"/>
        <v>540</v>
      </c>
      <c r="Y18" s="466">
        <v>0.25</v>
      </c>
      <c r="Z18" s="533">
        <f>+X20</f>
        <v>0.25</v>
      </c>
      <c r="AA18" s="447">
        <f t="shared" si="11"/>
        <v>540</v>
      </c>
      <c r="AB18" s="343">
        <f>+AC18+AA18</f>
        <v>3336</v>
      </c>
      <c r="AC18" s="343">
        <v>2796</v>
      </c>
      <c r="AD18" s="344"/>
      <c r="AE18" s="345"/>
      <c r="AF18" s="346"/>
      <c r="AG18" s="347">
        <f t="shared" si="2"/>
        <v>0</v>
      </c>
      <c r="AH18" s="341">
        <f t="shared" si="3"/>
        <v>0</v>
      </c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2</v>
      </c>
      <c r="C19" s="406">
        <f>+B19</f>
        <v>2</v>
      </c>
      <c r="D19" s="407" t="s">
        <v>480</v>
      </c>
      <c r="E19" s="111"/>
      <c r="F19" s="111" t="s">
        <v>35</v>
      </c>
      <c r="G19" s="541" t="str">
        <f t="shared" ref="G19:G21" si="15">+G18</f>
        <v>2396-593-600</v>
      </c>
      <c r="H19" s="111"/>
      <c r="I19" s="111" t="s">
        <v>33</v>
      </c>
      <c r="J19" s="113">
        <v>38.82</v>
      </c>
      <c r="K19" s="494">
        <v>61</v>
      </c>
      <c r="L19" s="101" t="s">
        <v>17</v>
      </c>
      <c r="M19" s="214">
        <v>61</v>
      </c>
      <c r="N19" s="214">
        <v>54</v>
      </c>
      <c r="O19" s="214">
        <v>68</v>
      </c>
      <c r="P19" s="214">
        <v>61</v>
      </c>
      <c r="Q19" s="214">
        <v>61</v>
      </c>
      <c r="R19" s="214">
        <v>61</v>
      </c>
      <c r="S19" s="214">
        <v>61</v>
      </c>
      <c r="T19" s="214">
        <v>61</v>
      </c>
      <c r="U19" s="214">
        <v>46</v>
      </c>
      <c r="V19" s="214"/>
      <c r="W19" s="214"/>
      <c r="X19" s="123">
        <f>+IF(H20="s",0,IF(AA19=0,0,IF(COUNTA(M19:W19)=AK21+0.25,SUMIF($C:$C,B19,$AA:$AA)/AK21,SUMIF($C:$C,B19,$AA:$AA)/(COUNTA(M19:W19)))))</f>
        <v>61.028571428571432</v>
      </c>
      <c r="Y19" s="466"/>
      <c r="Z19" s="534"/>
      <c r="AA19" s="134">
        <f t="shared" si="11"/>
        <v>534</v>
      </c>
      <c r="AB19" s="354">
        <f>+AA19+AC19</f>
        <v>2552</v>
      </c>
      <c r="AC19" s="354">
        <v>2018</v>
      </c>
      <c r="AD19" s="355">
        <f>+AB18-AB19</f>
        <v>784</v>
      </c>
      <c r="AE19" s="131">
        <f>+IF(((AA20+(AA21/2))*60)=0,"",(J19*AA19)/((AA20+(AA21/2))*60))</f>
        <v>0.90208355091383818</v>
      </c>
      <c r="AF19" s="347">
        <f>+AA20+AA21/2</f>
        <v>383</v>
      </c>
      <c r="AG19" s="347">
        <f t="shared" si="2"/>
        <v>383</v>
      </c>
      <c r="AH19" s="341">
        <f t="shared" si="3"/>
        <v>22980</v>
      </c>
      <c r="AI19" s="341">
        <f>+AA19*J19</f>
        <v>20729.88</v>
      </c>
      <c r="AJ19" s="356">
        <f>+AA19-(AF19*K19/K21)</f>
        <v>-9.3255813953488769</v>
      </c>
      <c r="AK19" s="348"/>
      <c r="AL19" s="349"/>
      <c r="AM19" s="341"/>
      <c r="AN19" s="341"/>
      <c r="AO19" s="341"/>
      <c r="AP19" s="341"/>
      <c r="AQ19" s="339">
        <f t="shared" si="13"/>
        <v>0.17124999999987267</v>
      </c>
      <c r="AR19" s="434">
        <v>1.4690000000000001</v>
      </c>
      <c r="AT19" s="390">
        <v>778</v>
      </c>
      <c r="AV19" s="390">
        <f>+AT19-AD19</f>
        <v>-6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2</v>
      </c>
      <c r="C20" s="408"/>
      <c r="D20" s="184"/>
      <c r="E20" s="111"/>
      <c r="F20" s="409"/>
      <c r="G20" s="541" t="str">
        <f t="shared" si="15"/>
        <v>2396-593-600</v>
      </c>
      <c r="H20" s="411" t="s">
        <v>412</v>
      </c>
      <c r="I20" s="113">
        <f>+IFERROR(IF(K21=0,0,IF((LOOKUP(2,1/(M20:W20&lt;&gt;""),M20:W20)-K21)&lt;0,0,IF(K21=0,"",LOOKUP(2,1/(M20:W20&lt;&gt;""),M20:W20)-K21))),0)</f>
        <v>1</v>
      </c>
      <c r="J20" s="113">
        <v>1</v>
      </c>
      <c r="K20" s="114" t="s">
        <v>22</v>
      </c>
      <c r="L20" s="102" t="s">
        <v>18</v>
      </c>
      <c r="M20" s="448">
        <v>43</v>
      </c>
      <c r="N20" s="448">
        <v>44</v>
      </c>
      <c r="O20" s="448">
        <v>44</v>
      </c>
      <c r="P20" s="448">
        <v>44</v>
      </c>
      <c r="Q20" s="448">
        <v>44</v>
      </c>
      <c r="R20" s="448">
        <v>44</v>
      </c>
      <c r="S20" s="448">
        <v>43</v>
      </c>
      <c r="T20" s="448">
        <v>44</v>
      </c>
      <c r="U20" s="448">
        <v>44</v>
      </c>
      <c r="V20" s="448"/>
      <c r="W20" s="448"/>
      <c r="X20" s="160">
        <f>+IF(H20="l",IF(COUNTA(M19:W19)=AK21+0.25,AA19-K19*AK21,AA19-(K19*COUNTA(M19:W19))),IF(H20="s",0,IF(COUNTA(M19:W19)=AK21+0.25,SUMIF($C:$C,B19,$AA:$AA)-K19*AK21,SUMIF($C:$C,B19,$AA:$AA)-K19*COUNTA(M19:W19))))</f>
        <v>0.25</v>
      </c>
      <c r="Y20" s="466"/>
      <c r="Z20" s="534"/>
      <c r="AA20" s="462">
        <f t="shared" si="14"/>
        <v>383</v>
      </c>
      <c r="AB20" s="360"/>
      <c r="AC20" s="360"/>
      <c r="AD20" s="362"/>
      <c r="AE20" s="363"/>
      <c r="AF20" s="346"/>
      <c r="AG20" s="347">
        <f t="shared" si="2"/>
        <v>0</v>
      </c>
      <c r="AH20" s="341">
        <f t="shared" si="3"/>
        <v>0</v>
      </c>
      <c r="AI20" s="341"/>
      <c r="AJ20" s="341"/>
      <c r="AK20" s="348"/>
      <c r="AL20" s="349">
        <f>+IF(AK21=7.75,SUM(M20:S20)+T20*0.75,IF(AK21=8,SUM(M20:T20),IF(AK21=7.25,SUM(M20:S20)+T20*0.25,IF(AK21=8.25,SUM(M20:T20)+U20*0.25,IF(AK21=8.75,SUM(M20:T20)+U20*0.75,0)))))</f>
        <v>383</v>
      </c>
      <c r="AM20" s="341">
        <f>+AL20-AA20</f>
        <v>0</v>
      </c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2</v>
      </c>
      <c r="C21" s="410"/>
      <c r="D21" s="174" t="s">
        <v>419</v>
      </c>
      <c r="E21" s="175"/>
      <c r="F21" s="175"/>
      <c r="G21" s="542" t="str">
        <f t="shared" si="15"/>
        <v>2396-593-600</v>
      </c>
      <c r="H21" s="117"/>
      <c r="I21" s="442"/>
      <c r="J21" s="165">
        <f>+IF(K21="","",IF(K19=0,"",(K19*J19)/(K21*60)))</f>
        <v>0.9178372093023256</v>
      </c>
      <c r="K21" s="118">
        <v>43</v>
      </c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>
        <v>9.8341269841269856</v>
      </c>
      <c r="Z21" s="365">
        <v>9.8341269841269856</v>
      </c>
      <c r="AA21" s="465">
        <f t="shared" si="14"/>
        <v>0</v>
      </c>
      <c r="AB21" s="367"/>
      <c r="AC21" s="367"/>
      <c r="AD21" s="368">
        <f>+IFERROR(AD19/(K19*$AQ$3),"")</f>
        <v>1.4688524590163934</v>
      </c>
      <c r="AE21" s="369"/>
      <c r="AF21" s="347"/>
      <c r="AG21" s="347">
        <f t="shared" si="2"/>
        <v>0</v>
      </c>
      <c r="AH21" s="341">
        <f t="shared" si="3"/>
        <v>0</v>
      </c>
      <c r="AI21" s="341"/>
      <c r="AJ21" s="356"/>
      <c r="AK21" s="370">
        <f>+$AJ$4</f>
        <v>8.75</v>
      </c>
      <c r="AL21" s="349">
        <f>+IF(AK21=7.75,SUM(M21:S21)+T21*0.75,IF(AK21=8,SUM(M21:T21),IF(AK21=7.25,SUM(M21:S21)+T21*0.25,IF(AK21=8.25,SUM(M21:T21)+U21*0.25,IF(AK21=8.75,SUM(M21:T21)+U21*0.75,0)))))</f>
        <v>0</v>
      </c>
      <c r="AM21" s="341">
        <f>+AL21-AA21</f>
        <v>0</v>
      </c>
      <c r="AN21" s="341"/>
      <c r="AO21" s="341"/>
      <c r="AP21" s="341"/>
      <c r="AQ21" s="369"/>
      <c r="AR21" s="434"/>
      <c r="AT21" s="390">
        <v>1.4576112412177986</v>
      </c>
      <c r="AV21" s="390"/>
    </row>
    <row r="22" spans="2:58" s="98" customFormat="1" ht="62.25" customHeight="1" thickTop="1" x14ac:dyDescent="0.9">
      <c r="B22" s="342">
        <f>+B23</f>
        <v>3</v>
      </c>
      <c r="C22" s="405"/>
      <c r="D22" s="106"/>
      <c r="E22" s="106"/>
      <c r="F22" s="106"/>
      <c r="G22" s="540" t="s">
        <v>489</v>
      </c>
      <c r="H22" s="106"/>
      <c r="I22" s="106"/>
      <c r="J22" s="107" t="s">
        <v>20</v>
      </c>
      <c r="K22" s="108" t="s">
        <v>23</v>
      </c>
      <c r="L22" s="100" t="s">
        <v>21</v>
      </c>
      <c r="M22" s="448">
        <v>140</v>
      </c>
      <c r="N22" s="448">
        <v>140</v>
      </c>
      <c r="O22" s="448"/>
      <c r="P22" s="448"/>
      <c r="Q22" s="448"/>
      <c r="R22" s="448"/>
      <c r="S22" s="448"/>
      <c r="T22" s="448"/>
      <c r="U22" s="448"/>
      <c r="V22" s="448"/>
      <c r="W22" s="448"/>
      <c r="X22" s="447">
        <f t="shared" si="10"/>
        <v>280</v>
      </c>
      <c r="Y22" s="466">
        <v>0</v>
      </c>
      <c r="Z22" s="533">
        <f>+X24</f>
        <v>0</v>
      </c>
      <c r="AA22" s="447">
        <f t="shared" si="11"/>
        <v>280</v>
      </c>
      <c r="AB22" s="343">
        <f>+AC22+AA22</f>
        <v>1533</v>
      </c>
      <c r="AC22" s="343">
        <v>1253</v>
      </c>
      <c r="AD22" s="344"/>
      <c r="AE22" s="345"/>
      <c r="AF22" s="346"/>
      <c r="AG22" s="347"/>
      <c r="AH22" s="341"/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1.35">
      <c r="B23" s="351">
        <v>3</v>
      </c>
      <c r="C23" s="406">
        <v>3</v>
      </c>
      <c r="D23" s="407" t="s">
        <v>490</v>
      </c>
      <c r="E23" s="111"/>
      <c r="F23" s="111" t="s">
        <v>475</v>
      </c>
      <c r="G23" s="541" t="str">
        <f>+G22</f>
        <v xml:space="preserve">PAULSON  </v>
      </c>
      <c r="H23" s="111"/>
      <c r="I23" s="111" t="s">
        <v>41</v>
      </c>
      <c r="J23" s="113"/>
      <c r="K23" s="130">
        <v>110</v>
      </c>
      <c r="L23" s="101" t="s">
        <v>17</v>
      </c>
      <c r="M23" s="214">
        <v>0</v>
      </c>
      <c r="N23" s="214">
        <v>0</v>
      </c>
      <c r="O23" s="214">
        <v>0</v>
      </c>
      <c r="P23" s="214">
        <v>0</v>
      </c>
      <c r="Q23" s="214">
        <v>0</v>
      </c>
      <c r="R23" s="214">
        <v>16</v>
      </c>
      <c r="S23" s="214">
        <v>20</v>
      </c>
      <c r="T23" s="214">
        <v>12</v>
      </c>
      <c r="U23" s="214">
        <v>18</v>
      </c>
      <c r="V23" s="214"/>
      <c r="W23" s="214"/>
      <c r="X23" s="123">
        <f>+IF(H24="s",0,IF(AA23=0,0,IF(COUNTA(M23:W23)=AK25+0.25,SUMIF($C:$C,B23,$AA:$AA)/AK25,SUMIF($C:$C,B23,$AA:$AA)/(COUNTA(M23:W23)))))</f>
        <v>0</v>
      </c>
      <c r="Y23" s="466"/>
      <c r="Z23" s="534"/>
      <c r="AA23" s="134">
        <f t="shared" si="11"/>
        <v>66</v>
      </c>
      <c r="AB23" s="354">
        <f>+AA23+AC23</f>
        <v>66</v>
      </c>
      <c r="AC23" s="354">
        <v>0</v>
      </c>
      <c r="AD23" s="355">
        <f>+AB22-AB23</f>
        <v>1467</v>
      </c>
      <c r="AE23" s="131" t="str">
        <f>+IF(((AA24+(AA25/2))*60)=0,"",(J23*AA23)/((AA24+(AA25/2))*60))</f>
        <v/>
      </c>
      <c r="AF23" s="347"/>
      <c r="AG23" s="347"/>
      <c r="AH23" s="341"/>
      <c r="AI23" s="341"/>
      <c r="AJ23" s="356"/>
      <c r="AK23" s="348"/>
      <c r="AL23" s="349"/>
      <c r="AM23" s="341"/>
      <c r="AN23" s="341"/>
      <c r="AO23" s="341"/>
      <c r="AP23" s="341"/>
      <c r="AQ23" s="339">
        <f>-280+AA22</f>
        <v>0</v>
      </c>
      <c r="AR23" s="434">
        <v>1.5</v>
      </c>
      <c r="AT23" s="390">
        <v>1253</v>
      </c>
      <c r="AV23" s="390">
        <f t="shared" ref="AV23" si="16">+AT23-AD23</f>
        <v>-214</v>
      </c>
      <c r="AW23" s="535"/>
      <c r="AX23" s="535"/>
      <c r="AY23" s="535"/>
      <c r="AZ23" s="535"/>
      <c r="BA23" s="535"/>
      <c r="BB23" s="535"/>
      <c r="BC23" s="535"/>
      <c r="BD23" s="535"/>
      <c r="BE23" s="535"/>
      <c r="BF23" s="535"/>
    </row>
    <row r="24" spans="2:58" s="98" customFormat="1" ht="62.25" customHeight="1" x14ac:dyDescent="0.9">
      <c r="B24" s="357">
        <f>+B23</f>
        <v>3</v>
      </c>
      <c r="C24" s="408"/>
      <c r="D24" s="184"/>
      <c r="E24" s="111">
        <f>+B23</f>
        <v>3</v>
      </c>
      <c r="F24" s="409"/>
      <c r="G24" s="541" t="str">
        <f>+G22</f>
        <v xml:space="preserve">PAULSON  </v>
      </c>
      <c r="H24" s="411" t="s">
        <v>414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48"/>
      <c r="N24" s="448"/>
      <c r="O24" s="448"/>
      <c r="P24" s="448"/>
      <c r="Q24" s="448"/>
      <c r="R24" s="448"/>
      <c r="S24" s="448"/>
      <c r="T24" s="448"/>
      <c r="U24" s="448"/>
      <c r="V24" s="448"/>
      <c r="W24" s="448"/>
      <c r="X24" s="160">
        <f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si="14"/>
        <v>0</v>
      </c>
      <c r="AB24" s="360"/>
      <c r="AC24" s="360"/>
      <c r="AD24" s="362"/>
      <c r="AE24" s="363"/>
      <c r="AF24" s="346"/>
      <c r="AG24" s="347"/>
      <c r="AH24" s="341"/>
      <c r="AI24" s="341"/>
      <c r="AJ24" s="341"/>
      <c r="AK24" s="348"/>
      <c r="AL24" s="349"/>
      <c r="AM24" s="341"/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3</v>
      </c>
      <c r="C25" s="410"/>
      <c r="D25" s="174"/>
      <c r="E25" s="175">
        <f>+E24+100</f>
        <v>103</v>
      </c>
      <c r="F25" s="175"/>
      <c r="G25" s="542" t="str">
        <f>+G22</f>
        <v xml:space="preserve">PAULSON  </v>
      </c>
      <c r="H25" s="117"/>
      <c r="I25" s="442"/>
      <c r="J25" s="165" t="str">
        <f>+IF(K25="","",IF(K23=0,"",(K23*J23)/(K25*60)))</f>
        <v/>
      </c>
      <c r="K25" s="118"/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26.25</v>
      </c>
      <c r="Z25" s="371">
        <f>+IF(COUNTA(M23:W23)=$AJ$4+0.25,$AJ$4-(AA23/K23),COUNTA(M23:W23)-(AA23/K23))+Y25</f>
        <v>34.4</v>
      </c>
      <c r="AA25" s="465">
        <f t="shared" si="14"/>
        <v>0</v>
      </c>
      <c r="AB25" s="367"/>
      <c r="AC25" s="367"/>
      <c r="AD25" s="368">
        <f>+IFERROR(AD23/(K23*$AQ$3),"")</f>
        <v>1.5241558441558443</v>
      </c>
      <c r="AE25" s="369"/>
      <c r="AF25" s="347"/>
      <c r="AG25" s="347"/>
      <c r="AH25" s="341"/>
      <c r="AI25" s="341"/>
      <c r="AJ25" s="356"/>
      <c r="AK25" s="370">
        <f>+$AJ$4</f>
        <v>8.75</v>
      </c>
      <c r="AL25" s="349"/>
      <c r="AM25" s="341"/>
      <c r="AN25" s="341"/>
      <c r="AO25" s="341"/>
      <c r="AP25" s="341"/>
      <c r="AQ25" s="369"/>
      <c r="AR25" s="434"/>
      <c r="AT25" s="390">
        <v>1.3018181818181818</v>
      </c>
      <c r="AV25" s="390"/>
    </row>
    <row r="26" spans="2:58" s="98" customFormat="1" ht="62.25" customHeight="1" thickTop="1" x14ac:dyDescent="0.9">
      <c r="B26" s="342" t="str">
        <f>+B27</f>
        <v>4*</v>
      </c>
      <c r="C26" s="405"/>
      <c r="D26" s="106"/>
      <c r="E26" s="106"/>
      <c r="F26" s="106"/>
      <c r="G26" s="539" t="s">
        <v>424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7" t="str">
        <f t="shared" si="10"/>
        <v/>
      </c>
      <c r="Y26" s="466">
        <v>0</v>
      </c>
      <c r="Z26" s="533">
        <f>+X28</f>
        <v>0</v>
      </c>
      <c r="AA26" s="447">
        <f t="shared" si="11"/>
        <v>0</v>
      </c>
      <c r="AB26" s="343">
        <f>+AC26+AA26</f>
        <v>8799</v>
      </c>
      <c r="AC26" s="343">
        <v>8799</v>
      </c>
      <c r="AD26" s="344"/>
      <c r="AE26" s="345"/>
      <c r="AF26" s="346"/>
      <c r="AG26" s="347">
        <f t="shared" si="2"/>
        <v>0</v>
      </c>
      <c r="AH26" s="341">
        <f t="shared" si="3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 t="s">
        <v>495</v>
      </c>
      <c r="C27" s="406" t="str">
        <f>+B27</f>
        <v>4*</v>
      </c>
      <c r="D27" s="407" t="s">
        <v>423</v>
      </c>
      <c r="E27" s="111"/>
      <c r="F27" s="111" t="s">
        <v>35</v>
      </c>
      <c r="G27" s="539" t="str">
        <f t="shared" ref="G27:G29" si="17">+G26</f>
        <v>2215-518-800</v>
      </c>
      <c r="H27" s="111"/>
      <c r="I27" s="111" t="s">
        <v>33</v>
      </c>
      <c r="J27" s="113">
        <v>33.42</v>
      </c>
      <c r="K27" s="130">
        <v>61</v>
      </c>
      <c r="L27" s="101" t="s">
        <v>17</v>
      </c>
      <c r="M27" s="214"/>
      <c r="N27" s="214"/>
      <c r="O27" s="214"/>
      <c r="P27" s="214"/>
      <c r="Q27" s="214"/>
      <c r="R27" s="214">
        <v>16</v>
      </c>
      <c r="S27" s="214"/>
      <c r="T27" s="214"/>
      <c r="U27" s="214"/>
      <c r="V27" s="214"/>
      <c r="W27" s="214"/>
      <c r="X27" s="123">
        <f>+IF(H28="s",0,IF(AA27=0,0,IF(COUNTA(M27:W27)=AK29+0.25,SUMIF($C:$C,B27,$AA:$AA)/AK29,SUMIF($C:$C,B27,$AA:$AA)/(COUNTA(M27:W27)))))</f>
        <v>0</v>
      </c>
      <c r="Y27" s="466"/>
      <c r="Z27" s="534"/>
      <c r="AA27" s="134">
        <f t="shared" si="11"/>
        <v>16</v>
      </c>
      <c r="AB27" s="354">
        <f>+AA27+AC27</f>
        <v>8799</v>
      </c>
      <c r="AC27" s="354">
        <v>8783</v>
      </c>
      <c r="AD27" s="355">
        <f>+AB26-AB27</f>
        <v>0</v>
      </c>
      <c r="AE27" s="131">
        <f>+IF(((AA28+(AA29/2))*60)=0,"",(J27*AA27)/((AA28+(AA29/2))*60))</f>
        <v>8.9120000000000008</v>
      </c>
      <c r="AF27" s="347">
        <f>+AA28+AA29/2</f>
        <v>1</v>
      </c>
      <c r="AG27" s="347">
        <f t="shared" si="2"/>
        <v>1</v>
      </c>
      <c r="AH27" s="341">
        <f t="shared" si="3"/>
        <v>60</v>
      </c>
      <c r="AI27" s="341">
        <f>+AA27*J27</f>
        <v>534.72</v>
      </c>
      <c r="AJ27" s="356">
        <f>+AA27-(AF27*K27/K29)</f>
        <v>14.394736842105264</v>
      </c>
      <c r="AK27" s="348"/>
      <c r="AL27" s="349"/>
      <c r="AM27" s="341"/>
      <c r="AN27" s="341"/>
      <c r="AO27" s="341"/>
      <c r="AP27" s="341"/>
      <c r="AQ27" s="339" t="str">
        <f t="shared" si="13"/>
        <v/>
      </c>
      <c r="AR27" s="434"/>
      <c r="AT27" s="390">
        <v>16</v>
      </c>
      <c r="AV27" s="390">
        <f t="shared" ref="AV27" si="18">+AT27-AD27</f>
        <v>16</v>
      </c>
    </row>
    <row r="28" spans="2:58" s="98" customFormat="1" ht="62.25" customHeight="1" x14ac:dyDescent="0.9">
      <c r="B28" s="357" t="str">
        <f>+B27</f>
        <v>4*</v>
      </c>
      <c r="C28" s="408"/>
      <c r="D28" s="184"/>
      <c r="E28" s="111" t="str">
        <f>+B27</f>
        <v>4*</v>
      </c>
      <c r="F28" s="409"/>
      <c r="G28" s="539" t="str">
        <f t="shared" si="17"/>
        <v>2215-518-800</v>
      </c>
      <c r="H28" s="411" t="s">
        <v>414</v>
      </c>
      <c r="I28" s="113">
        <f>+IFERROR(IF(K29=0,0,IF((LOOKUP(2,1/(M28:W28&lt;&gt;""),M28:W28)-K29)&lt;0,0,IF(K29=0,"",LOOKUP(2,1/(M28:W28&lt;&gt;""),M28:W28)-K29))),0)</f>
        <v>0</v>
      </c>
      <c r="J28" s="113">
        <v>0</v>
      </c>
      <c r="K28" s="114" t="s">
        <v>22</v>
      </c>
      <c r="L28" s="102" t="s">
        <v>18</v>
      </c>
      <c r="M28" s="448"/>
      <c r="N28" s="448"/>
      <c r="O28" s="448"/>
      <c r="P28" s="448"/>
      <c r="Q28" s="448"/>
      <c r="R28" s="448">
        <v>1</v>
      </c>
      <c r="S28" s="448"/>
      <c r="T28" s="448"/>
      <c r="U28" s="448"/>
      <c r="V28" s="448"/>
      <c r="W28" s="448"/>
      <c r="X28" s="160">
        <f>+IF(H28="l",IF(COUNTA(M27:W27)=AK29+0.25,AA27-K27*AK29,AA27-(K27*COUNTA(M27:W27))),IF(H28="s",0,IF(COUNTA(M27:W27)=AK29+0.25,SUMIF($C:$C,B27,$AA:$AA)-K27*AK29,SUMIF($C:$C,B27,$AA:$AA)-K27*COUNTA(M27:W27))))</f>
        <v>0</v>
      </c>
      <c r="Y28" s="466"/>
      <c r="Z28" s="534"/>
      <c r="AA28" s="462">
        <f t="shared" si="14"/>
        <v>1</v>
      </c>
      <c r="AB28" s="360"/>
      <c r="AC28" s="360"/>
      <c r="AD28" s="362"/>
      <c r="AE28" s="363"/>
      <c r="AF28" s="346"/>
      <c r="AG28" s="347">
        <f t="shared" si="2"/>
        <v>0</v>
      </c>
      <c r="AH28" s="341">
        <f t="shared" si="3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1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 t="str">
        <f>+B27</f>
        <v>4*</v>
      </c>
      <c r="C29" s="410"/>
      <c r="D29" s="174" t="s">
        <v>420</v>
      </c>
      <c r="E29" s="175" t="e">
        <f>+E28+100</f>
        <v>#VALUE!</v>
      </c>
      <c r="F29" s="175"/>
      <c r="G29" s="539" t="str">
        <f t="shared" si="17"/>
        <v>2215-518-800</v>
      </c>
      <c r="H29" s="117"/>
      <c r="I29" s="442"/>
      <c r="J29" s="165">
        <f>+IF(K29="","",IF(K27=0,"",(K27*J27)/(K29*60)))</f>
        <v>0.8941315789473685</v>
      </c>
      <c r="K29" s="118">
        <v>38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24.63</v>
      </c>
      <c r="Z29" s="365">
        <v>24.63</v>
      </c>
      <c r="AA29" s="465">
        <f t="shared" si="14"/>
        <v>0</v>
      </c>
      <c r="AB29" s="367"/>
      <c r="AC29" s="367"/>
      <c r="AD29" s="368">
        <f>+IFERROR(AD27/(K27*$AQ$3),"")</f>
        <v>0</v>
      </c>
      <c r="AE29" s="369"/>
      <c r="AF29" s="347"/>
      <c r="AG29" s="347">
        <f t="shared" si="2"/>
        <v>0</v>
      </c>
      <c r="AH29" s="341">
        <f t="shared" si="3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2.9976580796252927E-2</v>
      </c>
      <c r="AV29" s="390"/>
    </row>
    <row r="30" spans="2:58" s="98" customFormat="1" ht="62.25" customHeight="1" thickTop="1" x14ac:dyDescent="0.9">
      <c r="B30" s="342">
        <f>+B31</f>
        <v>4</v>
      </c>
      <c r="C30" s="405"/>
      <c r="D30" s="106"/>
      <c r="E30" s="106"/>
      <c r="F30" s="106"/>
      <c r="G30" s="540" t="s">
        <v>442</v>
      </c>
      <c r="H30" s="106"/>
      <c r="I30" s="106"/>
      <c r="J30" s="107" t="s">
        <v>20</v>
      </c>
      <c r="K30" s="108" t="s">
        <v>23</v>
      </c>
      <c r="L30" s="100" t="s">
        <v>21</v>
      </c>
      <c r="M30" s="448"/>
      <c r="N30" s="448">
        <v>60</v>
      </c>
      <c r="O30" s="448">
        <v>60</v>
      </c>
      <c r="P30" s="448">
        <v>120</v>
      </c>
      <c r="Q30" s="448"/>
      <c r="R30" s="448"/>
      <c r="S30" s="448">
        <v>60</v>
      </c>
      <c r="T30" s="448">
        <v>60</v>
      </c>
      <c r="U30" s="448">
        <v>60</v>
      </c>
      <c r="V30" s="448"/>
      <c r="W30" s="448"/>
      <c r="X30" s="447">
        <f t="shared" si="10"/>
        <v>420</v>
      </c>
      <c r="Y30" s="466">
        <v>0.25</v>
      </c>
      <c r="Z30" s="533">
        <f>+X32</f>
        <v>0.25</v>
      </c>
      <c r="AA30" s="447">
        <f t="shared" si="11"/>
        <v>420</v>
      </c>
      <c r="AB30" s="343">
        <f>+AC30+AA30</f>
        <v>4741</v>
      </c>
      <c r="AC30" s="343">
        <v>4321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4</v>
      </c>
      <c r="C31" s="406">
        <f>+B31</f>
        <v>4</v>
      </c>
      <c r="D31" s="407" t="s">
        <v>441</v>
      </c>
      <c r="E31" s="111"/>
      <c r="F31" s="111" t="s">
        <v>35</v>
      </c>
      <c r="G31" s="541" t="str">
        <f t="shared" ref="G31:G33" si="19">+G30</f>
        <v>2259-600-730</v>
      </c>
      <c r="H31" s="111"/>
      <c r="I31" s="111" t="s">
        <v>33</v>
      </c>
      <c r="J31" s="113">
        <v>34.450000000000003</v>
      </c>
      <c r="K31" s="494">
        <v>61</v>
      </c>
      <c r="L31" s="101" t="s">
        <v>17</v>
      </c>
      <c r="M31" s="214">
        <v>43</v>
      </c>
      <c r="N31" s="214">
        <v>61</v>
      </c>
      <c r="O31" s="214">
        <v>61</v>
      </c>
      <c r="P31" s="214">
        <v>61</v>
      </c>
      <c r="Q31" s="214">
        <v>61</v>
      </c>
      <c r="R31" s="214">
        <v>61</v>
      </c>
      <c r="S31" s="214">
        <v>61</v>
      </c>
      <c r="T31" s="214">
        <v>51</v>
      </c>
      <c r="U31" s="214">
        <v>74</v>
      </c>
      <c r="V31" s="214"/>
      <c r="W31" s="214"/>
      <c r="X31" s="123">
        <f>+IF(H32="s",0,IF(AA31=0,0,IF(COUNTA(M31:W31)=AK33+0.25,SUMIF($C:$C,B31,$AA:$AA)/AK33,SUMIF($C:$C,B31,$AA:$AA)/(COUNTA(M31:W31)))))</f>
        <v>61.028571428571432</v>
      </c>
      <c r="Y31" s="466"/>
      <c r="Z31" s="534"/>
      <c r="AA31" s="134">
        <f t="shared" si="11"/>
        <v>534</v>
      </c>
      <c r="AB31" s="354">
        <f>+AA31+AC31</f>
        <v>4026</v>
      </c>
      <c r="AC31" s="354">
        <v>3492</v>
      </c>
      <c r="AD31" s="355">
        <f>+AB30-AB31</f>
        <v>715</v>
      </c>
      <c r="AE31" s="131">
        <f>+IF(((AA32+(AA33/2))*60)=0,"",(J31*AA31)/((AA32+(AA33/2))*60))</f>
        <v>0.90111682586333597</v>
      </c>
      <c r="AF31" s="347">
        <f>+AA32+AA33/2</f>
        <v>340.25</v>
      </c>
      <c r="AG31" s="347">
        <f t="shared" si="2"/>
        <v>340.15</v>
      </c>
      <c r="AH31" s="341">
        <f t="shared" si="3"/>
        <v>20415</v>
      </c>
      <c r="AI31" s="341">
        <f>+AA31*J31</f>
        <v>18396.300000000003</v>
      </c>
      <c r="AJ31" s="356">
        <f>+AA31-(AF31*K31/K33)</f>
        <v>-12.190789473684163</v>
      </c>
      <c r="AK31" s="348"/>
      <c r="AL31" s="349"/>
      <c r="AM31" s="341"/>
      <c r="AN31" s="341"/>
      <c r="AO31" s="341"/>
      <c r="AP31" s="341"/>
      <c r="AQ31" s="339">
        <f>-420+AA30</f>
        <v>0</v>
      </c>
      <c r="AR31" s="434">
        <v>1.5</v>
      </c>
      <c r="AT31" s="390">
        <v>829</v>
      </c>
      <c r="AV31" s="390">
        <f t="shared" ref="AV31" si="20">+AT31-AD31</f>
        <v>114</v>
      </c>
    </row>
    <row r="32" spans="2:58" s="98" customFormat="1" ht="62.25" customHeight="1" x14ac:dyDescent="0.9">
      <c r="B32" s="357">
        <f>+B31</f>
        <v>4</v>
      </c>
      <c r="C32" s="408"/>
      <c r="D32" s="184"/>
      <c r="E32" s="111">
        <f>+B31</f>
        <v>4</v>
      </c>
      <c r="F32" s="409"/>
      <c r="G32" s="541" t="str">
        <f t="shared" si="19"/>
        <v>2259-600-730</v>
      </c>
      <c r="H32" s="411" t="s">
        <v>412</v>
      </c>
      <c r="I32" s="113">
        <f>+IFERROR(IF(K33=0,0,IF((LOOKUP(2,1/(M32:W32&lt;&gt;""),M32:W32)-K33)&lt;0,0,IF(K33=0,"",LOOKUP(2,1/(M32:W32&lt;&gt;""),M32:W32)-K33))),0)</f>
        <v>1</v>
      </c>
      <c r="J32" s="113">
        <v>2</v>
      </c>
      <c r="K32" s="114" t="s">
        <v>22</v>
      </c>
      <c r="L32" s="102" t="s">
        <v>18</v>
      </c>
      <c r="M32" s="448">
        <v>39</v>
      </c>
      <c r="N32" s="448">
        <v>39</v>
      </c>
      <c r="O32" s="448">
        <v>39</v>
      </c>
      <c r="P32" s="448">
        <v>39</v>
      </c>
      <c r="Q32" s="448">
        <v>39</v>
      </c>
      <c r="R32" s="448">
        <v>38</v>
      </c>
      <c r="S32" s="448">
        <v>39</v>
      </c>
      <c r="T32" s="448">
        <v>39</v>
      </c>
      <c r="U32" s="448">
        <v>39</v>
      </c>
      <c r="V32" s="448"/>
      <c r="W32" s="448"/>
      <c r="X32" s="160">
        <f>+IF(H32="l",IF(COUNTA(M31:W31)=AK33+0.25,AA31-K31*AK33,AA31-(K31*COUNTA(M31:W31))),IF(H32="s",0,IF(COUNTA(M31:W31)=AK33+0.25,SUMIF($C:$C,B31,$AA:$AA)-K31*AK33,SUMIF($C:$C,B31,$AA:$AA)-K31*COUNTA(M31:W31))))</f>
        <v>0.25</v>
      </c>
      <c r="Y32" s="466"/>
      <c r="Z32" s="534"/>
      <c r="AA32" s="462">
        <f t="shared" si="14"/>
        <v>340.25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41"/>
      <c r="AK32" s="348"/>
      <c r="AL32" s="349">
        <f>+IF(AK33=7.75,SUM(M32:S32)+T32*0.75,IF(AK33=8,SUM(M32:T32),IF(AK33=7.25,SUM(M32:S32)+T32*0.25,IF(AK33=8.25,SUM(M32:T32)+U32*0.25,IF(AK33=8.75,SUM(M32:T32)+U32*0.75,0)))))</f>
        <v>340.25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+B31</f>
        <v>4</v>
      </c>
      <c r="C33" s="410"/>
      <c r="D33" s="174" t="s">
        <v>420</v>
      </c>
      <c r="E33" s="175">
        <f>+E32+100</f>
        <v>104</v>
      </c>
      <c r="F33" s="175"/>
      <c r="G33" s="542" t="str">
        <f t="shared" si="19"/>
        <v>2259-600-730</v>
      </c>
      <c r="H33" s="117"/>
      <c r="I33" s="442"/>
      <c r="J33" s="165">
        <f>+IF(K33="","",IF(K31=0,"",(K31*J31)/(K33*60)))</f>
        <v>0.92168859649122814</v>
      </c>
      <c r="K33" s="118">
        <v>38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18.90949978982766</v>
      </c>
      <c r="Z33" s="467">
        <v>18.90949978982766</v>
      </c>
      <c r="AA33" s="465">
        <f t="shared" si="14"/>
        <v>0</v>
      </c>
      <c r="AB33" s="367"/>
      <c r="AC33" s="367"/>
      <c r="AD33" s="368">
        <f>+IFERROR(AD31/(K31*$AQ$3),"")</f>
        <v>1.3395784543325526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1.5531615925058548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39" t="s">
        <v>434</v>
      </c>
      <c r="H34" s="106"/>
      <c r="I34" s="111"/>
      <c r="J34" s="107" t="s">
        <v>20</v>
      </c>
      <c r="K34" s="108" t="s">
        <v>23</v>
      </c>
      <c r="L34" s="100" t="s">
        <v>21</v>
      </c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48"/>
      <c r="X34" s="447" t="str">
        <f t="shared" si="10"/>
        <v/>
      </c>
      <c r="Y34" s="466">
        <v>0</v>
      </c>
      <c r="Z34" s="533">
        <f>+X36</f>
        <v>0</v>
      </c>
      <c r="AA34" s="447">
        <f t="shared" si="11"/>
        <v>0</v>
      </c>
      <c r="AB34" s="343">
        <f>+AC34+AA34</f>
        <v>4060</v>
      </c>
      <c r="AC34" s="343">
        <v>4060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433</v>
      </c>
      <c r="E35" s="111"/>
      <c r="F35" s="111" t="s">
        <v>428</v>
      </c>
      <c r="G35" s="539" t="str">
        <f t="shared" ref="G35:G37" si="21">+G34</f>
        <v>ATENAS-203645</v>
      </c>
      <c r="H35" s="111"/>
      <c r="I35" s="111" t="s">
        <v>33</v>
      </c>
      <c r="J35" s="113">
        <v>61</v>
      </c>
      <c r="K35" s="130">
        <v>47</v>
      </c>
      <c r="L35" s="101" t="s">
        <v>17</v>
      </c>
      <c r="M35" s="214"/>
      <c r="N35" s="214"/>
      <c r="O35" s="214"/>
      <c r="P35" s="214"/>
      <c r="Q35" s="214"/>
      <c r="R35" s="214"/>
      <c r="S35" s="214"/>
      <c r="T35" s="214"/>
      <c r="U35" s="214"/>
      <c r="V35" s="214"/>
      <c r="W35" s="214"/>
      <c r="X35" s="123">
        <f>+IF(H36="s",0,IF(AA35=0,0,IF(COUNTA(M35:W35)=AK37+0.25,SUMIF($C:$C,B35,$AA:$AA)/AK37,SUMIF($C:$C,B35,$AA:$AA)/(COUNTA(M35:W35)))))</f>
        <v>0</v>
      </c>
      <c r="Y35" s="466"/>
      <c r="Z35" s="534"/>
      <c r="AA35" s="134">
        <f t="shared" si="11"/>
        <v>0</v>
      </c>
      <c r="AB35" s="354">
        <f>+AA35+AC35</f>
        <v>4042</v>
      </c>
      <c r="AC35" s="354">
        <v>4042</v>
      </c>
      <c r="AD35" s="355">
        <f>+AB34-AB35</f>
        <v>18</v>
      </c>
      <c r="AE35" s="131" t="str">
        <f>+IF(((AA36+(AA37/2))*60)=0,"",(J35*AA35)/((AA36+(AA37/2))*60))</f>
        <v/>
      </c>
      <c r="AF35" s="347">
        <f>+AA36+AA37/2</f>
        <v>0</v>
      </c>
      <c r="AG35" s="347">
        <f t="shared" si="2"/>
        <v>0</v>
      </c>
      <c r="AH35" s="341">
        <f t="shared" si="3"/>
        <v>0</v>
      </c>
      <c r="AI35" s="341">
        <f>+AA35*J35</f>
        <v>0</v>
      </c>
      <c r="AJ35" s="356">
        <f>+AA35-(AF35*K35/K37)</f>
        <v>0</v>
      </c>
      <c r="AK35" s="348"/>
      <c r="AL35" s="349"/>
      <c r="AM35" s="341"/>
      <c r="AN35" s="341"/>
      <c r="AO35" s="341"/>
      <c r="AP35" s="341"/>
      <c r="AQ35" s="339" t="str">
        <f t="shared" si="13"/>
        <v/>
      </c>
      <c r="AR35" s="434"/>
      <c r="AT35" s="390">
        <v>18</v>
      </c>
      <c r="AV35" s="390">
        <f t="shared" ref="AV35" si="22">+AT35-AD35</f>
        <v>0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39" t="str">
        <f t="shared" si="21"/>
        <v>ATENAS-203645</v>
      </c>
      <c r="H36" s="411" t="s">
        <v>414</v>
      </c>
      <c r="I36" s="113">
        <f>+IFERROR(IF(K37=0,0,IF((LOOKUP(2,1/(M36:W36&lt;&gt;""),M36:W36)-K37)&lt;0,0,IF(K37=0,"",LOOKUP(2,1/(M36:W36&lt;&gt;""),M36:W36)-K37))),0)</f>
        <v>0</v>
      </c>
      <c r="J36" s="113">
        <v>0</v>
      </c>
      <c r="K36" s="114" t="s">
        <v>22</v>
      </c>
      <c r="L36" s="102" t="s">
        <v>18</v>
      </c>
      <c r="M36" s="448"/>
      <c r="N36" s="448"/>
      <c r="O36" s="448"/>
      <c r="P36" s="448"/>
      <c r="Q36" s="448"/>
      <c r="R36" s="448"/>
      <c r="S36" s="448"/>
      <c r="T36" s="448"/>
      <c r="U36" s="448"/>
      <c r="V36" s="448"/>
      <c r="W36" s="448"/>
      <c r="X36" s="160">
        <f>+IF(H36="l",IF(COUNTA(M35:W35)=AK37+0.25,AA35-K35*AK37,AA35-(K35*COUNTA(M35:W35))),IF(H36="s",0,IF(COUNTA(M35:W35)=AK37+0.25,SUMIF($C:$C,B35,$AA:$AA)-K35*AK37,SUMIF($C:$C,B35,$AA:$AA)-K35*COUNTA(M35:W35))))</f>
        <v>0</v>
      </c>
      <c r="Y36" s="466"/>
      <c r="Z36" s="534"/>
      <c r="AA36" s="462">
        <f t="shared" si="14"/>
        <v>0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0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39" t="str">
        <f t="shared" si="21"/>
        <v>ATENAS-203645</v>
      </c>
      <c r="H37" s="117"/>
      <c r="I37" s="442"/>
      <c r="J37" s="165">
        <f>+IF(K37="","",IF(K35=0,"",(K35*J35)/(K37*60)))</f>
        <v>0.85327380952380949</v>
      </c>
      <c r="K37" s="118">
        <v>56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70.394680851063825</v>
      </c>
      <c r="Z37" s="371">
        <f>+IF(COUNTA(M35:W35)=$AJ$4+0.25,$AJ$4-(AA35/K35),COUNTA(M35:W35)-(AA35/K35))+Y37</f>
        <v>70.394680851063825</v>
      </c>
      <c r="AA37" s="465">
        <f t="shared" si="14"/>
        <v>0</v>
      </c>
      <c r="AB37" s="367"/>
      <c r="AC37" s="367"/>
      <c r="AD37" s="368">
        <f>+IFERROR(AD35/(K35*$AQ$3),"")</f>
        <v>4.376899696048632E-2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4.376899696048632E-2</v>
      </c>
      <c r="AV37" s="390"/>
    </row>
    <row r="38" spans="2:58" s="98" customFormat="1" ht="62.25" customHeight="1" thickTop="1" x14ac:dyDescent="0.9">
      <c r="B38" s="342">
        <f>+B39</f>
        <v>5</v>
      </c>
      <c r="C38" s="405"/>
      <c r="D38" s="106"/>
      <c r="E38" s="106"/>
      <c r="F38" s="106"/>
      <c r="G38" s="540" t="s">
        <v>481</v>
      </c>
      <c r="H38" s="106"/>
      <c r="I38" s="111"/>
      <c r="J38" s="107" t="s">
        <v>20</v>
      </c>
      <c r="K38" s="108" t="s">
        <v>23</v>
      </c>
      <c r="L38" s="100" t="s">
        <v>21</v>
      </c>
      <c r="M38" s="448">
        <v>180</v>
      </c>
      <c r="N38" s="448">
        <v>180</v>
      </c>
      <c r="O38" s="448"/>
      <c r="P38" s="448"/>
      <c r="Q38" s="448"/>
      <c r="R38" s="448"/>
      <c r="S38" s="448"/>
      <c r="T38" s="448"/>
      <c r="U38" s="448"/>
      <c r="V38" s="448"/>
      <c r="W38" s="448"/>
      <c r="X38" s="447">
        <f t="shared" si="10"/>
        <v>360</v>
      </c>
      <c r="Y38" s="466">
        <v>-30</v>
      </c>
      <c r="Z38" s="533">
        <f>+X40</f>
        <v>0</v>
      </c>
      <c r="AA38" s="447">
        <f t="shared" si="11"/>
        <v>360</v>
      </c>
      <c r="AB38" s="343">
        <f>+AC38+AA38</f>
        <v>2160</v>
      </c>
      <c r="AC38" s="343">
        <v>1800</v>
      </c>
      <c r="AD38" s="344"/>
      <c r="AE38" s="345"/>
      <c r="AF38" s="346"/>
      <c r="AG38" s="347">
        <f t="shared" si="2"/>
        <v>0</v>
      </c>
      <c r="AH38" s="341">
        <f t="shared" si="3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5</v>
      </c>
      <c r="C39" s="406">
        <f>+B39</f>
        <v>5</v>
      </c>
      <c r="D39" s="407" t="s">
        <v>480</v>
      </c>
      <c r="E39" s="111"/>
      <c r="F39" s="111" t="s">
        <v>35</v>
      </c>
      <c r="G39" s="541" t="str">
        <f t="shared" ref="G39:G41" si="23">+G38</f>
        <v>2396-593-600</v>
      </c>
      <c r="H39" s="111"/>
      <c r="I39" s="111" t="s">
        <v>33</v>
      </c>
      <c r="J39" s="113">
        <v>38.82</v>
      </c>
      <c r="K39" s="130">
        <v>60</v>
      </c>
      <c r="L39" s="101" t="s">
        <v>17</v>
      </c>
      <c r="M39" s="214">
        <v>60</v>
      </c>
      <c r="N39" s="214">
        <v>60</v>
      </c>
      <c r="O39" s="214">
        <v>60</v>
      </c>
      <c r="P39" s="214">
        <v>60</v>
      </c>
      <c r="Q39" s="214">
        <v>60</v>
      </c>
      <c r="R39" s="214">
        <v>60</v>
      </c>
      <c r="S39" s="214">
        <v>60</v>
      </c>
      <c r="T39" s="214">
        <v>60</v>
      </c>
      <c r="U39" s="214">
        <v>45</v>
      </c>
      <c r="V39" s="214"/>
      <c r="W39" s="214"/>
      <c r="X39" s="123">
        <f>+IF(H40="s",0,IF(AA39=0,0,IF(COUNTA(M39:W39)=AK41+0.25,SUMIF($C:$C,B39,$AA:$AA)/AK41,SUMIF($C:$C,B39,$AA:$AA)/(COUNTA(M39:W39)))))</f>
        <v>60</v>
      </c>
      <c r="Y39" s="466"/>
      <c r="Z39" s="534"/>
      <c r="AA39" s="134">
        <f t="shared" si="11"/>
        <v>525</v>
      </c>
      <c r="AB39" s="354">
        <f>+AA39+AC39</f>
        <v>1115</v>
      </c>
      <c r="AC39" s="354">
        <v>590</v>
      </c>
      <c r="AD39" s="355">
        <f>+AB38-AB39</f>
        <v>1045</v>
      </c>
      <c r="AE39" s="131">
        <f>+IF(((AA40+(AA41/2))*60)=0,"",(J39*AA39)/((AA40+(AA41/2))*60))</f>
        <v>0.90279069767441855</v>
      </c>
      <c r="AF39" s="347">
        <f>+AA40+AA41/2</f>
        <v>376.25</v>
      </c>
      <c r="AG39" s="347">
        <f t="shared" si="2"/>
        <v>376.15</v>
      </c>
      <c r="AH39" s="341">
        <f t="shared" si="3"/>
        <v>22575</v>
      </c>
      <c r="AI39" s="341">
        <f>+AA39*J39</f>
        <v>20380.5</v>
      </c>
      <c r="AJ39" s="356">
        <f>+AA39-(AF39*K39/K41)</f>
        <v>0</v>
      </c>
      <c r="AK39" s="348"/>
      <c r="AL39" s="349"/>
      <c r="AM39" s="341"/>
      <c r="AN39" s="341"/>
      <c r="AO39" s="341"/>
      <c r="AP39" s="341"/>
      <c r="AQ39" s="339">
        <f>-360+AA38</f>
        <v>0</v>
      </c>
      <c r="AR39" s="434">
        <v>1.5</v>
      </c>
      <c r="AT39" s="390">
        <v>1210</v>
      </c>
      <c r="AV39" s="390">
        <f t="shared" ref="AV39" si="24">+AT39-AD39</f>
        <v>165</v>
      </c>
    </row>
    <row r="40" spans="2:58" s="98" customFormat="1" ht="62.25" customHeight="1" x14ac:dyDescent="0.9">
      <c r="B40" s="357">
        <f>B39</f>
        <v>5</v>
      </c>
      <c r="C40" s="408"/>
      <c r="D40" s="184"/>
      <c r="E40" s="111">
        <f>+B39</f>
        <v>5</v>
      </c>
      <c r="F40" s="412"/>
      <c r="G40" s="541" t="str">
        <f t="shared" si="23"/>
        <v>2396-593-600</v>
      </c>
      <c r="H40" s="411" t="s">
        <v>412</v>
      </c>
      <c r="I40" s="113">
        <f>+IFERROR(IF(K41=0,0,IF((LOOKUP(2,1/(M40:W40&lt;&gt;""),M40:W40)-K41)&lt;0,0,IF(K41=0,"",LOOKUP(2,1/(M40:W40&lt;&gt;""),M40:W40)-K41))),0)</f>
        <v>0</v>
      </c>
      <c r="J40" s="113">
        <v>1</v>
      </c>
      <c r="K40" s="114" t="s">
        <v>22</v>
      </c>
      <c r="L40" s="102" t="s">
        <v>18</v>
      </c>
      <c r="M40" s="448">
        <v>43</v>
      </c>
      <c r="N40" s="448">
        <v>43</v>
      </c>
      <c r="O40" s="448">
        <v>43</v>
      </c>
      <c r="P40" s="448">
        <v>43</v>
      </c>
      <c r="Q40" s="448">
        <v>43</v>
      </c>
      <c r="R40" s="448">
        <v>43</v>
      </c>
      <c r="S40" s="448">
        <v>43</v>
      </c>
      <c r="T40" s="448">
        <v>43</v>
      </c>
      <c r="U40" s="448">
        <v>43</v>
      </c>
      <c r="V40" s="448"/>
      <c r="W40" s="448"/>
      <c r="X40" s="160">
        <f>+IF(H40="l",IF(COUNTA(M39:W39)=AK41+0.25,AA39-K39*AK41,AA39-(K39*COUNTA(M39:W39))),IF(H40="s",0,IF(COUNTA(M39:W39)=AK41+0.25,SUMIF($C:$C,B39,$AA:$AA)-K39*AK41,SUMIF($C:$C,B39,$AA:$AA)-K39*COUNTA(M39:W39))))</f>
        <v>0</v>
      </c>
      <c r="Y40" s="466"/>
      <c r="Z40" s="534"/>
      <c r="AA40" s="462">
        <f t="shared" si="14"/>
        <v>376.25</v>
      </c>
      <c r="AB40" s="360"/>
      <c r="AC40" s="360"/>
      <c r="AD40" s="362"/>
      <c r="AE40" s="363"/>
      <c r="AF40" s="346"/>
      <c r="AG40" s="347">
        <f t="shared" si="2"/>
        <v>0</v>
      </c>
      <c r="AH40" s="341">
        <f t="shared" si="3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376.25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5</v>
      </c>
      <c r="C41" s="410"/>
      <c r="D41" s="174" t="s">
        <v>380</v>
      </c>
      <c r="E41" s="175">
        <f>+E40+100</f>
        <v>105</v>
      </c>
      <c r="F41" s="175"/>
      <c r="G41" s="542" t="str">
        <f t="shared" si="23"/>
        <v>2396-593-600</v>
      </c>
      <c r="H41" s="117"/>
      <c r="I41" s="442"/>
      <c r="J41" s="165">
        <f>+IF(K41="","",IF(K39=0,"",(K39*J39)/(K41*60)))</f>
        <v>0.90279069767441855</v>
      </c>
      <c r="K41" s="118">
        <v>43</v>
      </c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>
        <v>8.0762666666666671</v>
      </c>
      <c r="Z41" s="371">
        <f>+IF(COUNTA(M39:W39)=$AJ$4+0.25,$AJ$4-(AA39/K39),COUNTA(M39:W39)-(AA39/K39))+Y41</f>
        <v>8.0762666666666671</v>
      </c>
      <c r="AA41" s="465">
        <f t="shared" si="14"/>
        <v>0</v>
      </c>
      <c r="AB41" s="367"/>
      <c r="AC41" s="367"/>
      <c r="AD41" s="368">
        <f>+IFERROR(AD39/(K39*$AQ$3),"")</f>
        <v>1.9904761904761905</v>
      </c>
      <c r="AE41" s="369"/>
      <c r="AF41" s="347"/>
      <c r="AG41" s="347">
        <f t="shared" si="2"/>
        <v>0</v>
      </c>
      <c r="AH41" s="341">
        <f t="shared" si="3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2.3047619047619046</v>
      </c>
      <c r="AV41" s="390"/>
    </row>
    <row r="42" spans="2:58" s="98" customFormat="1" ht="62.25" customHeight="1" thickTop="1" x14ac:dyDescent="0.9">
      <c r="B42" s="342">
        <f>+B43</f>
        <v>6</v>
      </c>
      <c r="C42" s="405"/>
      <c r="D42" s="106"/>
      <c r="E42" s="106"/>
      <c r="F42" s="106"/>
      <c r="G42" s="540" t="s">
        <v>442</v>
      </c>
      <c r="H42" s="106"/>
      <c r="I42" s="111"/>
      <c r="J42" s="107" t="s">
        <v>20</v>
      </c>
      <c r="K42" s="108">
        <v>0</v>
      </c>
      <c r="L42" s="100" t="s">
        <v>21</v>
      </c>
      <c r="M42" s="448"/>
      <c r="N42" s="448">
        <v>180</v>
      </c>
      <c r="O42" s="448">
        <v>60</v>
      </c>
      <c r="P42" s="448">
        <v>124</v>
      </c>
      <c r="Q42" s="448"/>
      <c r="R42" s="448">
        <v>60</v>
      </c>
      <c r="S42" s="448">
        <v>60</v>
      </c>
      <c r="T42" s="448">
        <v>60</v>
      </c>
      <c r="U42" s="448"/>
      <c r="V42" s="448"/>
      <c r="W42" s="448"/>
      <c r="X42" s="447">
        <f t="shared" si="10"/>
        <v>544</v>
      </c>
      <c r="Y42" s="466">
        <v>-15.75</v>
      </c>
      <c r="Z42" s="533">
        <f>+X44</f>
        <v>-3.75</v>
      </c>
      <c r="AA42" s="447">
        <f t="shared" si="11"/>
        <v>544</v>
      </c>
      <c r="AB42" s="343">
        <f>+AC42+AA42</f>
        <v>4144</v>
      </c>
      <c r="AC42" s="343">
        <v>3600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0.9">
      <c r="B43" s="351">
        <v>6</v>
      </c>
      <c r="C43" s="406">
        <f>+B43</f>
        <v>6</v>
      </c>
      <c r="D43" s="407" t="s">
        <v>441</v>
      </c>
      <c r="E43" s="111"/>
      <c r="F43" s="111" t="s">
        <v>35</v>
      </c>
      <c r="G43" s="541" t="str">
        <f t="shared" ref="G43:G45" si="25">+G42</f>
        <v>2259-600-730</v>
      </c>
      <c r="H43" s="111"/>
      <c r="I43" s="111" t="s">
        <v>33</v>
      </c>
      <c r="J43" s="113">
        <v>34.450000000000003</v>
      </c>
      <c r="K43" s="494">
        <v>61</v>
      </c>
      <c r="L43" s="101" t="s">
        <v>17</v>
      </c>
      <c r="M43" s="214">
        <v>61</v>
      </c>
      <c r="N43" s="214">
        <v>61</v>
      </c>
      <c r="O43" s="214">
        <v>61</v>
      </c>
      <c r="P43" s="214">
        <v>61</v>
      </c>
      <c r="Q43" s="214">
        <v>61</v>
      </c>
      <c r="R43" s="214">
        <v>55</v>
      </c>
      <c r="S43" s="214">
        <v>61</v>
      </c>
      <c r="T43" s="214">
        <v>61</v>
      </c>
      <c r="U43" s="214">
        <v>48</v>
      </c>
      <c r="V43" s="214"/>
      <c r="W43" s="214"/>
      <c r="X43" s="123">
        <f>+IF(H44="s",0,IF(AA43=0,0,IF(COUNTA(M43:W43)=AK45+0.25,SUMIF($C:$C,B43,$AA:$AA)/AK45,SUMIF($C:$C,B43,$AA:$AA)/(COUNTA(M43:W43)))))</f>
        <v>60.571428571428569</v>
      </c>
      <c r="Y43" s="466"/>
      <c r="Z43" s="534"/>
      <c r="AA43" s="134">
        <f t="shared" si="11"/>
        <v>530</v>
      </c>
      <c r="AB43" s="354">
        <f>+AA43+AC43</f>
        <v>3310</v>
      </c>
      <c r="AC43" s="354">
        <v>2780</v>
      </c>
      <c r="AD43" s="355">
        <f>+AB42-AB43</f>
        <v>834</v>
      </c>
      <c r="AE43" s="131">
        <f>+IF(((AA44+(AA45/2))*60)=0,"",(J43*AA43)/((AA44+(AA45/2))*60))</f>
        <v>0.88045810729355034</v>
      </c>
      <c r="AF43" s="347">
        <f>+AA44+AA45/2</f>
        <v>345.625</v>
      </c>
      <c r="AG43" s="347">
        <f t="shared" si="2"/>
        <v>345.375</v>
      </c>
      <c r="AH43" s="341">
        <f t="shared" si="3"/>
        <v>20737.5</v>
      </c>
      <c r="AI43" s="341">
        <f>+AA43*J43</f>
        <v>18258.5</v>
      </c>
      <c r="AJ43" s="356">
        <f>+AA43-(AF43*K43/K45)</f>
        <v>-24.819078947368439</v>
      </c>
      <c r="AK43" s="348"/>
      <c r="AL43" s="349"/>
      <c r="AM43" s="341"/>
      <c r="AN43" s="341"/>
      <c r="AO43" s="341"/>
      <c r="AP43" s="341"/>
      <c r="AQ43" s="339">
        <f t="shared" si="13"/>
        <v>29.625</v>
      </c>
      <c r="AR43" s="434">
        <v>1.5</v>
      </c>
      <c r="AT43" s="390">
        <v>820</v>
      </c>
      <c r="AV43" s="390">
        <f t="shared" ref="AV43" si="26">+AT43-AD43</f>
        <v>-14</v>
      </c>
    </row>
    <row r="44" spans="2:58" s="98" customFormat="1" ht="62.25" customHeight="1" x14ac:dyDescent="0.9">
      <c r="B44" s="357">
        <f>B43</f>
        <v>6</v>
      </c>
      <c r="C44" s="408"/>
      <c r="D44" s="184"/>
      <c r="E44" s="111">
        <f>+B43</f>
        <v>6</v>
      </c>
      <c r="F44" s="409"/>
      <c r="G44" s="541" t="str">
        <f t="shared" si="25"/>
        <v>2259-600-730</v>
      </c>
      <c r="H44" s="411" t="s">
        <v>413</v>
      </c>
      <c r="I44" s="113">
        <f>+IFERROR(IF(K45=0,0,IF((LOOKUP(2,1/(M44:W44&lt;&gt;""),M44:W44)-K45)&lt;0,0,IF(K45=0,"",LOOKUP(2,1/(M44:W44&lt;&gt;""),M44:W44)-K45))),0)</f>
        <v>1</v>
      </c>
      <c r="J44" s="113">
        <v>0</v>
      </c>
      <c r="K44" s="114" t="s">
        <v>22</v>
      </c>
      <c r="L44" s="102" t="s">
        <v>18</v>
      </c>
      <c r="M44" s="448">
        <v>39</v>
      </c>
      <c r="N44" s="448">
        <v>39</v>
      </c>
      <c r="O44" s="448">
        <v>39</v>
      </c>
      <c r="P44" s="448">
        <v>39</v>
      </c>
      <c r="Q44" s="448">
        <v>39</v>
      </c>
      <c r="R44" s="448">
        <v>39</v>
      </c>
      <c r="S44" s="448">
        <v>39</v>
      </c>
      <c r="T44" s="448">
        <v>39</v>
      </c>
      <c r="U44" s="448">
        <v>39</v>
      </c>
      <c r="V44" s="448"/>
      <c r="W44" s="448"/>
      <c r="X44" s="160">
        <f>+IF(H44="l",IF(COUNTA(M43:W43)=AK45+0.25,AA43-K43*AK45,AA43-(K43*COUNTA(M43:W43))),IF(H44="s",0,IF(COUNTA(M43:W43)=AK45+0.25,SUMIF($C:$C,B43,$AA:$AA)-K43*AK45,SUMIF($C:$C,B43,$AA:$AA)-K43*COUNTA(M43:W43))))</f>
        <v>-3.75</v>
      </c>
      <c r="Y44" s="466"/>
      <c r="Z44" s="534"/>
      <c r="AA44" s="462">
        <f t="shared" si="14"/>
        <v>341.25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56"/>
      <c r="AK44" s="348"/>
      <c r="AL44" s="349">
        <f>+IF(AK45=7.75,SUM(M44:S44)+T44*0.75,IF(AK45=8,SUM(M44:T44),IF(AK45=7.25,SUM(M44:S44)+T44*0.25,IF(AK45=8.25,SUM(M44:T44)+U44*0.25,IF(AK45=8.75,SUM(M44:T44)+U44*0.75,0)))))</f>
        <v>341.25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64">
        <f>B43</f>
        <v>6</v>
      </c>
      <c r="C45" s="410"/>
      <c r="D45" s="174" t="s">
        <v>366</v>
      </c>
      <c r="E45" s="175">
        <f>+E44+100</f>
        <v>106</v>
      </c>
      <c r="F45" s="175"/>
      <c r="G45" s="542" t="str">
        <f t="shared" si="25"/>
        <v>2259-600-730</v>
      </c>
      <c r="H45" s="117"/>
      <c r="I45" s="442"/>
      <c r="J45" s="165">
        <f>+IF(K45="","",IF(K43=0,"",(K43*J43)/(K45*60)))</f>
        <v>0.92168859649122814</v>
      </c>
      <c r="K45" s="118">
        <v>38</v>
      </c>
      <c r="L45" s="104" t="s">
        <v>19</v>
      </c>
      <c r="M45" s="216">
        <v>1</v>
      </c>
      <c r="N45" s="216">
        <v>1</v>
      </c>
      <c r="O45" s="216">
        <v>1</v>
      </c>
      <c r="P45" s="216">
        <v>1</v>
      </c>
      <c r="Q45" s="216">
        <v>1</v>
      </c>
      <c r="R45" s="216">
        <v>1</v>
      </c>
      <c r="S45" s="216">
        <v>1</v>
      </c>
      <c r="T45" s="216">
        <v>1</v>
      </c>
      <c r="U45" s="216">
        <v>1</v>
      </c>
      <c r="V45" s="216"/>
      <c r="W45" s="216"/>
      <c r="X45" s="173"/>
      <c r="Y45" s="467">
        <v>14.213333333333335</v>
      </c>
      <c r="Z45" s="365">
        <v>14.213333333333335</v>
      </c>
      <c r="AA45" s="465">
        <f t="shared" si="14"/>
        <v>8.75</v>
      </c>
      <c r="AB45" s="367"/>
      <c r="AC45" s="367"/>
      <c r="AD45" s="368">
        <f>+IFERROR(AD43/(K43*$AQ$3),"")</f>
        <v>1.5625292740046839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8.75</v>
      </c>
      <c r="AM45" s="341">
        <f>+AL45-AA45</f>
        <v>0</v>
      </c>
      <c r="AN45" s="341"/>
      <c r="AO45" s="341"/>
      <c r="AP45" s="341"/>
      <c r="AQ45" s="369"/>
      <c r="AR45" s="434"/>
      <c r="AT45" s="390">
        <v>1.5362997658079625</v>
      </c>
      <c r="AV45" s="390"/>
    </row>
    <row r="46" spans="2:58" s="98" customFormat="1" ht="62.25" customHeight="1" thickTop="1" x14ac:dyDescent="0.9">
      <c r="B46" s="342">
        <f>+B47</f>
        <v>7</v>
      </c>
      <c r="C46" s="405"/>
      <c r="D46" s="106"/>
      <c r="E46" s="106"/>
      <c r="F46" s="106"/>
      <c r="G46" s="540" t="s">
        <v>442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120</v>
      </c>
      <c r="N46" s="448">
        <v>60</v>
      </c>
      <c r="O46" s="448">
        <v>69</v>
      </c>
      <c r="P46" s="448">
        <v>60</v>
      </c>
      <c r="Q46" s="448">
        <v>60</v>
      </c>
      <c r="R46" s="448">
        <v>60</v>
      </c>
      <c r="S46" s="448"/>
      <c r="T46" s="448"/>
      <c r="U46" s="473"/>
      <c r="V46" s="448"/>
      <c r="W46" s="448"/>
      <c r="X46" s="447">
        <f t="shared" si="10"/>
        <v>429</v>
      </c>
      <c r="Y46" s="466">
        <v>-129.75</v>
      </c>
      <c r="Z46" s="533">
        <f>+X48</f>
        <v>-33.75</v>
      </c>
      <c r="AA46" s="447">
        <f t="shared" si="11"/>
        <v>429</v>
      </c>
      <c r="AB46" s="343">
        <f>+AC46+AA46</f>
        <v>3309</v>
      </c>
      <c r="AC46" s="343">
        <v>2880</v>
      </c>
      <c r="AD46" s="344"/>
      <c r="AE46" s="345"/>
      <c r="AF46" s="346"/>
      <c r="AG46" s="347">
        <f t="shared" si="2"/>
        <v>0</v>
      </c>
      <c r="AH46" s="341">
        <f t="shared" si="3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1.35">
      <c r="B47" s="351">
        <v>7</v>
      </c>
      <c r="C47" s="406">
        <f>+B47</f>
        <v>7</v>
      </c>
      <c r="D47" s="407" t="s">
        <v>441</v>
      </c>
      <c r="E47" s="111"/>
      <c r="F47" s="111" t="s">
        <v>35</v>
      </c>
      <c r="G47" s="541" t="str">
        <f t="shared" ref="G47:G49" si="27">+G46</f>
        <v>2259-600-730</v>
      </c>
      <c r="H47" s="111"/>
      <c r="I47" s="111" t="s">
        <v>33</v>
      </c>
      <c r="J47" s="113">
        <v>34.450000000000003</v>
      </c>
      <c r="K47" s="494">
        <v>61</v>
      </c>
      <c r="L47" s="101" t="s">
        <v>17</v>
      </c>
      <c r="M47" s="214">
        <v>61</v>
      </c>
      <c r="N47" s="214">
        <v>61</v>
      </c>
      <c r="O47" s="214">
        <v>42</v>
      </c>
      <c r="P47" s="214">
        <v>55</v>
      </c>
      <c r="Q47" s="214">
        <v>52</v>
      </c>
      <c r="R47" s="214">
        <v>55</v>
      </c>
      <c r="S47" s="214">
        <v>65</v>
      </c>
      <c r="T47" s="214">
        <v>61</v>
      </c>
      <c r="U47" s="214">
        <v>48</v>
      </c>
      <c r="V47" s="214"/>
      <c r="W47" s="214"/>
      <c r="X47" s="123">
        <f>+IF(H48="s",0,IF(AA47=0,0,IF(COUNTA(M47:W47)=AK49+0.25,SUMIF($C:$C,B47,$AA:$AA)/AK49,SUMIF($C:$C,B47,$AA:$AA)/(COUNTA(M47:W47)))))</f>
        <v>57.142857142857146</v>
      </c>
      <c r="Y47" s="466"/>
      <c r="Z47" s="534"/>
      <c r="AA47" s="134">
        <f t="shared" si="11"/>
        <v>500</v>
      </c>
      <c r="AB47" s="354">
        <f>+AA47+AC47</f>
        <v>2416</v>
      </c>
      <c r="AC47" s="354">
        <v>1916</v>
      </c>
      <c r="AD47" s="355">
        <f>+AB46-AB47</f>
        <v>893</v>
      </c>
      <c r="AE47" s="131">
        <f>+IF(((AA48+(AA49/2))*60)=0,"",(J47*AA47)/((AA48+(AA49/2))*60))</f>
        <v>0.84126984126984128</v>
      </c>
      <c r="AF47" s="347">
        <f>+AA48+AA49/2</f>
        <v>341.25</v>
      </c>
      <c r="AG47" s="347">
        <f t="shared" si="2"/>
        <v>341.15</v>
      </c>
      <c r="AH47" s="341">
        <f t="shared" si="3"/>
        <v>20475</v>
      </c>
      <c r="AI47" s="341">
        <f>+AA47*J47</f>
        <v>17225</v>
      </c>
      <c r="AJ47" s="356">
        <f>+AA47-(AF47*K47/K49)</f>
        <v>-47.796052631578959</v>
      </c>
      <c r="AK47" s="348"/>
      <c r="AL47" s="349"/>
      <c r="AM47" s="341"/>
      <c r="AN47" s="341"/>
      <c r="AO47" s="341"/>
      <c r="AP47" s="341"/>
      <c r="AQ47" s="339">
        <f t="shared" si="13"/>
        <v>58.625</v>
      </c>
      <c r="AR47" s="434">
        <v>1.5</v>
      </c>
      <c r="AT47" s="390">
        <v>964</v>
      </c>
      <c r="AV47" s="390">
        <f t="shared" ref="AV47" si="28">+AT47-AD47</f>
        <v>71</v>
      </c>
      <c r="AW47" s="535"/>
      <c r="AX47" s="535"/>
      <c r="AY47" s="535"/>
      <c r="AZ47" s="535"/>
      <c r="BA47" s="535"/>
      <c r="BB47" s="535"/>
      <c r="BC47" s="535"/>
      <c r="BD47" s="535"/>
      <c r="BE47" s="535"/>
      <c r="BF47" s="535"/>
    </row>
    <row r="48" spans="2:58" s="98" customFormat="1" ht="62.25" customHeight="1" x14ac:dyDescent="0.9">
      <c r="B48" s="357">
        <f>B47</f>
        <v>7</v>
      </c>
      <c r="C48" s="408"/>
      <c r="D48" s="184"/>
      <c r="E48" s="111">
        <f>+B47</f>
        <v>7</v>
      </c>
      <c r="F48" s="409"/>
      <c r="G48" s="541" t="str">
        <f t="shared" si="27"/>
        <v>2259-600-730</v>
      </c>
      <c r="H48" s="411" t="s">
        <v>413</v>
      </c>
      <c r="I48" s="113">
        <f>+IFERROR(IF(K49=0,0,IF((LOOKUP(2,1/(M48:W48&lt;&gt;""),M48:W48)-K49)&lt;0,0,IF(K49=0,"",LOOKUP(2,1/(M48:W48&lt;&gt;""),M48:W48)-K49))),0)</f>
        <v>1</v>
      </c>
      <c r="J48" s="113">
        <v>1</v>
      </c>
      <c r="K48" s="114" t="s">
        <v>22</v>
      </c>
      <c r="L48" s="102" t="s">
        <v>18</v>
      </c>
      <c r="M48" s="448">
        <v>39</v>
      </c>
      <c r="N48" s="448">
        <v>39</v>
      </c>
      <c r="O48" s="448">
        <v>39</v>
      </c>
      <c r="P48" s="448">
        <v>39</v>
      </c>
      <c r="Q48" s="448">
        <v>39</v>
      </c>
      <c r="R48" s="448">
        <v>39</v>
      </c>
      <c r="S48" s="448">
        <v>39</v>
      </c>
      <c r="T48" s="448">
        <v>39</v>
      </c>
      <c r="U48" s="448">
        <v>39</v>
      </c>
      <c r="V48" s="448"/>
      <c r="W48" s="448"/>
      <c r="X48" s="160">
        <f>+IF(H48="l",IF(COUNTA(M47:W47)=AK49+0.25,AA47-K47*AK49,AA47-(K47*COUNTA(M47:W47))),IF(H48="s",0,IF(COUNTA(M47:W47)=AK49+0.25,SUMIF($C:$C,B47,$AA:$AA)-K47*AK49,SUMIF($C:$C,B47,$AA:$AA)-K47*COUNTA(M47:W47))))</f>
        <v>-33.75</v>
      </c>
      <c r="Y48" s="466"/>
      <c r="Z48" s="534"/>
      <c r="AA48" s="462">
        <f t="shared" si="14"/>
        <v>341.25</v>
      </c>
      <c r="AB48" s="360"/>
      <c r="AC48" s="360"/>
      <c r="AD48" s="362"/>
      <c r="AE48" s="363"/>
      <c r="AF48" s="346"/>
      <c r="AG48" s="347">
        <f t="shared" si="2"/>
        <v>0</v>
      </c>
      <c r="AH48" s="341">
        <f t="shared" si="3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341.25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72">
        <f>B47</f>
        <v>7</v>
      </c>
      <c r="C49" s="410"/>
      <c r="D49" s="174" t="s">
        <v>93</v>
      </c>
      <c r="E49" s="175">
        <f>+E48+100</f>
        <v>107</v>
      </c>
      <c r="F49" s="175"/>
      <c r="G49" s="542" t="str">
        <f t="shared" si="27"/>
        <v>2259-600-730</v>
      </c>
      <c r="H49" s="117"/>
      <c r="I49" s="442"/>
      <c r="J49" s="165">
        <f>+IF(K49="","",IF(K47=0,"",(K47*J47)/(K49*60)))</f>
        <v>0.92168859649122814</v>
      </c>
      <c r="K49" s="118">
        <v>38</v>
      </c>
      <c r="L49" s="104" t="s">
        <v>19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15.388301092896173</v>
      </c>
      <c r="Z49" s="365">
        <v>15.388301092896173</v>
      </c>
      <c r="AA49" s="465">
        <f t="shared" si="14"/>
        <v>0</v>
      </c>
      <c r="AB49" s="367"/>
      <c r="AC49" s="367"/>
      <c r="AD49" s="368">
        <f>+IFERROR(AD47/(K47*$AQ$3),"")</f>
        <v>1.6730679156908665</v>
      </c>
      <c r="AE49" s="369"/>
      <c r="AF49" s="347"/>
      <c r="AG49" s="347">
        <f t="shared" si="2"/>
        <v>0</v>
      </c>
      <c r="AH49" s="341">
        <f t="shared" si="3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1.806088992974239</v>
      </c>
      <c r="AV49" s="390"/>
    </row>
    <row r="50" spans="2:58" s="98" customFormat="1" ht="62.25" customHeight="1" thickTop="1" x14ac:dyDescent="0.9">
      <c r="B50" s="342">
        <f>+B51</f>
        <v>8</v>
      </c>
      <c r="C50" s="405"/>
      <c r="D50" s="106"/>
      <c r="E50" s="106"/>
      <c r="F50" s="106"/>
      <c r="G50" s="539" t="s">
        <v>432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180</v>
      </c>
      <c r="N50" s="448">
        <v>120</v>
      </c>
      <c r="O50" s="448">
        <v>51</v>
      </c>
      <c r="P50" s="448"/>
      <c r="Q50" s="448">
        <v>65</v>
      </c>
      <c r="R50" s="448"/>
      <c r="S50" s="448"/>
      <c r="T50" s="448"/>
      <c r="U50" s="448"/>
      <c r="V50" s="448"/>
      <c r="W50" s="448"/>
      <c r="X50" s="447">
        <f t="shared" si="10"/>
        <v>416</v>
      </c>
      <c r="Y50" s="466">
        <v>0.25</v>
      </c>
      <c r="Z50" s="533">
        <f>+X52</f>
        <v>0.25</v>
      </c>
      <c r="AA50" s="447">
        <f t="shared" si="11"/>
        <v>416</v>
      </c>
      <c r="AB50" s="343">
        <f>+AC50+AA50</f>
        <v>6087</v>
      </c>
      <c r="AC50" s="343">
        <v>5671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0.9">
      <c r="B51" s="351">
        <v>8</v>
      </c>
      <c r="C51" s="406">
        <f>+B51</f>
        <v>8</v>
      </c>
      <c r="D51" s="407" t="s">
        <v>431</v>
      </c>
      <c r="E51" s="111"/>
      <c r="F51" s="111" t="s">
        <v>35</v>
      </c>
      <c r="G51" s="539" t="str">
        <f t="shared" ref="G51:G53" si="29">+G50</f>
        <v>2158-755-712</v>
      </c>
      <c r="H51" s="111"/>
      <c r="I51" s="111" t="s">
        <v>33</v>
      </c>
      <c r="J51" s="113">
        <v>51.42</v>
      </c>
      <c r="K51" s="494">
        <v>53</v>
      </c>
      <c r="L51" s="101" t="s">
        <v>17</v>
      </c>
      <c r="M51" s="214">
        <v>53</v>
      </c>
      <c r="N51" s="214">
        <v>53</v>
      </c>
      <c r="O51" s="214">
        <v>53</v>
      </c>
      <c r="P51" s="214">
        <v>53</v>
      </c>
      <c r="Q51" s="214">
        <v>53</v>
      </c>
      <c r="R51" s="214">
        <v>53</v>
      </c>
      <c r="S51" s="214">
        <v>53</v>
      </c>
      <c r="T51" s="214">
        <v>53</v>
      </c>
      <c r="U51" s="214">
        <v>40</v>
      </c>
      <c r="V51" s="214"/>
      <c r="W51" s="214"/>
      <c r="X51" s="123">
        <f>+IF(H52="s",0,IF(AA51=0,0,IF(COUNTA(M51:W51)=AK53+0.25,SUMIF($C:$C,B51,$AA:$AA)/AK53,SUMIF($C:$C,B51,$AA:$AA)/(COUNTA(M51:W51)))))</f>
        <v>53.028571428571432</v>
      </c>
      <c r="Y51" s="466"/>
      <c r="Z51" s="534"/>
      <c r="AA51" s="134">
        <f t="shared" si="11"/>
        <v>464</v>
      </c>
      <c r="AB51" s="354">
        <f>+AA51+AC51</f>
        <v>5392</v>
      </c>
      <c r="AC51" s="354">
        <v>4928</v>
      </c>
      <c r="AD51" s="355">
        <f>+AB50-AB51</f>
        <v>695</v>
      </c>
      <c r="AE51" s="131">
        <f>+IF(((AA52+(AA53/2))*60)=0,"",(J51*AA51)/((AA52+(AA53/2))*60))</f>
        <v>0.8739516483516484</v>
      </c>
      <c r="AF51" s="347">
        <f>+AA52+AA53/2</f>
        <v>455</v>
      </c>
      <c r="AG51" s="347">
        <f t="shared" si="2"/>
        <v>455</v>
      </c>
      <c r="AH51" s="341">
        <f t="shared" si="3"/>
        <v>27300</v>
      </c>
      <c r="AI51" s="341">
        <f>+AA51*J51</f>
        <v>23858.880000000001</v>
      </c>
      <c r="AJ51" s="356">
        <f>+AA51-(AF51*K51/K53)</f>
        <v>-8.8431372549019329</v>
      </c>
      <c r="AK51" s="348"/>
      <c r="AL51" s="349"/>
      <c r="AM51" s="341"/>
      <c r="AN51" s="341"/>
      <c r="AO51" s="341"/>
      <c r="AP51" s="341"/>
      <c r="AQ51" s="339">
        <f t="shared" si="13"/>
        <v>0.55250000000000909</v>
      </c>
      <c r="AR51" s="434">
        <v>1.498</v>
      </c>
      <c r="AT51" s="390">
        <v>743</v>
      </c>
      <c r="AV51" s="390">
        <f t="shared" ref="AV51" si="30">+AT51-AD51</f>
        <v>48</v>
      </c>
    </row>
    <row r="52" spans="2:58" s="98" customFormat="1" ht="62.25" customHeight="1" x14ac:dyDescent="0.9">
      <c r="B52" s="357">
        <f>+B51</f>
        <v>8</v>
      </c>
      <c r="C52" s="408"/>
      <c r="D52" s="184"/>
      <c r="E52" s="111">
        <f>+B51</f>
        <v>8</v>
      </c>
      <c r="F52" s="409"/>
      <c r="G52" s="539" t="str">
        <f t="shared" si="29"/>
        <v>2158-755-712</v>
      </c>
      <c r="H52" s="411"/>
      <c r="I52" s="113">
        <f>+IFERROR(IF(K53=0,0,IF((LOOKUP(2,1/(M52:W52&lt;&gt;""),M52:W52)-K53)&lt;0,0,IF(K53=0,"",LOOKUP(2,1/(M52:W52&lt;&gt;""),M52:W52)-K53))),0)</f>
        <v>1</v>
      </c>
      <c r="J52" s="113"/>
      <c r="K52" s="114" t="s">
        <v>22</v>
      </c>
      <c r="L52" s="102" t="s">
        <v>18</v>
      </c>
      <c r="M52" s="448">
        <v>52</v>
      </c>
      <c r="N52" s="448">
        <v>52</v>
      </c>
      <c r="O52" s="448">
        <v>52</v>
      </c>
      <c r="P52" s="448">
        <v>52</v>
      </c>
      <c r="Q52" s="448">
        <v>52</v>
      </c>
      <c r="R52" s="448">
        <v>52</v>
      </c>
      <c r="S52" s="448">
        <v>52</v>
      </c>
      <c r="T52" s="448">
        <v>52</v>
      </c>
      <c r="U52" s="448">
        <v>52</v>
      </c>
      <c r="V52" s="448"/>
      <c r="W52" s="448"/>
      <c r="X52" s="160">
        <f>+IF(H52="l",IF(COUNTA(M51:W51)=AK53+0.25,AA51-K51*AK53,AA51-(K51*COUNTA(M51:W51))),IF(H52="s",0,IF(COUNTA(M51:W51)=AK53+0.25,SUMIF($C:$C,B51,$AA:$AA)-K51*AK53,SUMIF($C:$C,B51,$AA:$AA)-K51*COUNTA(M51:W51))))</f>
        <v>0.25</v>
      </c>
      <c r="Y52" s="466"/>
      <c r="Z52" s="534"/>
      <c r="AA52" s="462">
        <f t="shared" si="14"/>
        <v>455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455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8</v>
      </c>
      <c r="C53" s="410"/>
      <c r="D53" s="174" t="s">
        <v>373</v>
      </c>
      <c r="E53" s="175">
        <f>+E52+100</f>
        <v>108</v>
      </c>
      <c r="F53" s="175"/>
      <c r="G53" s="539" t="str">
        <f t="shared" si="29"/>
        <v>2158-755-712</v>
      </c>
      <c r="H53" s="117"/>
      <c r="I53" s="442"/>
      <c r="J53" s="165">
        <f>+IF(K53="","",IF(K51=0,"",(K51*J51)/(K53*60)))</f>
        <v>0.89060784313725494</v>
      </c>
      <c r="K53" s="118">
        <v>51</v>
      </c>
      <c r="L53" s="104" t="s">
        <v>422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>
        <v>12.75</v>
      </c>
      <c r="Z53" s="365">
        <v>12.75</v>
      </c>
      <c r="AA53" s="465">
        <f t="shared" si="14"/>
        <v>0</v>
      </c>
      <c r="AB53" s="367"/>
      <c r="AC53" s="367"/>
      <c r="AD53" s="368">
        <f>+IFERROR(AD51/(K51*$AQ$3),"")</f>
        <v>1.4986522911051212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1.6021563342318059</v>
      </c>
      <c r="AV53" s="390"/>
    </row>
    <row r="54" spans="2:58" s="98" customFormat="1" ht="62.25" customHeight="1" thickTop="1" x14ac:dyDescent="0.9">
      <c r="B54" s="342">
        <f>+B55</f>
        <v>11</v>
      </c>
      <c r="C54" s="405"/>
      <c r="D54" s="106"/>
      <c r="E54" s="106"/>
      <c r="F54" s="106"/>
      <c r="G54" s="540" t="s">
        <v>481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60</v>
      </c>
      <c r="N54" s="448">
        <v>120</v>
      </c>
      <c r="O54" s="448">
        <v>60</v>
      </c>
      <c r="P54" s="448">
        <v>60</v>
      </c>
      <c r="Q54" s="448">
        <v>120</v>
      </c>
      <c r="R54" s="448">
        <v>120</v>
      </c>
      <c r="S54" s="448"/>
      <c r="T54" s="448"/>
      <c r="U54" s="448"/>
      <c r="V54" s="448"/>
      <c r="W54" s="448"/>
      <c r="X54" s="447">
        <f t="shared" si="10"/>
        <v>540</v>
      </c>
      <c r="Y54" s="466">
        <v>0</v>
      </c>
      <c r="Z54" s="533">
        <f>+X56</f>
        <v>-27</v>
      </c>
      <c r="AA54" s="447">
        <f t="shared" si="11"/>
        <v>540</v>
      </c>
      <c r="AB54" s="343">
        <f>+AC54+AA54</f>
        <v>3120</v>
      </c>
      <c r="AC54" s="343">
        <v>2580</v>
      </c>
      <c r="AD54" s="344"/>
      <c r="AE54" s="345"/>
      <c r="AF54" s="346"/>
      <c r="AG54" s="347">
        <f t="shared" si="2"/>
        <v>0</v>
      </c>
      <c r="AH54" s="341">
        <f t="shared" si="3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1.35">
      <c r="B55" s="351">
        <v>11</v>
      </c>
      <c r="C55" s="406">
        <f>+B55</f>
        <v>11</v>
      </c>
      <c r="D55" s="407" t="s">
        <v>480</v>
      </c>
      <c r="E55" s="111"/>
      <c r="F55" s="111" t="s">
        <v>35</v>
      </c>
      <c r="G55" s="541" t="str">
        <f t="shared" ref="G55:G57" si="31">+G54</f>
        <v>2396-593-600</v>
      </c>
      <c r="H55" s="111"/>
      <c r="I55" s="111" t="s">
        <v>33</v>
      </c>
      <c r="J55" s="113">
        <v>38.82</v>
      </c>
      <c r="K55" s="130">
        <v>60</v>
      </c>
      <c r="L55" s="101" t="s">
        <v>17</v>
      </c>
      <c r="M55" s="214">
        <v>30</v>
      </c>
      <c r="N55" s="214">
        <v>40</v>
      </c>
      <c r="O55" s="214">
        <v>62</v>
      </c>
      <c r="P55" s="214">
        <v>63</v>
      </c>
      <c r="Q55" s="214">
        <v>62</v>
      </c>
      <c r="R55" s="214">
        <v>63</v>
      </c>
      <c r="S55" s="214">
        <v>66</v>
      </c>
      <c r="T55" s="214">
        <v>64</v>
      </c>
      <c r="U55" s="214">
        <v>48</v>
      </c>
      <c r="V55" s="214"/>
      <c r="W55" s="214"/>
      <c r="X55" s="123">
        <f>+IF(H56="s",0,IF(AA55=0,0,IF(COUNTA(M55:W55)=AK57+0.25,SUMIF($C:$C,B55,$AA:$AA)/AK57,SUMIF($C:$C,B55,$AA:$AA)/(COUNTA(M55:W55)))))</f>
        <v>56.914285714285711</v>
      </c>
      <c r="Y55" s="466"/>
      <c r="Z55" s="534"/>
      <c r="AA55" s="134">
        <f t="shared" si="11"/>
        <v>498</v>
      </c>
      <c r="AB55" s="354">
        <f>+AA55+AC55</f>
        <v>2260</v>
      </c>
      <c r="AC55" s="354">
        <v>1762</v>
      </c>
      <c r="AD55" s="355">
        <f>+AB54-AB55</f>
        <v>860</v>
      </c>
      <c r="AE55" s="131">
        <f>+IF(((AA56+(AA57/2))*60)=0,"",(J55*AA55)/((AA56+(AA57/2))*60))</f>
        <v>0.85636146179401995</v>
      </c>
      <c r="AF55" s="347">
        <f>+AA56+AA57/2</f>
        <v>376.25</v>
      </c>
      <c r="AG55" s="347">
        <f t="shared" si="2"/>
        <v>376.15</v>
      </c>
      <c r="AH55" s="341">
        <f t="shared" si="3"/>
        <v>22575</v>
      </c>
      <c r="AI55" s="341">
        <f>+AA55*J55</f>
        <v>19332.36</v>
      </c>
      <c r="AJ55" s="356">
        <f>+AA55-(AF55*K55/K57)</f>
        <v>-27</v>
      </c>
      <c r="AK55" s="348"/>
      <c r="AL55" s="349"/>
      <c r="AM55" s="341"/>
      <c r="AN55" s="341"/>
      <c r="AO55" s="341"/>
      <c r="AP55" s="341"/>
      <c r="AQ55" s="339">
        <f t="shared" si="13"/>
        <v>45.5</v>
      </c>
      <c r="AR55" s="434">
        <v>1.5</v>
      </c>
      <c r="AT55" s="390">
        <v>818</v>
      </c>
      <c r="AV55" s="390">
        <f t="shared" ref="AV55" si="32">+AT55-AD55</f>
        <v>-42</v>
      </c>
      <c r="AW55" s="535"/>
      <c r="AX55" s="535"/>
      <c r="AY55" s="535"/>
      <c r="AZ55" s="535"/>
      <c r="BA55" s="535"/>
      <c r="BB55" s="535"/>
      <c r="BC55" s="535"/>
      <c r="BD55" s="535"/>
      <c r="BE55" s="535"/>
      <c r="BF55" s="535"/>
    </row>
    <row r="56" spans="2:58" s="98" customFormat="1" ht="62.25" customHeight="1" x14ac:dyDescent="0.9">
      <c r="B56" s="357">
        <f>+B55</f>
        <v>11</v>
      </c>
      <c r="C56" s="408"/>
      <c r="D56" s="184"/>
      <c r="E56" s="111">
        <f>+B55</f>
        <v>11</v>
      </c>
      <c r="F56" s="412"/>
      <c r="G56" s="541" t="str">
        <f t="shared" si="31"/>
        <v>2396-593-600</v>
      </c>
      <c r="H56" s="411" t="s">
        <v>412</v>
      </c>
      <c r="I56" s="113">
        <f>+IFERROR(IF(K57=0,0,IF((LOOKUP(2,1/(M56:W56&lt;&gt;""),M56:W56)-K57)&lt;0,0,IF(K57=0,"",LOOKUP(2,1/(M56:W56&lt;&gt;""),M56:W56)-K57))),0)</f>
        <v>0</v>
      </c>
      <c r="J56" s="113">
        <v>2</v>
      </c>
      <c r="K56" s="114" t="s">
        <v>22</v>
      </c>
      <c r="L56" s="102" t="s">
        <v>18</v>
      </c>
      <c r="M56" s="448">
        <v>42</v>
      </c>
      <c r="N56" s="448">
        <v>42</v>
      </c>
      <c r="O56" s="448">
        <v>42</v>
      </c>
      <c r="P56" s="448">
        <v>42</v>
      </c>
      <c r="Q56" s="448">
        <v>42</v>
      </c>
      <c r="R56" s="448">
        <v>42</v>
      </c>
      <c r="S56" s="448">
        <v>42</v>
      </c>
      <c r="T56" s="448">
        <v>42</v>
      </c>
      <c r="U56" s="448">
        <v>42</v>
      </c>
      <c r="V56" s="448"/>
      <c r="W56" s="448"/>
      <c r="X56" s="160">
        <f>+IF(H56="l",IF(COUNTA(M55:W55)=AK57+0.25,AA55-K55*AK57,AA55-(K55*COUNTA(M55:W55))),IF(H56="s",0,IF(COUNTA(M55:W55)=AK57+0.25,SUMIF($C:$C,B55,$AA:$AA)-K55*AK57,SUMIF($C:$C,B55,$AA:$AA)-K55*COUNTA(M55:W55))))</f>
        <v>-27</v>
      </c>
      <c r="Y56" s="466"/>
      <c r="Z56" s="534"/>
      <c r="AA56" s="462">
        <f>+SUM(M56:W56)-U56*0.25</f>
        <v>367.5</v>
      </c>
      <c r="AB56" s="360"/>
      <c r="AC56" s="360"/>
      <c r="AD56" s="362"/>
      <c r="AE56" s="363"/>
      <c r="AF56" s="346"/>
      <c r="AG56" s="347">
        <f t="shared" si="2"/>
        <v>0</v>
      </c>
      <c r="AH56" s="341">
        <f t="shared" si="3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367.5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11</v>
      </c>
      <c r="C57" s="410"/>
      <c r="D57" s="174" t="s">
        <v>418</v>
      </c>
      <c r="E57" s="175">
        <f>+E56+100</f>
        <v>111</v>
      </c>
      <c r="F57" s="175"/>
      <c r="G57" s="542" t="str">
        <f t="shared" si="31"/>
        <v>2396-593-600</v>
      </c>
      <c r="H57" s="117"/>
      <c r="I57" s="442"/>
      <c r="J57" s="165">
        <f>+IF(K57="","",IF(K55=0,"",(K55*J55)/(K57*60)))</f>
        <v>0.90279069767441855</v>
      </c>
      <c r="K57" s="118">
        <v>43</v>
      </c>
      <c r="L57" s="104" t="s">
        <v>422</v>
      </c>
      <c r="M57" s="216">
        <v>2</v>
      </c>
      <c r="N57" s="216">
        <v>2</v>
      </c>
      <c r="O57" s="216">
        <v>2</v>
      </c>
      <c r="P57" s="216">
        <v>2</v>
      </c>
      <c r="Q57" s="216">
        <v>2</v>
      </c>
      <c r="R57" s="216">
        <v>2</v>
      </c>
      <c r="S57" s="216">
        <v>2</v>
      </c>
      <c r="T57" s="216">
        <v>2</v>
      </c>
      <c r="U57" s="216">
        <v>2</v>
      </c>
      <c r="V57" s="216"/>
      <c r="W57" s="216"/>
      <c r="X57" s="173"/>
      <c r="Y57" s="467">
        <v>10.253933333333334</v>
      </c>
      <c r="Z57" s="365">
        <v>10.253933333333334</v>
      </c>
      <c r="AA57" s="465">
        <f>+SUM(M57:W57)-U57*0.25</f>
        <v>17.5</v>
      </c>
      <c r="AB57" s="367"/>
      <c r="AC57" s="367"/>
      <c r="AD57" s="368">
        <f>+IFERROR(AD55/(K55*$AQ$3),"")</f>
        <v>1.638095238095238</v>
      </c>
      <c r="AE57" s="369"/>
      <c r="AF57" s="347"/>
      <c r="AG57" s="347">
        <f t="shared" si="2"/>
        <v>0</v>
      </c>
      <c r="AH57" s="341">
        <f t="shared" si="3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17.5</v>
      </c>
      <c r="AM57" s="341">
        <f>+AL57-AA57</f>
        <v>0</v>
      </c>
      <c r="AN57" s="341"/>
      <c r="AO57" s="341"/>
      <c r="AP57" s="341"/>
      <c r="AQ57" s="369"/>
      <c r="AR57" s="434"/>
      <c r="AT57" s="390">
        <v>1.5580952380952382</v>
      </c>
      <c r="AV57" s="390"/>
    </row>
    <row r="58" spans="2:58" s="98" customFormat="1" ht="62.25" customHeight="1" thickTop="1" x14ac:dyDescent="0.9">
      <c r="B58" s="342">
        <f>+B59</f>
        <v>12</v>
      </c>
      <c r="C58" s="405"/>
      <c r="D58" s="106"/>
      <c r="E58" s="106"/>
      <c r="F58" s="106"/>
      <c r="G58" s="491"/>
      <c r="H58" s="106"/>
      <c r="I58" s="106"/>
      <c r="J58" s="107" t="s">
        <v>20</v>
      </c>
      <c r="K58" s="108" t="s">
        <v>23</v>
      </c>
      <c r="L58" s="100" t="s">
        <v>21</v>
      </c>
      <c r="M58" s="453"/>
      <c r="N58" s="453"/>
      <c r="O58" s="453"/>
      <c r="P58" s="453"/>
      <c r="Q58" s="453"/>
      <c r="R58" s="453"/>
      <c r="S58" s="453"/>
      <c r="T58" s="453"/>
      <c r="U58" s="453"/>
      <c r="V58" s="453"/>
      <c r="W58" s="453"/>
      <c r="X58" s="447" t="str">
        <f t="shared" si="10"/>
        <v/>
      </c>
      <c r="Y58" s="466">
        <v>0</v>
      </c>
      <c r="Z58" s="533">
        <f>+X60</f>
        <v>0</v>
      </c>
      <c r="AA58" s="447">
        <f t="shared" si="11"/>
        <v>0</v>
      </c>
      <c r="AB58" s="343">
        <f>+AC58+AA58</f>
        <v>0</v>
      </c>
      <c r="AC58" s="343">
        <v>0</v>
      </c>
      <c r="AD58" s="344"/>
      <c r="AE58" s="345"/>
      <c r="AF58" s="346"/>
      <c r="AG58" s="347"/>
      <c r="AH58" s="341"/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0.9">
      <c r="B59" s="351">
        <v>12</v>
      </c>
      <c r="C59" s="406">
        <v>12</v>
      </c>
      <c r="D59" s="407"/>
      <c r="E59" s="111"/>
      <c r="F59" s="111"/>
      <c r="G59" s="492"/>
      <c r="H59" s="111"/>
      <c r="I59" s="111"/>
      <c r="J59" s="113"/>
      <c r="K59" s="130"/>
      <c r="L59" s="101" t="s">
        <v>17</v>
      </c>
      <c r="M59" s="454"/>
      <c r="N59" s="454"/>
      <c r="O59" s="454"/>
      <c r="P59" s="454"/>
      <c r="Q59" s="454"/>
      <c r="R59" s="454"/>
      <c r="S59" s="454"/>
      <c r="T59" s="454"/>
      <c r="U59" s="454"/>
      <c r="V59" s="454"/>
      <c r="W59" s="454"/>
      <c r="X59" s="123">
        <f>+IF(H60="s",0,IF(AA59=0,0,IF(COUNTA(M59:W59)=AK61+0.25,SUMIF($C:$C,B59,$AA:$AA)/AK61,SUMIF($C:$C,B59,$AA:$AA)/(COUNTA(M59:W59)))))</f>
        <v>0</v>
      </c>
      <c r="Y59" s="466"/>
      <c r="Z59" s="534"/>
      <c r="AA59" s="134">
        <f t="shared" si="11"/>
        <v>0</v>
      </c>
      <c r="AB59" s="354">
        <f>+AA59+AC59</f>
        <v>0</v>
      </c>
      <c r="AC59" s="354">
        <v>0</v>
      </c>
      <c r="AD59" s="355">
        <f>+AB58-AB59</f>
        <v>0</v>
      </c>
      <c r="AE59" s="131" t="str">
        <f>+IF(((AA60+(AA61/2))*60)=0,"",(J59*AA59)/((AA60+(AA61/2))*60))</f>
        <v/>
      </c>
      <c r="AF59" s="347"/>
      <c r="AG59" s="347"/>
      <c r="AH59" s="341"/>
      <c r="AI59" s="341"/>
      <c r="AJ59" s="356"/>
      <c r="AK59" s="348"/>
      <c r="AL59" s="349"/>
      <c r="AM59" s="341"/>
      <c r="AN59" s="341"/>
      <c r="AO59" s="341"/>
      <c r="AP59" s="341"/>
      <c r="AQ59" s="339" t="str">
        <f t="shared" si="13"/>
        <v/>
      </c>
      <c r="AR59" s="434"/>
      <c r="AT59" s="390">
        <v>0</v>
      </c>
      <c r="AV59" s="390">
        <f t="shared" ref="AV59" si="33">+AT59-AD59</f>
        <v>0</v>
      </c>
    </row>
    <row r="60" spans="2:58" s="98" customFormat="1" ht="62.25" customHeight="1" x14ac:dyDescent="0.9">
      <c r="B60" s="357">
        <f>+B59</f>
        <v>12</v>
      </c>
      <c r="C60" s="408"/>
      <c r="D60" s="184"/>
      <c r="E60" s="111">
        <f>+B59</f>
        <v>12</v>
      </c>
      <c r="F60" s="409"/>
      <c r="G60" s="492"/>
      <c r="H60" s="411"/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53"/>
      <c r="N60" s="453"/>
      <c r="O60" s="453"/>
      <c r="P60" s="453"/>
      <c r="Q60" s="453"/>
      <c r="R60" s="453"/>
      <c r="S60" s="453"/>
      <c r="T60" s="453"/>
      <c r="U60" s="453"/>
      <c r="V60" s="453"/>
      <c r="W60" s="453"/>
      <c r="X60" s="160">
        <f>+IF(H60="l",IF(COUNTA(M59:W59)=AK61+0.25,AA59-K59*AK61,AA59-(K59*COUNTA(M59:W59))),IF(H60="s",0,IF(COUNTA(M59:W59)=AK61+0.25,SUMIF($C:$C,B59,$AA:$AA)-K59*AK61,SUMIF($C:$C,B59,$AA:$AA)-K59*COUNTA(M59:W59))))</f>
        <v>0</v>
      </c>
      <c r="Y60" s="466"/>
      <c r="Z60" s="534"/>
      <c r="AA60" s="462">
        <f t="shared" si="14"/>
        <v>0</v>
      </c>
      <c r="AB60" s="360"/>
      <c r="AC60" s="360"/>
      <c r="AD60" s="362"/>
      <c r="AE60" s="363"/>
      <c r="AF60" s="346"/>
      <c r="AG60" s="347"/>
      <c r="AH60" s="341"/>
      <c r="AI60" s="341"/>
      <c r="AJ60" s="341"/>
      <c r="AK60" s="348"/>
      <c r="AL60" s="349"/>
      <c r="AM60" s="341"/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12</v>
      </c>
      <c r="C61" s="410"/>
      <c r="D61" s="174"/>
      <c r="E61" s="175">
        <f>+E60+100</f>
        <v>112</v>
      </c>
      <c r="F61" s="175"/>
      <c r="G61" s="493"/>
      <c r="H61" s="117"/>
      <c r="I61" s="442"/>
      <c r="J61" s="165" t="str">
        <f>+IF(K61="","",IF(K59=0,"",(K59*J59)/(K61*60)))</f>
        <v/>
      </c>
      <c r="K61" s="118"/>
      <c r="L61" s="104" t="s">
        <v>19</v>
      </c>
      <c r="M61" s="455"/>
      <c r="N61" s="455"/>
      <c r="O61" s="455"/>
      <c r="P61" s="455"/>
      <c r="Q61" s="455"/>
      <c r="R61" s="455"/>
      <c r="S61" s="455"/>
      <c r="T61" s="455"/>
      <c r="U61" s="455"/>
      <c r="V61" s="455"/>
      <c r="W61" s="455"/>
      <c r="X61" s="173"/>
      <c r="Y61" s="467"/>
      <c r="Z61" s="371"/>
      <c r="AA61" s="465">
        <f t="shared" si="14"/>
        <v>0</v>
      </c>
      <c r="AB61" s="367"/>
      <c r="AC61" s="367"/>
      <c r="AD61" s="368" t="str">
        <f>+IFERROR(AD59/(K59*$AQ$3),"")</f>
        <v/>
      </c>
      <c r="AE61" s="369"/>
      <c r="AF61" s="347"/>
      <c r="AG61" s="347"/>
      <c r="AH61" s="341"/>
      <c r="AI61" s="341"/>
      <c r="AJ61" s="356"/>
      <c r="AK61" s="370">
        <f>+$AJ$4</f>
        <v>8.75</v>
      </c>
      <c r="AL61" s="349"/>
      <c r="AM61" s="341"/>
      <c r="AN61" s="341"/>
      <c r="AO61" s="341"/>
      <c r="AP61" s="341"/>
      <c r="AQ61" s="369"/>
      <c r="AR61" s="434"/>
      <c r="AT61" s="390" t="s">
        <v>416</v>
      </c>
      <c r="AV61" s="390"/>
    </row>
    <row r="62" spans="2:58" s="98" customFormat="1" ht="62.25" customHeight="1" thickTop="1" x14ac:dyDescent="0.9">
      <c r="B62" s="342">
        <f>+B63</f>
        <v>13</v>
      </c>
      <c r="C62" s="405"/>
      <c r="D62" s="106"/>
      <c r="E62" s="106"/>
      <c r="F62" s="106"/>
      <c r="G62" s="539" t="s">
        <v>476</v>
      </c>
      <c r="H62" s="106"/>
      <c r="I62" s="106"/>
      <c r="J62" s="107" t="s">
        <v>20</v>
      </c>
      <c r="K62" s="108" t="s">
        <v>23</v>
      </c>
      <c r="L62" s="100" t="s">
        <v>21</v>
      </c>
      <c r="M62" s="448">
        <v>180</v>
      </c>
      <c r="N62" s="448">
        <v>240</v>
      </c>
      <c r="O62" s="448"/>
      <c r="P62" s="448">
        <v>60</v>
      </c>
      <c r="Q62" s="448">
        <v>60</v>
      </c>
      <c r="R62" s="448">
        <v>120</v>
      </c>
      <c r="S62" s="448"/>
      <c r="T62" s="448">
        <v>60</v>
      </c>
      <c r="U62" s="448">
        <v>60</v>
      </c>
      <c r="V62" s="448"/>
      <c r="W62" s="448"/>
      <c r="X62" s="447">
        <f t="shared" si="10"/>
        <v>780</v>
      </c>
      <c r="Y62" s="466">
        <v>-800</v>
      </c>
      <c r="Z62" s="533">
        <f>+X64</f>
        <v>-725</v>
      </c>
      <c r="AA62" s="447">
        <f t="shared" si="11"/>
        <v>780</v>
      </c>
      <c r="AB62" s="343">
        <f>+AC62+AA62</f>
        <v>2460</v>
      </c>
      <c r="AC62" s="343">
        <v>1680</v>
      </c>
      <c r="AD62" s="344"/>
      <c r="AE62" s="345"/>
      <c r="AF62" s="346"/>
      <c r="AG62" s="347">
        <f t="shared" si="2"/>
        <v>0</v>
      </c>
      <c r="AH62" s="341">
        <f t="shared" si="3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0.9">
      <c r="B63" s="351">
        <v>13</v>
      </c>
      <c r="C63" s="406">
        <f>+B63</f>
        <v>13</v>
      </c>
      <c r="D63" s="407" t="s">
        <v>474</v>
      </c>
      <c r="E63" s="111"/>
      <c r="F63" s="111" t="s">
        <v>475</v>
      </c>
      <c r="G63" s="539" t="str">
        <f t="shared" ref="G63:G65" si="34">+G62</f>
        <v>Cheristina-blanc</v>
      </c>
      <c r="H63" s="111"/>
      <c r="I63" s="111" t="s">
        <v>477</v>
      </c>
      <c r="J63" s="113">
        <v>21.04</v>
      </c>
      <c r="K63" s="130">
        <v>140</v>
      </c>
      <c r="L63" s="101" t="s">
        <v>17</v>
      </c>
      <c r="M63" s="214">
        <v>70</v>
      </c>
      <c r="N63" s="214">
        <v>75</v>
      </c>
      <c r="O63" s="214">
        <v>75</v>
      </c>
      <c r="P63" s="214">
        <v>60</v>
      </c>
      <c r="Q63" s="214">
        <v>75</v>
      </c>
      <c r="R63" s="214">
        <v>80</v>
      </c>
      <c r="S63" s="214">
        <v>80</v>
      </c>
      <c r="T63" s="214">
        <v>80</v>
      </c>
      <c r="U63" s="214">
        <v>80</v>
      </c>
      <c r="V63" s="214">
        <v>80</v>
      </c>
      <c r="W63" s="214">
        <v>60</v>
      </c>
      <c r="X63" s="123">
        <f>+IF(H64="s",0,IF(AA63=0,0,IF(COUNTA(M63:W63)=AK65+0.25,SUMIF($C:$C,B63,$AA:$AA)/AK65,SUMIF($C:$C,B63,$AA:$AA)/(COUNTA(M63:W63)))))</f>
        <v>74.090909090909093</v>
      </c>
      <c r="Y63" s="466"/>
      <c r="Z63" s="534"/>
      <c r="AA63" s="134">
        <f t="shared" si="11"/>
        <v>815</v>
      </c>
      <c r="AB63" s="354">
        <f>+AA63+AC63</f>
        <v>1240</v>
      </c>
      <c r="AC63" s="354">
        <v>425</v>
      </c>
      <c r="AD63" s="355">
        <f>+AB62-AB63</f>
        <v>1220</v>
      </c>
      <c r="AE63" s="131">
        <f>+IF(((AA64+(AA65/2))*60)=0,"",(J63*AA63)/((AA64+(AA65/2))*60))</f>
        <v>0.47024818318935963</v>
      </c>
      <c r="AF63" s="347">
        <f>+AA64+AA65/2</f>
        <v>607.75</v>
      </c>
      <c r="AG63" s="347">
        <f t="shared" si="2"/>
        <v>607.45000000000005</v>
      </c>
      <c r="AH63" s="341">
        <f t="shared" si="3"/>
        <v>36465</v>
      </c>
      <c r="AI63" s="341">
        <f>+AA63*J63</f>
        <v>17147.599999999999</v>
      </c>
      <c r="AJ63" s="356">
        <f>+AA63-(AF63*K63/K65)</f>
        <v>-677.71929824561403</v>
      </c>
      <c r="AK63" s="348"/>
      <c r="AL63" s="349"/>
      <c r="AM63" s="341"/>
      <c r="AN63" s="341"/>
      <c r="AO63" s="341"/>
      <c r="AP63" s="341"/>
      <c r="AQ63" s="339">
        <f>-500+AA62</f>
        <v>280</v>
      </c>
      <c r="AR63" s="434">
        <v>1.5</v>
      </c>
      <c r="AT63" s="390">
        <v>1255</v>
      </c>
      <c r="AV63" s="390">
        <f t="shared" ref="AV63" si="35">+AT63-AD63</f>
        <v>35</v>
      </c>
    </row>
    <row r="64" spans="2:58" s="98" customFormat="1" ht="62.25" customHeight="1" x14ac:dyDescent="0.9">
      <c r="B64" s="357">
        <f>+B63</f>
        <v>13</v>
      </c>
      <c r="C64" s="408"/>
      <c r="D64" s="184"/>
      <c r="E64" s="111">
        <f>+B63</f>
        <v>13</v>
      </c>
      <c r="F64" s="409"/>
      <c r="G64" s="539" t="str">
        <f t="shared" si="34"/>
        <v>Cheristina-blanc</v>
      </c>
      <c r="H64" s="411" t="s">
        <v>413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48">
        <v>56</v>
      </c>
      <c r="N64" s="448">
        <v>56</v>
      </c>
      <c r="O64" s="448">
        <v>56</v>
      </c>
      <c r="P64" s="448">
        <v>56</v>
      </c>
      <c r="Q64" s="448">
        <v>56</v>
      </c>
      <c r="R64" s="448">
        <v>57</v>
      </c>
      <c r="S64" s="448">
        <v>57</v>
      </c>
      <c r="T64" s="448">
        <v>57</v>
      </c>
      <c r="U64" s="448">
        <v>57</v>
      </c>
      <c r="V64" s="448">
        <v>57</v>
      </c>
      <c r="W64" s="448">
        <v>57</v>
      </c>
      <c r="X64" s="160">
        <f>+IF(H64="l",IF(COUNTA(M63:W63)=AK65+0.25,AA63-K63*AK65,AA63-(K63*COUNTA(M63:W63))),IF(H64="s",0,IF(COUNTA(M63:W63)=AK65+0.25,SUMIF($C:$C,B63,$AA:$AA)-K63*AK65,SUMIF($C:$C,B63,$AA:$AA)-K63*COUNTA(M63:W63))))</f>
        <v>-725</v>
      </c>
      <c r="Y64" s="466"/>
      <c r="Z64" s="534"/>
      <c r="AA64" s="462">
        <f t="shared" si="14"/>
        <v>607.75</v>
      </c>
      <c r="AB64" s="360"/>
      <c r="AC64" s="360"/>
      <c r="AD64" s="362"/>
      <c r="AE64" s="363"/>
      <c r="AF64" s="346"/>
      <c r="AG64" s="347">
        <f t="shared" si="2"/>
        <v>0</v>
      </c>
      <c r="AH64" s="341">
        <f t="shared" si="3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493.75</v>
      </c>
      <c r="AM64" s="341">
        <f>+AL64-AA64</f>
        <v>-114</v>
      </c>
      <c r="AN64" s="341"/>
      <c r="AO64" s="341"/>
      <c r="AP64" s="341"/>
      <c r="AQ64" s="438"/>
      <c r="AR64" s="434"/>
      <c r="AT64" s="390"/>
      <c r="AV64" s="390"/>
    </row>
    <row r="65" spans="2:59" s="98" customFormat="1" ht="62.25" customHeight="1" thickBot="1" x14ac:dyDescent="0.95">
      <c r="B65" s="364">
        <f>+B63</f>
        <v>13</v>
      </c>
      <c r="C65" s="410"/>
      <c r="D65" s="174" t="s">
        <v>379</v>
      </c>
      <c r="E65" s="175">
        <f>+E64+100</f>
        <v>113</v>
      </c>
      <c r="F65" s="175"/>
      <c r="G65" s="539" t="str">
        <f t="shared" si="34"/>
        <v>Cheristina-blanc</v>
      </c>
      <c r="H65" s="117"/>
      <c r="I65" s="442"/>
      <c r="J65" s="165">
        <f>+IF(K65="","",IF(K63=0,"",(K63*J63)/(K65*60)))</f>
        <v>0.86128654970760232</v>
      </c>
      <c r="K65" s="118">
        <v>57</v>
      </c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>
        <v>20.483585714285713</v>
      </c>
      <c r="Z65" s="371">
        <f>+IF(COUNTA(M63:W63)=$AJ$4+0.25,$AJ$4-(AA63/K63),COUNTA(M63:W63)-(AA63/K63))+Y65</f>
        <v>25.66215714285714</v>
      </c>
      <c r="AA65" s="465">
        <f t="shared" si="14"/>
        <v>0</v>
      </c>
      <c r="AB65" s="367"/>
      <c r="AC65" s="367"/>
      <c r="AD65" s="368">
        <f>+IFERROR(AD63/(K63*$AQ$3),"")</f>
        <v>0.99591836734693873</v>
      </c>
      <c r="AE65" s="369"/>
      <c r="AF65" s="347"/>
      <c r="AG65" s="347">
        <f t="shared" si="2"/>
        <v>0</v>
      </c>
      <c r="AH65" s="341">
        <f t="shared" si="3"/>
        <v>0</v>
      </c>
      <c r="AI65" s="341"/>
      <c r="AJ65" s="356"/>
      <c r="AK65" s="370">
        <f>+$AJ$4</f>
        <v>8.75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>
        <v>1.0244897959183674</v>
      </c>
      <c r="AV65" s="390"/>
    </row>
    <row r="66" spans="2:59" s="98" customFormat="1" ht="58.5" customHeight="1" thickTop="1" x14ac:dyDescent="0.9">
      <c r="B66" s="373" t="str">
        <f>+B67</f>
        <v>14*</v>
      </c>
      <c r="C66" s="405"/>
      <c r="D66" s="106"/>
      <c r="E66" s="106"/>
      <c r="F66" s="106"/>
      <c r="G66" s="540" t="s">
        <v>429</v>
      </c>
      <c r="H66" s="106"/>
      <c r="I66" s="106"/>
      <c r="J66" s="107" t="s">
        <v>20</v>
      </c>
      <c r="K66" s="108" t="s">
        <v>23</v>
      </c>
      <c r="L66" s="100" t="s">
        <v>21</v>
      </c>
      <c r="M66" s="448"/>
      <c r="N66" s="448"/>
      <c r="O66" s="448"/>
      <c r="P66" s="448"/>
      <c r="Q66" s="448"/>
      <c r="R66" s="448"/>
      <c r="S66" s="448"/>
      <c r="T66" s="448"/>
      <c r="U66" s="448"/>
      <c r="V66" s="448"/>
      <c r="W66" s="448"/>
      <c r="X66" s="447" t="str">
        <f t="shared" si="10"/>
        <v/>
      </c>
      <c r="Y66" s="466">
        <v>0</v>
      </c>
      <c r="Z66" s="533">
        <f>+X68</f>
        <v>0</v>
      </c>
      <c r="AA66" s="447">
        <f t="shared" si="11"/>
        <v>0</v>
      </c>
      <c r="AB66" s="343">
        <f>+AC66+AA66</f>
        <v>5850</v>
      </c>
      <c r="AC66" s="343">
        <v>5850</v>
      </c>
      <c r="AD66" s="344"/>
      <c r="AE66" s="345"/>
      <c r="AF66" s="346"/>
      <c r="AG66" s="347">
        <f t="shared" si="2"/>
        <v>0</v>
      </c>
      <c r="AH66" s="341">
        <f t="shared" si="3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9" s="98" customFormat="1" ht="58.5" customHeight="1" x14ac:dyDescent="0.9">
      <c r="B67" s="374" t="s">
        <v>491</v>
      </c>
      <c r="C67" s="406" t="str">
        <f>+B67</f>
        <v>14*</v>
      </c>
      <c r="D67" s="407" t="s">
        <v>427</v>
      </c>
      <c r="E67" s="111"/>
      <c r="F67" s="111" t="s">
        <v>428</v>
      </c>
      <c r="G67" s="541" t="str">
        <f t="shared" ref="G67:G69" si="36">+G66</f>
        <v>NEGRONI-202942</v>
      </c>
      <c r="H67" s="111"/>
      <c r="I67" s="111" t="s">
        <v>430</v>
      </c>
      <c r="J67" s="113">
        <v>48.06</v>
      </c>
      <c r="K67" s="471">
        <v>44</v>
      </c>
      <c r="L67" s="101" t="s">
        <v>17</v>
      </c>
      <c r="M67" s="214">
        <v>6</v>
      </c>
      <c r="N67" s="214"/>
      <c r="O67" s="214"/>
      <c r="P67" s="214"/>
      <c r="Q67" s="214"/>
      <c r="R67" s="214"/>
      <c r="S67" s="214"/>
      <c r="T67" s="214"/>
      <c r="U67" s="214"/>
      <c r="V67" s="214"/>
      <c r="W67" s="214"/>
      <c r="X67" s="123">
        <f>+IF(H68="s",0,IF(AA67=0,0,IF(COUNTA(M67:W67)=AK69+0.25,SUMIF($C:$C,B67,$AA:$AA)/AK69,SUMIF($C:$C,B67,$AA:$AA)/(COUNTA(M67:W67)))))</f>
        <v>0</v>
      </c>
      <c r="Y67" s="466"/>
      <c r="Z67" s="534"/>
      <c r="AA67" s="134">
        <f t="shared" si="11"/>
        <v>6</v>
      </c>
      <c r="AB67" s="354">
        <f>+AA67+AC67</f>
        <v>5850</v>
      </c>
      <c r="AC67" s="354">
        <v>5844</v>
      </c>
      <c r="AD67" s="355">
        <f>+AB66-AB67</f>
        <v>0</v>
      </c>
      <c r="AE67" s="131">
        <f>+IF(((AA68+(AA69/2))*60)=0,"",(J67*AA67)/((AA68+(AA69/2))*60))</f>
        <v>4.806</v>
      </c>
      <c r="AF67" s="347">
        <f>+AA68+AA69/2</f>
        <v>1</v>
      </c>
      <c r="AG67" s="347">
        <f t="shared" si="2"/>
        <v>1</v>
      </c>
      <c r="AH67" s="341">
        <f t="shared" si="3"/>
        <v>60</v>
      </c>
      <c r="AI67" s="341">
        <f>+AA67*J67</f>
        <v>288.36</v>
      </c>
      <c r="AJ67" s="356">
        <f>+AA67-(AF67*K67/K69)</f>
        <v>5</v>
      </c>
      <c r="AK67" s="348"/>
      <c r="AL67" s="349"/>
      <c r="AM67" s="341"/>
      <c r="AN67" s="341"/>
      <c r="AO67" s="341"/>
      <c r="AP67" s="341"/>
      <c r="AQ67" s="339" t="str">
        <f t="shared" si="13"/>
        <v/>
      </c>
      <c r="AR67" s="434"/>
      <c r="AT67" s="390">
        <v>6</v>
      </c>
      <c r="AV67" s="390">
        <f t="shared" ref="AV67" si="37">+AT67-AD67</f>
        <v>6</v>
      </c>
    </row>
    <row r="68" spans="2:59" s="98" customFormat="1" ht="58.5" customHeight="1" x14ac:dyDescent="0.9">
      <c r="B68" s="357" t="str">
        <f>+B67</f>
        <v>14*</v>
      </c>
      <c r="C68" s="408"/>
      <c r="D68" s="184"/>
      <c r="E68" s="111" t="str">
        <f>+B67</f>
        <v>14*</v>
      </c>
      <c r="F68" s="409"/>
      <c r="G68" s="541" t="str">
        <f t="shared" si="36"/>
        <v>NEGRONI-202942</v>
      </c>
      <c r="H68" s="411" t="s">
        <v>414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48">
        <v>1</v>
      </c>
      <c r="N68" s="448"/>
      <c r="O68" s="448"/>
      <c r="P68" s="448"/>
      <c r="Q68" s="448"/>
      <c r="R68" s="448"/>
      <c r="S68" s="448"/>
      <c r="T68" s="448"/>
      <c r="U68" s="448"/>
      <c r="V68" s="448"/>
      <c r="W68" s="448"/>
      <c r="X68" s="160">
        <f>+IF(H68="l",IF(COUNTA(M67:W67)=AK69+0.25,AA67-K67*AK69,AA67-(K67*COUNTA(M67:W67))),IF(H68="s",0,IF(COUNTA(M67:W67)=AK69+0.25,SUMIF($C:$C,B67,$AA:$AA)-K67*AK69,SUMIF($C:$C,B67,$AA:$AA)-K67*COUNTA(M67:W67))))</f>
        <v>0</v>
      </c>
      <c r="Y68" s="466"/>
      <c r="Z68" s="534"/>
      <c r="AA68" s="462">
        <f t="shared" si="14"/>
        <v>1</v>
      </c>
      <c r="AB68" s="360"/>
      <c r="AC68" s="360"/>
      <c r="AD68" s="362"/>
      <c r="AE68" s="363"/>
      <c r="AF68" s="346"/>
      <c r="AG68" s="347">
        <f t="shared" si="2"/>
        <v>0</v>
      </c>
      <c r="AH68" s="341">
        <f t="shared" si="3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1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9" s="98" customFormat="1" ht="58.5" customHeight="1" thickBot="1" x14ac:dyDescent="0.95">
      <c r="B69" s="364" t="str">
        <f>+B67</f>
        <v>14*</v>
      </c>
      <c r="C69" s="410"/>
      <c r="D69" s="174" t="s">
        <v>112</v>
      </c>
      <c r="E69" s="175" t="e">
        <f>+E68+100</f>
        <v>#VALUE!</v>
      </c>
      <c r="F69" s="175"/>
      <c r="G69" s="542" t="str">
        <f t="shared" si="36"/>
        <v>NEGRONI-202942</v>
      </c>
      <c r="H69" s="117"/>
      <c r="I69" s="442"/>
      <c r="J69" s="165">
        <f>+IF(K69="","",IF(K67=0,"",(K67*J67)/(K69*60)))</f>
        <v>0.80100000000000016</v>
      </c>
      <c r="K69" s="471">
        <v>44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>
        <v>43.52</v>
      </c>
      <c r="Z69" s="365">
        <v>43.52</v>
      </c>
      <c r="AA69" s="465">
        <f t="shared" si="14"/>
        <v>0</v>
      </c>
      <c r="AB69" s="367"/>
      <c r="AC69" s="367"/>
      <c r="AD69" s="368">
        <f>+IFERROR(AD67/(K67*$AQ$3),"")</f>
        <v>0</v>
      </c>
      <c r="AE69" s="369"/>
      <c r="AF69" s="347"/>
      <c r="AG69" s="347">
        <f t="shared" si="2"/>
        <v>0</v>
      </c>
      <c r="AH69" s="341">
        <f t="shared" si="3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1.5584415584415584E-2</v>
      </c>
      <c r="AV69" s="390"/>
    </row>
    <row r="70" spans="2:59" s="98" customFormat="1" ht="58.5" customHeight="1" thickTop="1" x14ac:dyDescent="0.9">
      <c r="B70" s="373">
        <f>+B71</f>
        <v>14</v>
      </c>
      <c r="C70" s="405"/>
      <c r="D70" s="106"/>
      <c r="E70" s="106"/>
      <c r="F70" s="106"/>
      <c r="G70" s="540" t="s">
        <v>481</v>
      </c>
      <c r="H70" s="106"/>
      <c r="I70" s="106"/>
      <c r="J70" s="107" t="s">
        <v>20</v>
      </c>
      <c r="K70" s="108" t="s">
        <v>23</v>
      </c>
      <c r="L70" s="100" t="s">
        <v>21</v>
      </c>
      <c r="M70" s="448">
        <v>120</v>
      </c>
      <c r="N70" s="448">
        <v>180</v>
      </c>
      <c r="O70" s="448"/>
      <c r="P70" s="448">
        <v>120</v>
      </c>
      <c r="Q70" s="448"/>
      <c r="R70" s="448"/>
      <c r="S70" s="448"/>
      <c r="T70" s="448"/>
      <c r="U70" s="448"/>
      <c r="V70" s="448"/>
      <c r="W70" s="448"/>
      <c r="X70" s="447">
        <f t="shared" ref="X70:X86" si="38">IF(AQ71="","",SUM(M70:W70)-(-(AQ71-SUM(M70:W70))/$AQ$3)*SUM($M$2:$W$2))</f>
        <v>420</v>
      </c>
      <c r="Y70" s="466">
        <v>0</v>
      </c>
      <c r="Z70" s="533">
        <f>+X72</f>
        <v>0</v>
      </c>
      <c r="AA70" s="447">
        <f t="shared" ref="AA70:AA87" si="39">+SUM(L70:W70)</f>
        <v>420</v>
      </c>
      <c r="AB70" s="343">
        <f>+AC70+AA70</f>
        <v>2880</v>
      </c>
      <c r="AC70" s="343">
        <v>2460</v>
      </c>
      <c r="AD70" s="344"/>
      <c r="AE70" s="345"/>
      <c r="AF70" s="346"/>
      <c r="AG70" s="347">
        <f t="shared" si="2"/>
        <v>0</v>
      </c>
      <c r="AH70" s="341">
        <f t="shared" si="3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9" s="98" customFormat="1" ht="58.5" customHeight="1" x14ac:dyDescent="0.9">
      <c r="B71" s="374">
        <v>14</v>
      </c>
      <c r="C71" s="406">
        <f>+B71</f>
        <v>14</v>
      </c>
      <c r="D71" s="407" t="s">
        <v>480</v>
      </c>
      <c r="E71" s="111"/>
      <c r="F71" s="111" t="s">
        <v>35</v>
      </c>
      <c r="G71" s="541" t="str">
        <f t="shared" ref="G71:G73" si="40">+G70</f>
        <v>2396-593-600</v>
      </c>
      <c r="H71" s="111"/>
      <c r="I71" s="111" t="s">
        <v>33</v>
      </c>
      <c r="J71" s="113">
        <v>38.82</v>
      </c>
      <c r="K71" s="130">
        <v>60</v>
      </c>
      <c r="L71" s="101" t="s">
        <v>17</v>
      </c>
      <c r="M71" s="214">
        <v>60</v>
      </c>
      <c r="N71" s="214">
        <v>60</v>
      </c>
      <c r="O71" s="214">
        <v>60</v>
      </c>
      <c r="P71" s="214">
        <v>60</v>
      </c>
      <c r="Q71" s="214">
        <v>60</v>
      </c>
      <c r="R71" s="214">
        <v>60</v>
      </c>
      <c r="S71" s="214">
        <v>60</v>
      </c>
      <c r="T71" s="214">
        <v>60</v>
      </c>
      <c r="U71" s="214">
        <v>45</v>
      </c>
      <c r="V71" s="214"/>
      <c r="W71" s="214"/>
      <c r="X71" s="123">
        <f>+IF(H72="s",0,IF(AA71=0,0,IF(COUNTA(M71:W71)=AK73+0.25,SUMIF($C:$C,B71,$AA:$AA)/AK73,SUMIF($C:$C,B71,$AA:$AA)/(COUNTA(M71:W71)))))</f>
        <v>60</v>
      </c>
      <c r="Y71" s="466"/>
      <c r="Z71" s="534"/>
      <c r="AA71" s="134">
        <f t="shared" si="39"/>
        <v>525</v>
      </c>
      <c r="AB71" s="354">
        <f>+AA71+AC71</f>
        <v>2105</v>
      </c>
      <c r="AC71" s="354">
        <v>1580</v>
      </c>
      <c r="AD71" s="355">
        <f>+AB70-AB71</f>
        <v>775</v>
      </c>
      <c r="AE71" s="131">
        <f>+IF(((AA72+(AA73/2))*60)=0,"",(J71*AA71)/((AA72+(AA73/2))*60))</f>
        <v>0.9158746208291203</v>
      </c>
      <c r="AF71" s="347">
        <f>+AA72+AA73/2</f>
        <v>370.875</v>
      </c>
      <c r="AG71" s="347">
        <f t="shared" si="2"/>
        <v>370.52499999999998</v>
      </c>
      <c r="AH71" s="341">
        <f t="shared" si="3"/>
        <v>22252.5</v>
      </c>
      <c r="AI71" s="341">
        <f>+AA71*J71</f>
        <v>20380.5</v>
      </c>
      <c r="AJ71" s="356">
        <f>+AA71-(AF71*K71/K73)</f>
        <v>7.5</v>
      </c>
      <c r="AK71" s="348"/>
      <c r="AL71" s="349"/>
      <c r="AM71" s="341"/>
      <c r="AN71" s="341"/>
      <c r="AO71" s="341"/>
      <c r="AP71" s="341"/>
      <c r="AQ71" s="339">
        <f t="shared" si="13"/>
        <v>9.9999999999909051E-2</v>
      </c>
      <c r="AR71" s="434">
        <v>1.476</v>
      </c>
      <c r="AT71" s="390">
        <v>880</v>
      </c>
      <c r="AV71" s="390">
        <f t="shared" ref="AV71" si="41">+AT71-AD71</f>
        <v>105</v>
      </c>
    </row>
    <row r="72" spans="2:59" s="98" customFormat="1" ht="58.5" customHeight="1" x14ac:dyDescent="0.9">
      <c r="B72" s="357">
        <f>+B71</f>
        <v>14</v>
      </c>
      <c r="C72" s="408"/>
      <c r="D72" s="184"/>
      <c r="E72" s="111">
        <f>+B71</f>
        <v>14</v>
      </c>
      <c r="F72" s="409"/>
      <c r="G72" s="541" t="str">
        <f t="shared" si="40"/>
        <v>2396-593-600</v>
      </c>
      <c r="H72" s="411" t="s">
        <v>413</v>
      </c>
      <c r="I72" s="113">
        <f>+IFERROR(IF(K73=0,0,IF((LOOKUP(2,1/(M72:W72&lt;&gt;""),M72:W72)-K73)&lt;0,0,IF(K73=0,"",LOOKUP(2,1/(M72:W72&lt;&gt;""),M72:W72)-K73))),0)</f>
        <v>0</v>
      </c>
      <c r="J72" s="113">
        <v>2</v>
      </c>
      <c r="K72" s="114" t="s">
        <v>22</v>
      </c>
      <c r="L72" s="102" t="s">
        <v>18</v>
      </c>
      <c r="M72" s="448">
        <v>40</v>
      </c>
      <c r="N72" s="448">
        <v>41</v>
      </c>
      <c r="O72" s="448">
        <v>41</v>
      </c>
      <c r="P72" s="448">
        <v>41</v>
      </c>
      <c r="Q72" s="448">
        <v>41</v>
      </c>
      <c r="R72" s="448">
        <v>41</v>
      </c>
      <c r="S72" s="448">
        <v>41</v>
      </c>
      <c r="T72" s="448">
        <v>41</v>
      </c>
      <c r="U72" s="448">
        <v>41</v>
      </c>
      <c r="V72" s="448"/>
      <c r="W72" s="448"/>
      <c r="X72" s="160">
        <f>+IF(H72="l",IF(COUNTA(M71:W71)=AK73+0.25,AA71-K71*AK73,AA71-(K71*COUNTA(M71:W71))),IF(H72="s",0,IF(COUNTA(M71:W71)=AK73+0.25,SUMIF($C:$C,B71,$AA:$AA)-K71*AK73,SUMIF($C:$C,B71,$AA:$AA)-K71*COUNTA(M71:W71))))</f>
        <v>0</v>
      </c>
      <c r="Y72" s="466"/>
      <c r="Z72" s="534"/>
      <c r="AA72" s="462">
        <f t="shared" ref="AA72:AA89" si="42">+SUM(M72:W72)-U72*0.25</f>
        <v>357.75</v>
      </c>
      <c r="AB72" s="360"/>
      <c r="AC72" s="360"/>
      <c r="AD72" s="362"/>
      <c r="AE72" s="363"/>
      <c r="AF72" s="346"/>
      <c r="AG72" s="347">
        <f t="shared" si="2"/>
        <v>0</v>
      </c>
      <c r="AH72" s="341">
        <f t="shared" si="3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357.75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9" s="98" customFormat="1" ht="58.5" customHeight="1" thickBot="1" x14ac:dyDescent="0.95">
      <c r="B73" s="364">
        <f>+B71</f>
        <v>14</v>
      </c>
      <c r="C73" s="410"/>
      <c r="D73" s="174" t="s">
        <v>112</v>
      </c>
      <c r="E73" s="175">
        <f>+E72+100</f>
        <v>114</v>
      </c>
      <c r="F73" s="175"/>
      <c r="G73" s="542" t="str">
        <f t="shared" si="40"/>
        <v>2396-593-600</v>
      </c>
      <c r="H73" s="117"/>
      <c r="I73" s="442"/>
      <c r="J73" s="165">
        <f>+IF(K73="","",IF(K71=0,"",(K71*J71)/(K73*60)))</f>
        <v>0.90279069767441855</v>
      </c>
      <c r="K73" s="118">
        <v>43</v>
      </c>
      <c r="L73" s="104" t="s">
        <v>19</v>
      </c>
      <c r="M73" s="216">
        <v>3</v>
      </c>
      <c r="N73" s="216">
        <v>3</v>
      </c>
      <c r="O73" s="216">
        <v>3</v>
      </c>
      <c r="P73" s="216">
        <v>3</v>
      </c>
      <c r="Q73" s="216">
        <v>3</v>
      </c>
      <c r="R73" s="216">
        <v>3</v>
      </c>
      <c r="S73" s="216">
        <v>3</v>
      </c>
      <c r="T73" s="216">
        <v>3</v>
      </c>
      <c r="U73" s="216">
        <v>3</v>
      </c>
      <c r="V73" s="216"/>
      <c r="W73" s="216"/>
      <c r="X73" s="173"/>
      <c r="Y73" s="467">
        <v>10.166666666666668</v>
      </c>
      <c r="Z73" s="365">
        <v>10.166666666666668</v>
      </c>
      <c r="AA73" s="465">
        <f t="shared" si="42"/>
        <v>26.25</v>
      </c>
      <c r="AB73" s="367"/>
      <c r="AC73" s="367"/>
      <c r="AD73" s="368">
        <f>+IFERROR(AD71/(K71*$AQ$3),"")</f>
        <v>1.4761904761904763</v>
      </c>
      <c r="AE73" s="369"/>
      <c r="AF73" s="347"/>
      <c r="AG73" s="347">
        <f t="shared" si="2"/>
        <v>0</v>
      </c>
      <c r="AH73" s="341">
        <f t="shared" si="3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26.25</v>
      </c>
      <c r="AM73" s="341">
        <f>+AL73-AA73</f>
        <v>0</v>
      </c>
      <c r="AN73" s="341"/>
      <c r="AO73" s="341"/>
      <c r="AP73" s="341"/>
      <c r="AQ73" s="369"/>
      <c r="AR73" s="434"/>
      <c r="AT73" s="390">
        <v>1.6761904761904762</v>
      </c>
      <c r="AV73" s="390"/>
    </row>
    <row r="74" spans="2:59" s="98" customFormat="1" ht="62.25" customHeight="1" thickTop="1" x14ac:dyDescent="0.9">
      <c r="B74" s="342">
        <f>+B75</f>
        <v>15</v>
      </c>
      <c r="C74" s="405"/>
      <c r="D74" s="106"/>
      <c r="E74" s="106"/>
      <c r="F74" s="106"/>
      <c r="G74" s="540" t="s">
        <v>486</v>
      </c>
      <c r="H74" s="106"/>
      <c r="I74" s="106"/>
      <c r="J74" s="107" t="s">
        <v>20</v>
      </c>
      <c r="K74" s="108" t="s">
        <v>23</v>
      </c>
      <c r="L74" s="100" t="s">
        <v>21</v>
      </c>
      <c r="M74" s="448">
        <v>140</v>
      </c>
      <c r="N74" s="448">
        <v>140</v>
      </c>
      <c r="O74" s="448">
        <v>140</v>
      </c>
      <c r="P74" s="448">
        <v>140</v>
      </c>
      <c r="Q74" s="448">
        <v>70</v>
      </c>
      <c r="R74" s="448">
        <v>70</v>
      </c>
      <c r="S74" s="448"/>
      <c r="T74" s="448"/>
      <c r="U74" s="448"/>
      <c r="V74" s="448"/>
      <c r="W74" s="448"/>
      <c r="X74" s="447">
        <f t="shared" si="38"/>
        <v>700</v>
      </c>
      <c r="Y74" s="466">
        <v>-570</v>
      </c>
      <c r="Z74" s="533">
        <f>+X76</f>
        <v>-280</v>
      </c>
      <c r="AA74" s="447">
        <f t="shared" si="39"/>
        <v>700</v>
      </c>
      <c r="AB74" s="343">
        <f>+AC74+AA74</f>
        <v>2513</v>
      </c>
      <c r="AC74" s="343">
        <v>1813</v>
      </c>
      <c r="AD74" s="344"/>
      <c r="AE74" s="345"/>
      <c r="AF74" s="346"/>
      <c r="AG74" s="347">
        <f t="shared" si="2"/>
        <v>0</v>
      </c>
      <c r="AH74" s="341">
        <f t="shared" si="3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9" s="98" customFormat="1" ht="62.25" customHeight="1" x14ac:dyDescent="1.35">
      <c r="B75" s="351">
        <v>15</v>
      </c>
      <c r="C75" s="406">
        <f>+B75</f>
        <v>15</v>
      </c>
      <c r="D75" s="407" t="s">
        <v>485</v>
      </c>
      <c r="E75" s="111"/>
      <c r="F75" s="111" t="s">
        <v>475</v>
      </c>
      <c r="G75" s="541" t="str">
        <f>+G74</f>
        <v>SARAH</v>
      </c>
      <c r="H75" s="111"/>
      <c r="I75" s="111" t="s">
        <v>487</v>
      </c>
      <c r="J75" s="113">
        <v>27.55</v>
      </c>
      <c r="K75" s="130">
        <v>100</v>
      </c>
      <c r="L75" s="101" t="s">
        <v>17</v>
      </c>
      <c r="M75" s="214">
        <v>63</v>
      </c>
      <c r="N75" s="214">
        <v>70</v>
      </c>
      <c r="O75" s="214">
        <v>70</v>
      </c>
      <c r="P75" s="214">
        <v>72</v>
      </c>
      <c r="Q75" s="214">
        <v>70</v>
      </c>
      <c r="R75" s="214">
        <v>70</v>
      </c>
      <c r="S75" s="214">
        <v>70</v>
      </c>
      <c r="T75" s="214">
        <v>70</v>
      </c>
      <c r="U75" s="214">
        <v>40</v>
      </c>
      <c r="V75" s="214"/>
      <c r="W75" s="214"/>
      <c r="X75" s="123">
        <f>+IF(H76="s",0,IF(AA75=0,0,IF(COUNTA(M75:W75)=AK77+0.25,SUMIF($C:$C,B75,$AA:$AA)/AK77,SUMIF($C:$C,B75,$AA:$AA)/(COUNTA(M75:W75)))))</f>
        <v>68</v>
      </c>
      <c r="Y75" s="466"/>
      <c r="Z75" s="534"/>
      <c r="AA75" s="134">
        <f t="shared" si="39"/>
        <v>595</v>
      </c>
      <c r="AB75" s="354">
        <f>+AA75+AC75</f>
        <v>900</v>
      </c>
      <c r="AC75" s="354">
        <v>305</v>
      </c>
      <c r="AD75" s="355">
        <f>+AB74-AB75</f>
        <v>1613</v>
      </c>
      <c r="AE75" s="131">
        <f>+IF(((AA76+(AA77/2))*60)=0,"",(J75*AA75)/((AA76+(AA77/2))*60))</f>
        <v>0.55755952380952378</v>
      </c>
      <c r="AF75" s="347">
        <f>+AA76+AA77/2</f>
        <v>490</v>
      </c>
      <c r="AG75" s="347">
        <f t="shared" si="2"/>
        <v>490</v>
      </c>
      <c r="AH75" s="341">
        <f t="shared" si="3"/>
        <v>29400</v>
      </c>
      <c r="AI75" s="341">
        <f>+AA75*J75</f>
        <v>16392.25</v>
      </c>
      <c r="AJ75" s="356">
        <f>+AA75-(AF75*K75/K77)</f>
        <v>-280</v>
      </c>
      <c r="AK75" s="348"/>
      <c r="AL75" s="349"/>
      <c r="AM75" s="341"/>
      <c r="AN75" s="341"/>
      <c r="AO75" s="341"/>
      <c r="AP75" s="341"/>
      <c r="AQ75" s="339">
        <f t="shared" si="13"/>
        <v>20.5</v>
      </c>
      <c r="AR75" s="434">
        <v>1.5</v>
      </c>
      <c r="AT75" s="390">
        <v>1508</v>
      </c>
      <c r="AV75" s="390">
        <f t="shared" ref="AV75" si="43">+AT75-AD75</f>
        <v>-105</v>
      </c>
      <c r="AW75" s="535"/>
      <c r="AX75" s="535"/>
      <c r="AY75" s="535"/>
      <c r="AZ75" s="535"/>
      <c r="BA75" s="535"/>
      <c r="BB75" s="535"/>
      <c r="BC75" s="535"/>
      <c r="BD75" s="535"/>
      <c r="BE75" s="535"/>
      <c r="BF75" s="535"/>
    </row>
    <row r="76" spans="2:59" s="98" customFormat="1" ht="62.25" customHeight="1" x14ac:dyDescent="0.9">
      <c r="B76" s="357">
        <f>+B75</f>
        <v>15</v>
      </c>
      <c r="C76" s="408"/>
      <c r="D76" s="184"/>
      <c r="E76" s="111">
        <f>+B75</f>
        <v>15</v>
      </c>
      <c r="F76" s="412"/>
      <c r="G76" s="541" t="str">
        <f>+G74</f>
        <v>SARAH</v>
      </c>
      <c r="H76" s="411" t="s">
        <v>412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48">
        <v>55</v>
      </c>
      <c r="N76" s="448">
        <v>55</v>
      </c>
      <c r="O76" s="448">
        <v>55</v>
      </c>
      <c r="P76" s="448">
        <v>55</v>
      </c>
      <c r="Q76" s="448">
        <v>55</v>
      </c>
      <c r="R76" s="448">
        <v>55</v>
      </c>
      <c r="S76" s="448">
        <v>55</v>
      </c>
      <c r="T76" s="448">
        <v>55</v>
      </c>
      <c r="U76" s="448">
        <v>55</v>
      </c>
      <c r="V76" s="448"/>
      <c r="W76" s="448"/>
      <c r="X76" s="160">
        <f>+IF(H76="l",IF(COUNTA(M75:W75)=AK77+0.25,AA75-K75*AK77,AA75-(K75*COUNTA(M75:W75))),IF(H76="s",0,IF(COUNTA(M75:W75)=AK77+0.25,SUMIF($C:$C,B75,$AA:$AA)-K75*AK77,SUMIF($C:$C,B75,$AA:$AA)-K75*COUNTA(M75:W75))))</f>
        <v>-280</v>
      </c>
      <c r="Y76" s="466"/>
      <c r="Z76" s="534"/>
      <c r="AA76" s="462">
        <f t="shared" si="42"/>
        <v>481.25</v>
      </c>
      <c r="AB76" s="360"/>
      <c r="AC76" s="360"/>
      <c r="AD76" s="362"/>
      <c r="AE76" s="363"/>
      <c r="AF76" s="346"/>
      <c r="AG76" s="347">
        <f t="shared" si="2"/>
        <v>0</v>
      </c>
      <c r="AH76" s="341">
        <f t="shared" si="3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481.25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9" s="98" customFormat="1" ht="62.25" customHeight="1" thickBot="1" x14ac:dyDescent="0.95">
      <c r="B77" s="364">
        <f>+B75</f>
        <v>15</v>
      </c>
      <c r="C77" s="410"/>
      <c r="D77" s="174" t="s">
        <v>93</v>
      </c>
      <c r="E77" s="175">
        <f>+E76+100</f>
        <v>115</v>
      </c>
      <c r="F77" s="175"/>
      <c r="G77" s="542" t="str">
        <f>+G74</f>
        <v>SARAH</v>
      </c>
      <c r="H77" s="117"/>
      <c r="I77" s="442"/>
      <c r="J77" s="165">
        <f>+IF(K77="","",IF(K75=0,"",(K75*J75)/(K77*60)))</f>
        <v>0.81994047619047616</v>
      </c>
      <c r="K77" s="118">
        <v>56</v>
      </c>
      <c r="L77" s="104" t="s">
        <v>19</v>
      </c>
      <c r="M77" s="216">
        <v>2</v>
      </c>
      <c r="N77" s="216">
        <v>2</v>
      </c>
      <c r="O77" s="216">
        <v>2</v>
      </c>
      <c r="P77" s="216">
        <v>2</v>
      </c>
      <c r="Q77" s="216">
        <v>2</v>
      </c>
      <c r="R77" s="216">
        <v>2</v>
      </c>
      <c r="S77" s="216">
        <v>2</v>
      </c>
      <c r="T77" s="216">
        <v>2</v>
      </c>
      <c r="U77" s="216">
        <v>2</v>
      </c>
      <c r="V77" s="216"/>
      <c r="W77" s="216"/>
      <c r="X77" s="173"/>
      <c r="Y77" s="467">
        <v>18.1828</v>
      </c>
      <c r="Z77" s="371">
        <f>+IF(COUNTA(M75:W75)=$AJ$4+0.25,$AJ$4-(AA75/K75),COUNTA(M75:W75)-(AA75/K75))+Y77</f>
        <v>20.982800000000001</v>
      </c>
      <c r="AA77" s="465">
        <f t="shared" si="42"/>
        <v>17.5</v>
      </c>
      <c r="AB77" s="367"/>
      <c r="AC77" s="367"/>
      <c r="AD77" s="368">
        <f>+IFERROR(AD75/(K75*$AQ$3),"")</f>
        <v>1.8434285714285714</v>
      </c>
      <c r="AE77" s="369"/>
      <c r="AF77" s="347"/>
      <c r="AG77" s="347">
        <f t="shared" si="2"/>
        <v>0</v>
      </c>
      <c r="AH77" s="341">
        <f t="shared" si="3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17.5</v>
      </c>
      <c r="AM77" s="341">
        <f>+AL77-AA77</f>
        <v>0</v>
      </c>
      <c r="AN77" s="341"/>
      <c r="AO77" s="341"/>
      <c r="AP77" s="341"/>
      <c r="AQ77" s="369"/>
      <c r="AR77" s="434"/>
      <c r="AT77" s="390">
        <v>1.7234285714285715</v>
      </c>
      <c r="AV77" s="390"/>
    </row>
    <row r="78" spans="2:59" s="98" customFormat="1" ht="62.25" customHeight="1" thickTop="1" x14ac:dyDescent="0.9">
      <c r="B78" s="373">
        <f>+B79</f>
        <v>16</v>
      </c>
      <c r="C78" s="405"/>
      <c r="D78" s="106"/>
      <c r="E78" s="106"/>
      <c r="F78" s="106"/>
      <c r="G78" s="540" t="s">
        <v>476</v>
      </c>
      <c r="H78" s="106"/>
      <c r="I78" s="106"/>
      <c r="J78" s="107" t="s">
        <v>20</v>
      </c>
      <c r="K78" s="108" t="s">
        <v>23</v>
      </c>
      <c r="L78" s="100" t="s">
        <v>21</v>
      </c>
      <c r="M78" s="448">
        <v>180</v>
      </c>
      <c r="N78" s="448">
        <v>240</v>
      </c>
      <c r="O78" s="448"/>
      <c r="P78" s="448"/>
      <c r="Q78" s="448">
        <v>120</v>
      </c>
      <c r="R78" s="448">
        <v>120</v>
      </c>
      <c r="S78" s="448"/>
      <c r="T78" s="448">
        <v>120</v>
      </c>
      <c r="U78" s="448"/>
      <c r="V78" s="448"/>
      <c r="W78" s="448"/>
      <c r="X78" s="447">
        <f t="shared" si="38"/>
        <v>780</v>
      </c>
      <c r="Y78" s="466">
        <v>-573</v>
      </c>
      <c r="Z78" s="533">
        <f>+X80</f>
        <v>-559</v>
      </c>
      <c r="AA78" s="447">
        <f t="shared" si="39"/>
        <v>780</v>
      </c>
      <c r="AB78" s="343">
        <f>+AC78+AA78</f>
        <v>6180</v>
      </c>
      <c r="AC78" s="343">
        <v>5400</v>
      </c>
      <c r="AD78" s="344"/>
      <c r="AE78" s="345"/>
      <c r="AF78" s="346"/>
      <c r="AG78" s="347">
        <f t="shared" si="2"/>
        <v>0</v>
      </c>
      <c r="AH78" s="341">
        <f t="shared" si="3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9" s="98" customFormat="1" ht="62.25" customHeight="1" x14ac:dyDescent="0.9">
      <c r="B79" s="374">
        <v>16</v>
      </c>
      <c r="C79" s="406">
        <f>+B79</f>
        <v>16</v>
      </c>
      <c r="D79" s="407" t="s">
        <v>474</v>
      </c>
      <c r="E79" s="111"/>
      <c r="F79" s="111" t="s">
        <v>475</v>
      </c>
      <c r="G79" s="541" t="str">
        <f t="shared" ref="G79:G81" si="44">+G78</f>
        <v>Cheristina-blanc</v>
      </c>
      <c r="H79" s="111"/>
      <c r="I79" s="111" t="s">
        <v>477</v>
      </c>
      <c r="J79" s="113">
        <v>21.04</v>
      </c>
      <c r="K79" s="130">
        <v>140</v>
      </c>
      <c r="L79" s="101" t="s">
        <v>17</v>
      </c>
      <c r="M79" s="214">
        <v>80</v>
      </c>
      <c r="N79" s="214">
        <v>90</v>
      </c>
      <c r="O79" s="214">
        <v>75</v>
      </c>
      <c r="P79" s="214">
        <v>65</v>
      </c>
      <c r="Q79" s="214">
        <v>100</v>
      </c>
      <c r="R79" s="214">
        <v>100</v>
      </c>
      <c r="S79" s="214">
        <v>100</v>
      </c>
      <c r="T79" s="214">
        <v>100</v>
      </c>
      <c r="U79" s="214">
        <v>100</v>
      </c>
      <c r="V79" s="214">
        <v>100</v>
      </c>
      <c r="W79" s="214">
        <v>71</v>
      </c>
      <c r="X79" s="123">
        <f>+IF(H80="s",0,IF(AA79=0,0,IF(COUNTA(M79:W79)=AK81+0.25,SUMIF($C:$C,B79,$AA:$AA)/AK81,SUMIF($C:$C,B79,$AA:$AA)/(COUNTA(M79:W79)))))</f>
        <v>89.181818181818187</v>
      </c>
      <c r="Y79" s="466"/>
      <c r="Z79" s="534"/>
      <c r="AA79" s="134">
        <f t="shared" si="39"/>
        <v>981</v>
      </c>
      <c r="AB79" s="354">
        <f>+AA79+AC79</f>
        <v>4629</v>
      </c>
      <c r="AC79" s="354">
        <v>3648</v>
      </c>
      <c r="AD79" s="355">
        <f>+AB78-AB79</f>
        <v>1551</v>
      </c>
      <c r="AE79" s="131">
        <f>+IF(((AA80+(AA81/2))*60)=0,"",(J79*AA79)/((AA80+(AA81/2))*60))</f>
        <v>0.55173055332798715</v>
      </c>
      <c r="AF79" s="347">
        <f>+AA80+AA81/2</f>
        <v>623.5</v>
      </c>
      <c r="AG79" s="347">
        <f t="shared" si="2"/>
        <v>623.29999999999995</v>
      </c>
      <c r="AH79" s="341">
        <f t="shared" si="3"/>
        <v>37410</v>
      </c>
      <c r="AI79" s="341">
        <f>+AA79*J79</f>
        <v>20640.239999999998</v>
      </c>
      <c r="AJ79" s="356">
        <f>+AA79-(AF79*K79/K81)</f>
        <v>-524</v>
      </c>
      <c r="AK79" s="348"/>
      <c r="AL79" s="349"/>
      <c r="AM79" s="341"/>
      <c r="AN79" s="341"/>
      <c r="AO79" s="341"/>
      <c r="AP79" s="341"/>
      <c r="AQ79" s="339">
        <f>-780+AA78</f>
        <v>0</v>
      </c>
      <c r="AR79" s="434">
        <v>1.5</v>
      </c>
      <c r="AT79" s="390">
        <v>1752</v>
      </c>
      <c r="AV79" s="390">
        <f t="shared" ref="AV79" si="45">+AT79-AD79</f>
        <v>201</v>
      </c>
      <c r="AW79" s="536"/>
      <c r="AX79" s="536"/>
      <c r="AY79" s="536"/>
      <c r="AZ79" s="536"/>
      <c r="BA79" s="536"/>
      <c r="BB79" s="536"/>
      <c r="BC79" s="536"/>
      <c r="BD79" s="536"/>
      <c r="BE79" s="536"/>
      <c r="BF79" s="536"/>
      <c r="BG79" s="536"/>
    </row>
    <row r="80" spans="2:59" s="98" customFormat="1" ht="62.25" customHeight="1" x14ac:dyDescent="0.9">
      <c r="B80" s="357">
        <f>+B79</f>
        <v>16</v>
      </c>
      <c r="C80" s="408"/>
      <c r="D80" s="184"/>
      <c r="E80" s="111">
        <f>+B79</f>
        <v>16</v>
      </c>
      <c r="F80" s="409"/>
      <c r="G80" s="541" t="str">
        <f t="shared" si="44"/>
        <v>Cheristina-blanc</v>
      </c>
      <c r="H80" s="411" t="s">
        <v>413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48">
        <v>58</v>
      </c>
      <c r="N80" s="448">
        <v>58</v>
      </c>
      <c r="O80" s="448">
        <v>58</v>
      </c>
      <c r="P80" s="448">
        <v>58</v>
      </c>
      <c r="Q80" s="448">
        <v>58</v>
      </c>
      <c r="R80" s="448">
        <v>58</v>
      </c>
      <c r="S80" s="448">
        <v>58</v>
      </c>
      <c r="T80" s="448">
        <v>58</v>
      </c>
      <c r="U80" s="448">
        <v>58</v>
      </c>
      <c r="V80" s="448">
        <v>58</v>
      </c>
      <c r="W80" s="448">
        <v>58</v>
      </c>
      <c r="X80" s="160">
        <f>+IF(H80="l",IF(COUNTA(M79:W79)=AK81+0.25,AA79-K79*AK81,AA79-(K79*COUNTA(M79:W79))),IF(H80="s",0,IF(COUNTA(M79:W79)=AK81+0.25,SUMIF($C:$C,B79,$AA:$AA)-K79*AK81,SUMIF($C:$C,B79,$AA:$AA)-K79*COUNTA(M79:W79))))</f>
        <v>-559</v>
      </c>
      <c r="Y80" s="466"/>
      <c r="Z80" s="534"/>
      <c r="AA80" s="462">
        <f t="shared" si="42"/>
        <v>623.5</v>
      </c>
      <c r="AB80" s="360"/>
      <c r="AC80" s="360"/>
      <c r="AD80" s="362"/>
      <c r="AE80" s="363"/>
      <c r="AF80" s="346"/>
      <c r="AG80" s="347">
        <f t="shared" si="2"/>
        <v>0</v>
      </c>
      <c r="AH80" s="341">
        <f t="shared" si="3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507.5</v>
      </c>
      <c r="AM80" s="341">
        <f>+AL80-AA80</f>
        <v>-116</v>
      </c>
      <c r="AN80" s="341"/>
      <c r="AO80" s="341"/>
      <c r="AP80" s="341"/>
      <c r="AQ80" s="438"/>
      <c r="AR80" s="434"/>
      <c r="AT80" s="390"/>
      <c r="AV80" s="390"/>
    </row>
    <row r="81" spans="2:48" s="98" customFormat="1" ht="62.25" customHeight="1" thickBot="1" x14ac:dyDescent="0.95">
      <c r="B81" s="375">
        <f>+B79</f>
        <v>16</v>
      </c>
      <c r="C81" s="410"/>
      <c r="D81" s="413" t="s">
        <v>152</v>
      </c>
      <c r="E81" s="175">
        <f>+E80+100</f>
        <v>116</v>
      </c>
      <c r="F81" s="175"/>
      <c r="G81" s="542" t="str">
        <f t="shared" si="44"/>
        <v>Cheristina-blanc</v>
      </c>
      <c r="H81" s="117"/>
      <c r="I81" s="442"/>
      <c r="J81" s="165">
        <f>+IF(K81="","",IF(K79=0,"",(K79*J79)/(K81*60)))</f>
        <v>0.84643678160919533</v>
      </c>
      <c r="K81" s="118">
        <v>58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>
        <v>44.695714285714281</v>
      </c>
      <c r="Z81" s="371">
        <f>+IF(COUNTA(M79:W79)=$AJ$4+0.25,$AJ$4-(AA79/K79),COUNTA(M79:W79)-(AA79/K79))+Y81</f>
        <v>48.688571428571422</v>
      </c>
      <c r="AA81" s="465">
        <f t="shared" si="42"/>
        <v>0</v>
      </c>
      <c r="AB81" s="367"/>
      <c r="AC81" s="367"/>
      <c r="AD81" s="368">
        <f>+IFERROR(AD79/(K79*$AQ$3),"")</f>
        <v>1.2661224489795919</v>
      </c>
      <c r="AE81" s="369"/>
      <c r="AF81" s="347"/>
      <c r="AG81" s="347">
        <f t="shared" si="2"/>
        <v>0</v>
      </c>
      <c r="AH81" s="341">
        <f t="shared" si="3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1.4302040816326531</v>
      </c>
      <c r="AV81" s="390"/>
    </row>
    <row r="82" spans="2:48" s="98" customFormat="1" ht="62.25" customHeight="1" thickTop="1" x14ac:dyDescent="0.9">
      <c r="B82" s="342">
        <f>+B83</f>
        <v>17</v>
      </c>
      <c r="C82" s="405"/>
      <c r="D82" s="106"/>
      <c r="E82" s="106"/>
      <c r="F82" s="106"/>
      <c r="G82" s="539" t="s">
        <v>442</v>
      </c>
      <c r="H82" s="106"/>
      <c r="I82" s="111"/>
      <c r="J82" s="107" t="s">
        <v>20</v>
      </c>
      <c r="K82" s="108" t="s">
        <v>23</v>
      </c>
      <c r="L82" s="100" t="s">
        <v>21</v>
      </c>
      <c r="M82" s="448">
        <v>60</v>
      </c>
      <c r="N82" s="448">
        <v>120</v>
      </c>
      <c r="O82" s="448">
        <v>120</v>
      </c>
      <c r="P82" s="448">
        <v>120</v>
      </c>
      <c r="Q82" s="448">
        <v>180</v>
      </c>
      <c r="R82" s="448"/>
      <c r="S82" s="448"/>
      <c r="T82" s="448"/>
      <c r="U82" s="448"/>
      <c r="V82" s="448"/>
      <c r="W82" s="448"/>
      <c r="X82" s="447">
        <f t="shared" si="38"/>
        <v>600</v>
      </c>
      <c r="Y82" s="466">
        <v>0.25</v>
      </c>
      <c r="Z82" s="533">
        <f>+X84</f>
        <v>-139.75</v>
      </c>
      <c r="AA82" s="447">
        <f t="shared" si="39"/>
        <v>600</v>
      </c>
      <c r="AB82" s="343">
        <f>+AC82+AA82</f>
        <v>4140</v>
      </c>
      <c r="AC82" s="343">
        <v>3540</v>
      </c>
      <c r="AD82" s="344"/>
      <c r="AE82" s="345"/>
      <c r="AF82" s="346"/>
      <c r="AG82" s="347">
        <f t="shared" ref="AG82:AG89" si="46">TRUNC(AF82)+(AF82-TRUNC(AF82))*60/100</f>
        <v>0</v>
      </c>
      <c r="AH82" s="341">
        <f t="shared" ref="AH82:AH89" si="47">+AF82*60</f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48" s="98" customFormat="1" ht="62.25" customHeight="1" x14ac:dyDescent="0.9">
      <c r="B83" s="351">
        <v>17</v>
      </c>
      <c r="C83" s="406">
        <f>+B83</f>
        <v>17</v>
      </c>
      <c r="D83" s="407" t="s">
        <v>441</v>
      </c>
      <c r="E83" s="111"/>
      <c r="F83" s="111" t="s">
        <v>35</v>
      </c>
      <c r="G83" s="539" t="str">
        <f t="shared" ref="G83:G85" si="48">+G82</f>
        <v>2259-600-730</v>
      </c>
      <c r="H83" s="111"/>
      <c r="I83" s="111" t="s">
        <v>33</v>
      </c>
      <c r="J83" s="113">
        <v>34.450000000000003</v>
      </c>
      <c r="K83" s="130">
        <v>61</v>
      </c>
      <c r="L83" s="101" t="s">
        <v>17</v>
      </c>
      <c r="M83" s="214">
        <v>29</v>
      </c>
      <c r="N83" s="214">
        <v>61</v>
      </c>
      <c r="O83" s="214">
        <v>40</v>
      </c>
      <c r="P83" s="214">
        <v>55</v>
      </c>
      <c r="Q83" s="214">
        <v>40</v>
      </c>
      <c r="R83" s="214">
        <v>41</v>
      </c>
      <c r="S83" s="214">
        <v>50</v>
      </c>
      <c r="T83" s="214">
        <v>33</v>
      </c>
      <c r="U83" s="214">
        <v>45</v>
      </c>
      <c r="V83" s="214"/>
      <c r="W83" s="214"/>
      <c r="X83" s="123">
        <f>+IF(H84="s",0,IF(AA83=0,0,IF(COUNTA(M83:W83)=AK85+0.25,SUMIF($C:$C,B83,$AA:$AA)/AK85,SUMIF($C:$C,B83,$AA:$AA)/(COUNTA(M83:W83)))))</f>
        <v>45.028571428571432</v>
      </c>
      <c r="Y83" s="466"/>
      <c r="Z83" s="534"/>
      <c r="AA83" s="134">
        <f t="shared" si="39"/>
        <v>394</v>
      </c>
      <c r="AB83" s="354">
        <f>+AA83+AC83</f>
        <v>3170</v>
      </c>
      <c r="AC83" s="354">
        <v>2776</v>
      </c>
      <c r="AD83" s="355">
        <f>+AB82-AB83</f>
        <v>970</v>
      </c>
      <c r="AE83" s="131">
        <f>+IF(((AA84+(AA85/2))*60)=0,"",(J83*AA83)/((AA84+(AA85/2))*60))</f>
        <v>0.66682878899533293</v>
      </c>
      <c r="AF83" s="347">
        <f>+AA84+AA85/2</f>
        <v>339.25</v>
      </c>
      <c r="AG83" s="347">
        <f t="shared" si="46"/>
        <v>339.15</v>
      </c>
      <c r="AH83" s="341">
        <f t="shared" si="47"/>
        <v>20355</v>
      </c>
      <c r="AI83" s="341">
        <f>+AA83*J83</f>
        <v>13573.300000000001</v>
      </c>
      <c r="AJ83" s="356">
        <f>+AA83-(AF83*K83/K85)</f>
        <v>-150.58552631578948</v>
      </c>
      <c r="AK83" s="348"/>
      <c r="AL83" s="349"/>
      <c r="AM83" s="341"/>
      <c r="AN83" s="341"/>
      <c r="AO83" s="341"/>
      <c r="AP83" s="341"/>
      <c r="AQ83" s="339">
        <f t="shared" ref="AQ83:AQ87" si="49">IF(AR83=0,"",AT83-(($AQ$3*K83)+($AQ$3*K83)*AR83)+AA82)</f>
        <v>29.625</v>
      </c>
      <c r="AR83" s="434">
        <v>1.5</v>
      </c>
      <c r="AT83" s="390">
        <v>764</v>
      </c>
      <c r="AV83" s="390">
        <f t="shared" ref="AV83" si="50">+AT83-AD83</f>
        <v>-206</v>
      </c>
    </row>
    <row r="84" spans="2:48" s="98" customFormat="1" ht="62.25" customHeight="1" x14ac:dyDescent="0.9">
      <c r="B84" s="357">
        <f>+B83</f>
        <v>17</v>
      </c>
      <c r="C84" s="408"/>
      <c r="D84" s="184"/>
      <c r="E84" s="111">
        <f>+B83</f>
        <v>17</v>
      </c>
      <c r="F84" s="409"/>
      <c r="G84" s="539" t="str">
        <f t="shared" si="48"/>
        <v>2259-600-730</v>
      </c>
      <c r="H84" s="411" t="s">
        <v>413</v>
      </c>
      <c r="I84" s="113">
        <f>+IFERROR(IF(K85=0,0,IF((LOOKUP(2,1/(M84:W84&lt;&gt;""),M84:W84)-K85)&lt;0,0,IF(K85=0,"",LOOKUP(2,1/(M84:W84&lt;&gt;""),M84:W84)-K85))),0)</f>
        <v>1</v>
      </c>
      <c r="J84" s="113">
        <v>0</v>
      </c>
      <c r="K84" s="114" t="s">
        <v>22</v>
      </c>
      <c r="L84" s="102" t="s">
        <v>18</v>
      </c>
      <c r="M84" s="448">
        <v>37</v>
      </c>
      <c r="N84" s="448">
        <v>39</v>
      </c>
      <c r="O84" s="448">
        <v>39</v>
      </c>
      <c r="P84" s="448">
        <v>39</v>
      </c>
      <c r="Q84" s="448">
        <v>39</v>
      </c>
      <c r="R84" s="448">
        <v>39</v>
      </c>
      <c r="S84" s="448">
        <v>39</v>
      </c>
      <c r="T84" s="448">
        <v>39</v>
      </c>
      <c r="U84" s="448">
        <v>39</v>
      </c>
      <c r="V84" s="448"/>
      <c r="W84" s="448"/>
      <c r="X84" s="160">
        <f>+IF(H84="l",IF(COUNTA(M83:W83)=AK85+0.25,AA83-K83*AK85,AA83-(K83*COUNTA(M83:W83))),IF(H84="s",0,IF(COUNTA(M83:W83)=AK85+0.25,SUMIF($C:$C,B83,$AA:$AA)-K83*AK85,SUMIF($C:$C,B83,$AA:$AA)-K83*COUNTA(M83:W83))))</f>
        <v>-139.75</v>
      </c>
      <c r="Y84" s="466"/>
      <c r="Z84" s="534"/>
      <c r="AA84" s="462">
        <f t="shared" si="42"/>
        <v>339.25</v>
      </c>
      <c r="AB84" s="360"/>
      <c r="AC84" s="360"/>
      <c r="AD84" s="362"/>
      <c r="AE84" s="363"/>
      <c r="AF84" s="346"/>
      <c r="AG84" s="347">
        <f t="shared" si="46"/>
        <v>0</v>
      </c>
      <c r="AH84" s="341">
        <f t="shared" si="47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339.25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48" s="98" customFormat="1" ht="62.25" customHeight="1" thickBot="1" x14ac:dyDescent="0.95">
      <c r="B85" s="364">
        <f>+B83</f>
        <v>17</v>
      </c>
      <c r="C85" s="410"/>
      <c r="D85" s="174" t="s">
        <v>379</v>
      </c>
      <c r="E85" s="175">
        <f>+E84+100</f>
        <v>117</v>
      </c>
      <c r="F85" s="175"/>
      <c r="G85" s="539" t="str">
        <f t="shared" si="48"/>
        <v>2259-600-730</v>
      </c>
      <c r="H85" s="117"/>
      <c r="I85" s="442"/>
      <c r="J85" s="165">
        <f>+IF(K85="","",IF(K83=0,"",(K83*J83)/(K85*60)))</f>
        <v>0.92168859649122814</v>
      </c>
      <c r="K85" s="118">
        <v>38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>
        <v>63.099401639344258</v>
      </c>
      <c r="Z85" s="365">
        <v>69.216101639344259</v>
      </c>
      <c r="AA85" s="465">
        <f t="shared" si="42"/>
        <v>0</v>
      </c>
      <c r="AB85" s="367"/>
      <c r="AC85" s="367"/>
      <c r="AD85" s="368">
        <f>+IFERROR(AD83/(K83*$AQ$3),"")</f>
        <v>1.8173302107728337</v>
      </c>
      <c r="AE85" s="369"/>
      <c r="AF85" s="347"/>
      <c r="AG85" s="347">
        <f t="shared" si="46"/>
        <v>0</v>
      </c>
      <c r="AH85" s="341">
        <f t="shared" si="47"/>
        <v>0</v>
      </c>
      <c r="AI85" s="341"/>
      <c r="AJ85" s="356"/>
      <c r="AK85" s="370">
        <f>+$AJ$4</f>
        <v>8.75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1.4313817330210772</v>
      </c>
      <c r="AV85" s="390"/>
    </row>
    <row r="86" spans="2:48" s="98" customFormat="1" ht="62.25" customHeight="1" thickTop="1" x14ac:dyDescent="0.9">
      <c r="B86" s="373">
        <f>+B87</f>
        <v>18</v>
      </c>
      <c r="C86" s="405"/>
      <c r="D86" s="106"/>
      <c r="E86" s="106"/>
      <c r="F86" s="106"/>
      <c r="G86" s="540" t="s">
        <v>481</v>
      </c>
      <c r="H86" s="106"/>
      <c r="I86" s="106"/>
      <c r="J86" s="107" t="s">
        <v>20</v>
      </c>
      <c r="K86" s="108" t="s">
        <v>23</v>
      </c>
      <c r="L86" s="100" t="s">
        <v>21</v>
      </c>
      <c r="M86" s="448">
        <v>180</v>
      </c>
      <c r="N86" s="448">
        <v>180</v>
      </c>
      <c r="O86" s="448"/>
      <c r="P86" s="448">
        <v>120</v>
      </c>
      <c r="Q86" s="448"/>
      <c r="R86" s="448"/>
      <c r="S86" s="448"/>
      <c r="T86" s="448"/>
      <c r="U86" s="448"/>
      <c r="V86" s="448"/>
      <c r="W86" s="448"/>
      <c r="X86" s="447">
        <f t="shared" si="38"/>
        <v>480</v>
      </c>
      <c r="Y86" s="466">
        <v>-20</v>
      </c>
      <c r="Z86" s="533">
        <f>+X88</f>
        <v>-63</v>
      </c>
      <c r="AA86" s="447">
        <f t="shared" si="39"/>
        <v>480</v>
      </c>
      <c r="AB86" s="343">
        <f>+AC86+AA86</f>
        <v>2910</v>
      </c>
      <c r="AC86" s="343">
        <v>2430</v>
      </c>
      <c r="AD86" s="344"/>
      <c r="AE86" s="345"/>
      <c r="AF86" s="346"/>
      <c r="AG86" s="347">
        <f t="shared" si="46"/>
        <v>0</v>
      </c>
      <c r="AH86" s="341">
        <f t="shared" si="47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48" s="98" customFormat="1" ht="62.25" customHeight="1" x14ac:dyDescent="0.9">
      <c r="B87" s="374">
        <v>18</v>
      </c>
      <c r="C87" s="406">
        <f>+B87</f>
        <v>18</v>
      </c>
      <c r="D87" s="407" t="s">
        <v>480</v>
      </c>
      <c r="E87" s="111"/>
      <c r="F87" s="111" t="s">
        <v>35</v>
      </c>
      <c r="G87" s="541" t="str">
        <f t="shared" ref="G87:G89" si="51">+G86</f>
        <v>2396-593-600</v>
      </c>
      <c r="H87" s="111"/>
      <c r="I87" s="111" t="s">
        <v>33</v>
      </c>
      <c r="J87" s="113">
        <v>38.82</v>
      </c>
      <c r="K87" s="130">
        <v>60</v>
      </c>
      <c r="L87" s="101" t="s">
        <v>17</v>
      </c>
      <c r="M87" s="214">
        <v>30</v>
      </c>
      <c r="N87" s="214">
        <v>60</v>
      </c>
      <c r="O87" s="214">
        <v>60</v>
      </c>
      <c r="P87" s="214">
        <v>60</v>
      </c>
      <c r="Q87" s="214">
        <v>60</v>
      </c>
      <c r="R87" s="214">
        <v>60</v>
      </c>
      <c r="S87" s="214">
        <v>60</v>
      </c>
      <c r="T87" s="214">
        <v>41</v>
      </c>
      <c r="U87" s="214">
        <v>31</v>
      </c>
      <c r="V87" s="214"/>
      <c r="W87" s="214"/>
      <c r="X87" s="123">
        <f>+IF(H88="s",0,IF(AA87=0,0,IF(COUNTA(M87:W87)=AK89+0.25,SUMIF($C:$C,B87,$AA:$AA)/AK89,SUMIF($C:$C,B87,$AA:$AA)/(COUNTA(M87:W87)))))</f>
        <v>52.8</v>
      </c>
      <c r="Y87" s="466"/>
      <c r="Z87" s="534"/>
      <c r="AA87" s="134">
        <f t="shared" si="39"/>
        <v>462</v>
      </c>
      <c r="AB87" s="354">
        <f>+AA87+AC87</f>
        <v>2039</v>
      </c>
      <c r="AC87" s="354">
        <v>1577</v>
      </c>
      <c r="AD87" s="355">
        <f>+AB86-AB87</f>
        <v>871</v>
      </c>
      <c r="AE87" s="131">
        <f>+IF(((AA88+(AA89/2))*60)=0,"",(J87*AA87)/((AA88+(AA89/2))*60))</f>
        <v>0.800841259209645</v>
      </c>
      <c r="AF87" s="347">
        <f>+AA88+AA89/2</f>
        <v>373.25</v>
      </c>
      <c r="AG87" s="347">
        <f t="shared" si="46"/>
        <v>373.15</v>
      </c>
      <c r="AH87" s="341">
        <f t="shared" si="47"/>
        <v>22395</v>
      </c>
      <c r="AI87" s="341">
        <f>+AA87*J87</f>
        <v>17934.84</v>
      </c>
      <c r="AJ87" s="356">
        <f>+AA87-(AF87*K87/K89)</f>
        <v>-58.813953488372135</v>
      </c>
      <c r="AK87" s="348"/>
      <c r="AL87" s="349"/>
      <c r="AM87" s="341"/>
      <c r="AN87" s="341"/>
      <c r="AO87" s="341"/>
      <c r="AP87" s="341"/>
      <c r="AQ87" s="339">
        <f t="shared" si="49"/>
        <v>20.5</v>
      </c>
      <c r="AR87" s="434">
        <v>1.5</v>
      </c>
      <c r="AT87" s="390">
        <v>853</v>
      </c>
      <c r="AV87" s="390">
        <f t="shared" ref="AV87" si="52">+AT87-AD87</f>
        <v>-18</v>
      </c>
    </row>
    <row r="88" spans="2:48" s="98" customFormat="1" ht="62.25" customHeight="1" x14ac:dyDescent="0.9">
      <c r="B88" s="357">
        <f>+B87</f>
        <v>18</v>
      </c>
      <c r="C88" s="408"/>
      <c r="D88" s="184"/>
      <c r="E88" s="111">
        <f>+B87</f>
        <v>18</v>
      </c>
      <c r="F88" s="409"/>
      <c r="G88" s="541" t="str">
        <f t="shared" si="51"/>
        <v>2396-593-600</v>
      </c>
      <c r="H88" s="411" t="s">
        <v>413</v>
      </c>
      <c r="I88" s="113">
        <f>+IFERROR(IF(K89=0,0,IF((LOOKUP(2,1/(M88:W88&lt;&gt;""),M88:W88)-K89)&lt;0,0,IF(K89=0,"",LOOKUP(2,1/(M88:W88&lt;&gt;""),M88:W88)-K89))),0)</f>
        <v>0</v>
      </c>
      <c r="J88" s="113">
        <v>2</v>
      </c>
      <c r="K88" s="114" t="s">
        <v>22</v>
      </c>
      <c r="L88" s="102" t="s">
        <v>18</v>
      </c>
      <c r="M88" s="448">
        <v>40</v>
      </c>
      <c r="N88" s="448">
        <v>43</v>
      </c>
      <c r="O88" s="448">
        <v>43</v>
      </c>
      <c r="P88" s="448">
        <v>43</v>
      </c>
      <c r="Q88" s="448">
        <v>43</v>
      </c>
      <c r="R88" s="448">
        <v>43</v>
      </c>
      <c r="S88" s="448">
        <v>43</v>
      </c>
      <c r="T88" s="448">
        <v>43</v>
      </c>
      <c r="U88" s="448">
        <v>43</v>
      </c>
      <c r="V88" s="448"/>
      <c r="W88" s="448"/>
      <c r="X88" s="160">
        <f>+IF(H88="l",IF(COUNTA(M87:W87)=AK89+0.25,AA87-K87*AK89,AA87-(K87*COUNTA(M87:W87))),IF(H88="s",0,IF(COUNTA(M87:W87)=AK89+0.25,SUMIF($C:$C,B87,$AA:$AA)-K87*AK89,SUMIF($C:$C,B87,$AA:$AA)-K87*COUNTA(M87:W87))))</f>
        <v>-63</v>
      </c>
      <c r="Y88" s="466"/>
      <c r="Z88" s="534"/>
      <c r="AA88" s="462">
        <f t="shared" si="42"/>
        <v>373.25</v>
      </c>
      <c r="AB88" s="361"/>
      <c r="AC88" s="361"/>
      <c r="AD88" s="362"/>
      <c r="AE88" s="363"/>
      <c r="AF88" s="346"/>
      <c r="AG88" s="347">
        <f t="shared" si="46"/>
        <v>0</v>
      </c>
      <c r="AH88" s="341">
        <f t="shared" si="47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373.25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48" s="98" customFormat="1" ht="62.25" customHeight="1" thickBot="1" x14ac:dyDescent="0.95">
      <c r="B89" s="375">
        <f>+B87</f>
        <v>18</v>
      </c>
      <c r="C89" s="410"/>
      <c r="D89" s="413" t="s">
        <v>308</v>
      </c>
      <c r="E89" s="175">
        <f>+E88+100</f>
        <v>118</v>
      </c>
      <c r="F89" s="175"/>
      <c r="G89" s="542" t="str">
        <f t="shared" si="51"/>
        <v>2396-593-600</v>
      </c>
      <c r="H89" s="117"/>
      <c r="I89" s="442"/>
      <c r="J89" s="165">
        <f>+IF(K89="","",IF(K87=0,"",(K87*J87)/(K89*60)))</f>
        <v>0.90279069767441855</v>
      </c>
      <c r="K89" s="118">
        <v>43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12.46</v>
      </c>
      <c r="Z89" s="365">
        <v>12.46</v>
      </c>
      <c r="AA89" s="465">
        <f t="shared" si="42"/>
        <v>0</v>
      </c>
      <c r="AB89" s="367"/>
      <c r="AC89" s="367"/>
      <c r="AD89" s="368">
        <f>+IFERROR(AD87/(K87*$AQ$3),"")</f>
        <v>1.6590476190476191</v>
      </c>
      <c r="AE89" s="369"/>
      <c r="AF89" s="347"/>
      <c r="AG89" s="347">
        <f t="shared" si="46"/>
        <v>0</v>
      </c>
      <c r="AH89" s="341">
        <f t="shared" si="47"/>
        <v>0</v>
      </c>
      <c r="AI89" s="341"/>
      <c r="AJ89" s="356"/>
      <c r="AK89" s="370">
        <f>+$AJ$4</f>
        <v>8.75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1.6247619047619049</v>
      </c>
      <c r="AV89" s="390"/>
    </row>
    <row r="90" spans="2:48" s="419" customFormat="1" ht="91.5" customHeight="1" thickTop="1" thickBot="1" x14ac:dyDescent="0.95">
      <c r="B90" s="414"/>
      <c r="C90" s="414"/>
      <c r="D90" s="415"/>
      <c r="E90" s="415"/>
      <c r="F90" s="415"/>
      <c r="G90" s="415"/>
      <c r="H90" s="415"/>
      <c r="I90" s="415"/>
      <c r="J90" s="415"/>
      <c r="K90" s="415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  <c r="W90" s="416"/>
      <c r="X90" s="415"/>
      <c r="Y90" s="415"/>
      <c r="Z90" s="415"/>
      <c r="AA90" s="415"/>
      <c r="AB90" s="415"/>
      <c r="AC90" s="415"/>
      <c r="AD90" s="415"/>
      <c r="AE90" s="417"/>
      <c r="AF90" s="418"/>
      <c r="AG90" s="418"/>
      <c r="AK90" s="420"/>
      <c r="AL90" s="421"/>
      <c r="AR90" s="435"/>
    </row>
    <row r="91" spans="2:48" s="419" customFormat="1" ht="91.5" customHeight="1" thickTop="1" thickBot="1" x14ac:dyDescent="0.95">
      <c r="B91" s="414"/>
      <c r="C91" s="414"/>
      <c r="D91" s="415"/>
      <c r="E91" s="415"/>
      <c r="F91" s="415"/>
      <c r="G91" s="415"/>
      <c r="H91" s="415"/>
      <c r="I91" s="415"/>
      <c r="J91" s="415"/>
      <c r="K91" s="415"/>
      <c r="L91" s="378" t="s">
        <v>21</v>
      </c>
      <c r="M91" s="379">
        <f t="shared" ref="M91:W91" si="53">+SUMIF($L$6:$L$90,$L$91,M6:M90)</f>
        <v>1690</v>
      </c>
      <c r="N91" s="379">
        <f t="shared" si="53"/>
        <v>2020</v>
      </c>
      <c r="O91" s="379">
        <f t="shared" si="53"/>
        <v>650</v>
      </c>
      <c r="P91" s="379">
        <f t="shared" si="53"/>
        <v>1097</v>
      </c>
      <c r="Q91" s="379">
        <f t="shared" si="53"/>
        <v>735</v>
      </c>
      <c r="R91" s="379">
        <f t="shared" si="53"/>
        <v>730</v>
      </c>
      <c r="S91" s="379">
        <f t="shared" si="53"/>
        <v>120</v>
      </c>
      <c r="T91" s="379">
        <f t="shared" si="53"/>
        <v>350</v>
      </c>
      <c r="U91" s="379">
        <f t="shared" si="53"/>
        <v>150</v>
      </c>
      <c r="V91" s="379">
        <f t="shared" si="53"/>
        <v>0</v>
      </c>
      <c r="W91" s="379">
        <f t="shared" si="53"/>
        <v>0</v>
      </c>
      <c r="X91" s="332"/>
      <c r="Y91" s="332"/>
      <c r="Z91" s="537">
        <f>+SUM(M91:W91)</f>
        <v>7542</v>
      </c>
      <c r="AA91" s="538"/>
      <c r="AB91" s="415"/>
      <c r="AC91" s="415"/>
      <c r="AD91" s="415"/>
      <c r="AE91" s="417"/>
      <c r="AF91" s="418"/>
      <c r="AG91" s="418"/>
      <c r="AK91" s="420"/>
      <c r="AR91" s="435"/>
    </row>
    <row r="92" spans="2:48" s="419" customFormat="1" ht="91.5" customHeight="1" thickTop="1" thickBot="1" x14ac:dyDescent="0.95">
      <c r="B92" s="414"/>
      <c r="C92" s="414"/>
      <c r="D92" s="415"/>
      <c r="E92" s="415"/>
      <c r="F92" s="415"/>
      <c r="G92" s="415"/>
      <c r="H92" s="415"/>
      <c r="I92" s="415"/>
      <c r="J92" s="415"/>
      <c r="K92" s="415"/>
      <c r="L92" s="380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32"/>
      <c r="Y92" s="332"/>
      <c r="Z92" s="332"/>
      <c r="AA92" s="332"/>
      <c r="AB92" s="415"/>
      <c r="AC92" s="415"/>
      <c r="AD92" s="415"/>
      <c r="AE92" s="417"/>
      <c r="AF92" s="418"/>
      <c r="AG92" s="418"/>
      <c r="AK92" s="420"/>
      <c r="AR92" s="435"/>
    </row>
    <row r="93" spans="2:48" s="419" customFormat="1" ht="91.5" customHeight="1" thickTop="1" thickBot="1" x14ac:dyDescent="0.95">
      <c r="B93" s="414"/>
      <c r="C93" s="414"/>
      <c r="D93" s="415"/>
      <c r="E93" s="415"/>
      <c r="F93" s="415"/>
      <c r="G93" s="415"/>
      <c r="H93" s="415"/>
      <c r="I93" s="415"/>
      <c r="J93" s="415"/>
      <c r="K93" s="415"/>
      <c r="L93" s="378" t="s">
        <v>17</v>
      </c>
      <c r="M93" s="379">
        <f t="shared" ref="M93:W93" si="54">+SUMIF($L$6:$L$90,$L$93,M6:M90)</f>
        <v>767</v>
      </c>
      <c r="N93" s="379">
        <f t="shared" si="54"/>
        <v>866</v>
      </c>
      <c r="O93" s="379">
        <f t="shared" si="54"/>
        <v>837</v>
      </c>
      <c r="P93" s="379">
        <f t="shared" si="54"/>
        <v>836</v>
      </c>
      <c r="Q93" s="379">
        <f t="shared" si="54"/>
        <v>855</v>
      </c>
      <c r="R93" s="379">
        <f t="shared" si="54"/>
        <v>881</v>
      </c>
      <c r="S93" s="379">
        <f t="shared" si="54"/>
        <v>895</v>
      </c>
      <c r="T93" s="379">
        <f t="shared" si="54"/>
        <v>827</v>
      </c>
      <c r="U93" s="379">
        <f t="shared" si="54"/>
        <v>722</v>
      </c>
      <c r="V93" s="379">
        <f t="shared" si="54"/>
        <v>180</v>
      </c>
      <c r="W93" s="379">
        <f t="shared" si="54"/>
        <v>131</v>
      </c>
      <c r="X93" s="332"/>
      <c r="Y93" s="332"/>
      <c r="Z93" s="537">
        <f>+SUM(M93:W93)</f>
        <v>7797</v>
      </c>
      <c r="AA93" s="538"/>
      <c r="AB93" s="415"/>
      <c r="AC93" s="415"/>
      <c r="AD93" s="415"/>
      <c r="AE93" s="417"/>
      <c r="AF93" s="418"/>
      <c r="AG93" s="418"/>
      <c r="AK93" s="420"/>
      <c r="AR93" s="435"/>
    </row>
    <row r="94" spans="2:48" s="419" customFormat="1" ht="91.5" customHeight="1" thickTop="1" thickBot="1" x14ac:dyDescent="0.95">
      <c r="B94" s="414"/>
      <c r="C94" s="414"/>
      <c r="D94" s="415"/>
      <c r="E94" s="415"/>
      <c r="F94" s="415"/>
      <c r="G94" s="415"/>
      <c r="H94" s="415"/>
      <c r="I94" s="415"/>
      <c r="J94" s="415"/>
      <c r="K94" s="415"/>
      <c r="L94" s="380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32"/>
      <c r="Y94" s="332"/>
      <c r="Z94" s="332"/>
      <c r="AA94" s="332"/>
      <c r="AB94" s="415"/>
      <c r="AC94" s="415"/>
      <c r="AD94" s="415"/>
      <c r="AE94" s="417"/>
      <c r="AF94" s="418"/>
      <c r="AG94" s="418"/>
      <c r="AK94" s="420"/>
      <c r="AR94" s="435"/>
    </row>
    <row r="95" spans="2:48" s="419" customFormat="1" ht="91.5" customHeight="1" thickTop="1" thickBot="1" x14ac:dyDescent="0.95">
      <c r="B95" s="414"/>
      <c r="C95" s="414"/>
      <c r="D95" s="422"/>
      <c r="E95" s="422"/>
      <c r="F95" s="422"/>
      <c r="G95" s="422"/>
      <c r="H95" s="422"/>
      <c r="I95" s="422"/>
      <c r="J95" s="423"/>
      <c r="K95" s="422"/>
      <c r="L95" s="378" t="s">
        <v>19</v>
      </c>
      <c r="M95" s="379">
        <f t="shared" ref="M95:W95" si="55">+SUMIF($L$6:$L$90,$L$95,M6:M90)</f>
        <v>7</v>
      </c>
      <c r="N95" s="379">
        <f t="shared" si="55"/>
        <v>7</v>
      </c>
      <c r="O95" s="379">
        <f t="shared" si="55"/>
        <v>7</v>
      </c>
      <c r="P95" s="379">
        <f t="shared" si="55"/>
        <v>7</v>
      </c>
      <c r="Q95" s="379">
        <f t="shared" si="55"/>
        <v>7</v>
      </c>
      <c r="R95" s="379">
        <f t="shared" si="55"/>
        <v>7</v>
      </c>
      <c r="S95" s="379">
        <f t="shared" si="55"/>
        <v>7</v>
      </c>
      <c r="T95" s="379">
        <f t="shared" si="55"/>
        <v>7</v>
      </c>
      <c r="U95" s="379">
        <f t="shared" si="55"/>
        <v>7</v>
      </c>
      <c r="V95" s="379">
        <f t="shared" si="55"/>
        <v>0</v>
      </c>
      <c r="W95" s="379">
        <f t="shared" si="55"/>
        <v>0</v>
      </c>
      <c r="X95" s="381"/>
      <c r="Y95" s="381"/>
      <c r="Z95" s="332"/>
      <c r="AA95" s="332"/>
      <c r="AB95" s="415"/>
      <c r="AC95" s="415"/>
      <c r="AD95" s="415"/>
      <c r="AE95" s="417"/>
      <c r="AF95" s="418"/>
      <c r="AG95" s="418"/>
      <c r="AK95" s="420"/>
      <c r="AR95" s="435"/>
    </row>
    <row r="96" spans="2:48" s="419" customFormat="1" ht="62.25" customHeight="1" thickTop="1" x14ac:dyDescent="0.9">
      <c r="B96" s="414"/>
      <c r="C96" s="414"/>
      <c r="D96" s="422"/>
      <c r="E96" s="422"/>
      <c r="F96" s="422"/>
      <c r="G96" s="422"/>
      <c r="H96" s="422"/>
      <c r="I96" s="424"/>
      <c r="J96" s="423"/>
      <c r="K96" s="422"/>
      <c r="L96" s="380"/>
      <c r="M96" s="382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32"/>
      <c r="Y96" s="332"/>
      <c r="Z96" s="332"/>
      <c r="AA96" s="332"/>
      <c r="AB96" s="415"/>
      <c r="AC96" s="415"/>
      <c r="AD96" s="425"/>
      <c r="AE96" s="417"/>
      <c r="AF96" s="418"/>
      <c r="AG96" s="418"/>
      <c r="AK96" s="420"/>
      <c r="AR96" s="435"/>
    </row>
    <row r="97" spans="2:44" s="98" customFormat="1" ht="62.25" customHeight="1" thickBot="1" x14ac:dyDescent="0.95">
      <c r="B97" s="94"/>
      <c r="C97" s="94"/>
      <c r="D97" s="92"/>
      <c r="E97" s="92"/>
      <c r="F97" s="92"/>
      <c r="G97" s="92"/>
      <c r="H97" s="92"/>
      <c r="I97" s="91"/>
      <c r="J97" s="93"/>
      <c r="K97" s="92"/>
      <c r="L97" s="384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91"/>
      <c r="AC97" s="91"/>
      <c r="AD97" s="91"/>
      <c r="AE97" s="95"/>
      <c r="AF97" s="158"/>
      <c r="AG97" s="158"/>
      <c r="AK97" s="183"/>
      <c r="AR97" s="434"/>
    </row>
    <row r="98" spans="2:44" s="98" customFormat="1" ht="88.5" customHeight="1" thickTop="1" thickBot="1" x14ac:dyDescent="0.95">
      <c r="B98" s="94"/>
      <c r="C98" s="94"/>
      <c r="D98" s="92"/>
      <c r="E98" s="92"/>
      <c r="F98" s="92"/>
      <c r="G98" s="92"/>
      <c r="H98" s="92"/>
      <c r="I98" s="91"/>
      <c r="J98" s="93"/>
      <c r="K98" s="212" t="s">
        <v>18</v>
      </c>
      <c r="L98" s="385" t="s">
        <v>180</v>
      </c>
      <c r="M98" s="379">
        <f t="shared" ref="M98:W98" si="56">+IF(M101=0,0,SUMIFS($J$6:$J$90,$L$6:$L$90,$K$98))</f>
        <v>12</v>
      </c>
      <c r="N98" s="379">
        <f t="shared" si="56"/>
        <v>12</v>
      </c>
      <c r="O98" s="379">
        <f t="shared" si="56"/>
        <v>12</v>
      </c>
      <c r="P98" s="379">
        <f t="shared" si="56"/>
        <v>12</v>
      </c>
      <c r="Q98" s="379">
        <f t="shared" si="56"/>
        <v>12</v>
      </c>
      <c r="R98" s="379">
        <f t="shared" si="56"/>
        <v>12</v>
      </c>
      <c r="S98" s="379">
        <f t="shared" si="56"/>
        <v>12</v>
      </c>
      <c r="T98" s="379">
        <f t="shared" si="56"/>
        <v>12</v>
      </c>
      <c r="U98" s="379">
        <f t="shared" si="56"/>
        <v>12</v>
      </c>
      <c r="V98" s="379">
        <f t="shared" si="56"/>
        <v>12</v>
      </c>
      <c r="W98" s="379">
        <f t="shared" si="56"/>
        <v>12</v>
      </c>
      <c r="X98" s="383"/>
      <c r="Y98" s="383"/>
      <c r="Z98" s="340"/>
      <c r="AA98" s="340"/>
      <c r="AB98" s="91"/>
      <c r="AC98" s="91"/>
      <c r="AD98" s="91"/>
      <c r="AE98" s="95"/>
      <c r="AF98" s="158"/>
      <c r="AG98" s="158"/>
      <c r="AK98" s="183"/>
      <c r="AR98" s="434"/>
    </row>
    <row r="99" spans="2:44" s="98" customFormat="1" ht="62.25" customHeight="1" thickTop="1" x14ac:dyDescent="0.9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84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40"/>
      <c r="Y99" s="340"/>
      <c r="Z99" s="340"/>
      <c r="AA99" s="340"/>
      <c r="AB99" s="91"/>
      <c r="AC99" s="91"/>
      <c r="AD99" s="91"/>
      <c r="AE99" s="95"/>
      <c r="AF99" s="158"/>
      <c r="AG99" s="158"/>
      <c r="AK99" s="183"/>
      <c r="AR99" s="434"/>
    </row>
    <row r="100" spans="2:44" s="98" customFormat="1" ht="62.25" customHeight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212"/>
      <c r="L100" s="384"/>
      <c r="M100" s="340"/>
      <c r="N100" s="340"/>
      <c r="O100" s="340"/>
      <c r="P100" s="340"/>
      <c r="Q100" s="387"/>
      <c r="R100" s="387"/>
      <c r="S100" s="387"/>
      <c r="T100" s="387"/>
      <c r="U100" s="387"/>
      <c r="V100" s="387"/>
      <c r="W100" s="387"/>
      <c r="X100" s="340"/>
      <c r="Y100" s="340"/>
      <c r="Z100" s="340"/>
      <c r="AA100" s="340"/>
      <c r="AB100" s="91"/>
      <c r="AC100" s="91"/>
      <c r="AD100" s="91"/>
      <c r="AE100" s="95"/>
      <c r="AF100" s="158"/>
      <c r="AG100" s="158"/>
      <c r="AK100" s="183"/>
      <c r="AR100" s="434"/>
    </row>
    <row r="101" spans="2:44" s="98" customFormat="1" ht="98.25" customHeight="1" thickTop="1" thickBot="1" x14ac:dyDescent="0.95">
      <c r="B101" s="94"/>
      <c r="C101" s="94"/>
      <c r="D101" s="92"/>
      <c r="E101" s="92"/>
      <c r="F101" s="92"/>
      <c r="G101" s="92"/>
      <c r="H101" s="92"/>
      <c r="I101" s="92"/>
      <c r="J101" s="93"/>
      <c r="K101" s="212"/>
      <c r="L101" s="385" t="s">
        <v>18</v>
      </c>
      <c r="M101" s="379">
        <f t="shared" ref="M101:W101" si="57">+SUMIF($L$6:$L$90,$L$101,M6:M90)</f>
        <v>632</v>
      </c>
      <c r="N101" s="379">
        <f t="shared" si="57"/>
        <v>638</v>
      </c>
      <c r="O101" s="379">
        <f t="shared" si="57"/>
        <v>638</v>
      </c>
      <c r="P101" s="379">
        <f t="shared" si="57"/>
        <v>638</v>
      </c>
      <c r="Q101" s="379">
        <f t="shared" si="57"/>
        <v>638</v>
      </c>
      <c r="R101" s="379">
        <f t="shared" si="57"/>
        <v>639</v>
      </c>
      <c r="S101" s="379">
        <f t="shared" si="57"/>
        <v>639</v>
      </c>
      <c r="T101" s="379">
        <f t="shared" si="57"/>
        <v>639</v>
      </c>
      <c r="U101" s="379">
        <f t="shared" si="57"/>
        <v>639</v>
      </c>
      <c r="V101" s="379">
        <f t="shared" si="57"/>
        <v>115</v>
      </c>
      <c r="W101" s="379">
        <f t="shared" si="57"/>
        <v>115</v>
      </c>
      <c r="X101" s="340"/>
      <c r="Y101" s="340"/>
      <c r="Z101" s="340"/>
      <c r="AA101" s="340"/>
      <c r="AB101" s="91"/>
      <c r="AC101" s="91"/>
      <c r="AD101" s="91"/>
      <c r="AE101" s="95"/>
      <c r="AF101" s="158"/>
      <c r="AG101" s="158"/>
      <c r="AK101" s="183"/>
      <c r="AR101" s="434"/>
    </row>
    <row r="102" spans="2:44" s="98" customFormat="1" ht="62.25" customHeight="1" thickTop="1" x14ac:dyDescent="0.9">
      <c r="B102" s="94"/>
      <c r="C102" s="94"/>
      <c r="D102" s="92"/>
      <c r="E102" s="92"/>
      <c r="F102" s="92"/>
      <c r="G102" s="92"/>
      <c r="H102" s="92"/>
      <c r="I102" s="92"/>
      <c r="J102" s="93"/>
      <c r="K102" s="212"/>
      <c r="L102" s="384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40"/>
      <c r="Y102" s="340"/>
      <c r="Z102" s="340"/>
      <c r="AA102" s="340"/>
      <c r="AB102" s="91"/>
      <c r="AC102" s="91"/>
      <c r="AD102" s="91"/>
      <c r="AE102" s="95"/>
      <c r="AF102" s="158"/>
      <c r="AG102" s="158"/>
      <c r="AK102" s="183"/>
      <c r="AR102" s="434"/>
    </row>
    <row r="103" spans="2:44" s="98" customFormat="1" ht="62.25" customHeight="1" thickBot="1" x14ac:dyDescent="0.95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84"/>
      <c r="M103" s="340"/>
      <c r="N103" s="340"/>
      <c r="O103" s="340"/>
      <c r="P103" s="340"/>
      <c r="Q103" s="387"/>
      <c r="R103" s="387"/>
      <c r="S103" s="387"/>
      <c r="T103" s="387"/>
      <c r="U103" s="387"/>
      <c r="V103" s="387"/>
      <c r="W103" s="387"/>
      <c r="X103" s="340"/>
      <c r="Y103" s="340"/>
      <c r="Z103" s="340"/>
      <c r="AA103" s="340"/>
      <c r="AB103" s="91"/>
      <c r="AC103" s="91"/>
      <c r="AD103" s="91"/>
      <c r="AE103" s="95"/>
      <c r="AF103" s="158"/>
      <c r="AG103" s="158"/>
      <c r="AK103" s="183"/>
      <c r="AR103" s="434"/>
    </row>
    <row r="104" spans="2:44" s="98" customFormat="1" ht="94.5" customHeight="1" thickTop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385" t="s">
        <v>13</v>
      </c>
      <c r="M104" s="379">
        <f>+M101+M98+M95</f>
        <v>651</v>
      </c>
      <c r="N104" s="379">
        <f t="shared" ref="N104:W104" si="58">+N101+N98+N95</f>
        <v>657</v>
      </c>
      <c r="O104" s="379">
        <f t="shared" si="58"/>
        <v>657</v>
      </c>
      <c r="P104" s="379">
        <f t="shared" si="58"/>
        <v>657</v>
      </c>
      <c r="Q104" s="379">
        <f t="shared" si="58"/>
        <v>657</v>
      </c>
      <c r="R104" s="379">
        <f t="shared" si="58"/>
        <v>658</v>
      </c>
      <c r="S104" s="379">
        <f t="shared" si="58"/>
        <v>658</v>
      </c>
      <c r="T104" s="379">
        <f t="shared" si="58"/>
        <v>658</v>
      </c>
      <c r="U104" s="379">
        <f t="shared" si="58"/>
        <v>658</v>
      </c>
      <c r="V104" s="379">
        <f t="shared" si="58"/>
        <v>127</v>
      </c>
      <c r="W104" s="379">
        <f t="shared" si="58"/>
        <v>127</v>
      </c>
      <c r="X104" s="340"/>
      <c r="Y104" s="340"/>
      <c r="Z104" s="340"/>
      <c r="AA104" s="340"/>
      <c r="AB104" s="91"/>
      <c r="AC104" s="91"/>
      <c r="AD104" s="91"/>
      <c r="AE104" s="95"/>
      <c r="AF104" s="155"/>
      <c r="AG104" s="155"/>
      <c r="AK104" s="183"/>
      <c r="AR104" s="434"/>
    </row>
    <row r="105" spans="2:44" s="98" customFormat="1" ht="62.25" thickTop="1" x14ac:dyDescent="0.9">
      <c r="B105" s="94"/>
      <c r="C105" s="94"/>
      <c r="D105" s="92"/>
      <c r="E105" s="92"/>
      <c r="F105" s="92"/>
      <c r="G105" s="92"/>
      <c r="H105" s="92"/>
      <c r="I105" s="92"/>
      <c r="J105" s="93"/>
      <c r="K105" s="92"/>
      <c r="L105" s="389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91"/>
      <c r="AC105" s="91"/>
      <c r="AD105" s="91"/>
      <c r="AE105" s="95"/>
      <c r="AF105" s="158"/>
      <c r="AG105" s="158"/>
      <c r="AK105" s="183"/>
      <c r="AR105" s="434"/>
    </row>
    <row r="106" spans="2:44" x14ac:dyDescent="0.9">
      <c r="J106" s="91"/>
      <c r="K106" s="91"/>
      <c r="T106" s="515"/>
      <c r="U106" s="515"/>
      <c r="V106" s="515"/>
      <c r="AF106" s="158"/>
      <c r="AG106" s="158"/>
    </row>
    <row r="107" spans="2:44" ht="105" customHeight="1" x14ac:dyDescent="0.9">
      <c r="B107" s="426"/>
      <c r="AF107" s="158"/>
      <c r="AG107" s="158"/>
    </row>
    <row r="108" spans="2:44" s="98" customFormat="1" x14ac:dyDescent="0.9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5"/>
      <c r="AF108" s="158"/>
      <c r="AG108" s="158"/>
      <c r="AK108" s="183"/>
      <c r="AR108" s="434"/>
    </row>
    <row r="109" spans="2:44" s="98" customFormat="1" x14ac:dyDescent="0.9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5"/>
      <c r="AF109" s="158"/>
      <c r="AG109" s="158"/>
      <c r="AK109" s="183"/>
      <c r="AR109" s="434"/>
    </row>
    <row r="110" spans="2:44" s="98" customFormat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92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5"/>
      <c r="AF110" s="158"/>
      <c r="AG110" s="158"/>
      <c r="AK110" s="183"/>
      <c r="AR110" s="434"/>
    </row>
    <row r="111" spans="2:44" s="98" customFormat="1" ht="66" customHeight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92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5"/>
      <c r="AF111" s="158"/>
      <c r="AG111" s="158"/>
      <c r="AK111" s="183"/>
      <c r="AR111" s="434"/>
    </row>
    <row r="113" spans="2:44" s="92" customFormat="1" x14ac:dyDescent="0.7">
      <c r="B113" s="94"/>
      <c r="C113" s="94"/>
      <c r="D113" s="92">
        <v>2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/>
      <c r="AF113" s="155"/>
      <c r="AG113" s="155"/>
      <c r="AH113" s="98"/>
      <c r="AI113" s="98"/>
      <c r="AJ113" s="98"/>
      <c r="AK113" s="183"/>
      <c r="AL113" s="91"/>
      <c r="AM113" s="91"/>
      <c r="AR113" s="243"/>
    </row>
    <row r="114" spans="2:44" s="92" customFormat="1" x14ac:dyDescent="0.7">
      <c r="B114" s="94"/>
      <c r="C114" s="94"/>
      <c r="H114" s="92">
        <v>1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/>
      <c r="AF114" s="155"/>
      <c r="AG114" s="155"/>
      <c r="AH114" s="98"/>
      <c r="AI114" s="98"/>
      <c r="AJ114" s="98"/>
      <c r="AK114" s="183"/>
      <c r="AL114" s="91"/>
      <c r="AM114" s="91"/>
      <c r="AR114" s="243"/>
    </row>
    <row r="115" spans="2:44" s="92" customFormat="1" x14ac:dyDescent="0.7">
      <c r="B115" s="94"/>
      <c r="C115" s="94"/>
      <c r="H115" s="92">
        <v>2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/>
      <c r="AF115" s="155"/>
      <c r="AG115" s="155"/>
      <c r="AH115" s="98"/>
      <c r="AI115" s="98"/>
      <c r="AJ115" s="98"/>
      <c r="AK115" s="183"/>
      <c r="AL115" s="91"/>
      <c r="AM115" s="91"/>
      <c r="AR115" s="243"/>
    </row>
    <row r="116" spans="2:44" s="92" customFormat="1" x14ac:dyDescent="0.7">
      <c r="B116" s="94"/>
      <c r="C116" s="94"/>
      <c r="H116" s="92">
        <v>3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/>
      <c r="AF116" s="155"/>
      <c r="AG116" s="155"/>
      <c r="AH116" s="98"/>
      <c r="AI116" s="98"/>
      <c r="AJ116" s="98"/>
      <c r="AK116" s="183"/>
      <c r="AL116" s="91"/>
      <c r="AM116" s="91"/>
      <c r="AR116" s="243"/>
    </row>
    <row r="117" spans="2:44" s="92" customFormat="1" x14ac:dyDescent="0.7">
      <c r="B117" s="94"/>
      <c r="C117" s="94"/>
      <c r="H117" s="92">
        <v>4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5"/>
      <c r="AG117" s="155"/>
      <c r="AH117" s="98"/>
      <c r="AI117" s="98"/>
      <c r="AJ117" s="98"/>
      <c r="AK117" s="183"/>
      <c r="AL117" s="91"/>
      <c r="AM117" s="91"/>
      <c r="AR117" s="243"/>
    </row>
    <row r="118" spans="2:44" s="92" customFormat="1" x14ac:dyDescent="0.7">
      <c r="B118" s="94"/>
      <c r="C118" s="94"/>
      <c r="H118" s="92">
        <v>5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5"/>
      <c r="AG118" s="155"/>
      <c r="AH118" s="98"/>
      <c r="AI118" s="98"/>
      <c r="AJ118" s="98"/>
      <c r="AK118" s="183"/>
      <c r="AL118" s="91"/>
      <c r="AM118" s="91"/>
      <c r="AR118" s="243"/>
    </row>
    <row r="119" spans="2:44" s="92" customFormat="1" x14ac:dyDescent="0.7">
      <c r="B119" s="94"/>
      <c r="C119" s="94"/>
      <c r="H119" s="92">
        <v>6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5"/>
      <c r="AG119" s="155"/>
      <c r="AH119" s="98"/>
      <c r="AI119" s="98"/>
      <c r="AJ119" s="98"/>
      <c r="AK119" s="183"/>
      <c r="AL119" s="91"/>
      <c r="AM119" s="91"/>
      <c r="AR119" s="243"/>
    </row>
    <row r="120" spans="2:44" s="92" customFormat="1" x14ac:dyDescent="0.7">
      <c r="B120" s="94"/>
      <c r="C120" s="94"/>
      <c r="H120" s="92">
        <v>7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5"/>
      <c r="AG120" s="155"/>
      <c r="AH120" s="98"/>
      <c r="AI120" s="98"/>
      <c r="AJ120" s="98"/>
      <c r="AK120" s="183"/>
      <c r="AL120" s="91"/>
      <c r="AM120" s="91"/>
      <c r="AR120" s="243"/>
    </row>
    <row r="121" spans="2:44" s="92" customFormat="1" x14ac:dyDescent="0.7">
      <c r="B121" s="94"/>
      <c r="C121" s="94"/>
      <c r="H121" s="92">
        <v>8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22" spans="2:44" s="92" customFormat="1" x14ac:dyDescent="0.7">
      <c r="B122" s="94"/>
      <c r="C122" s="94"/>
      <c r="H122" s="92">
        <v>11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5"/>
      <c r="AG122" s="155"/>
      <c r="AH122" s="98"/>
      <c r="AI122" s="98"/>
      <c r="AJ122" s="98"/>
      <c r="AK122" s="183"/>
      <c r="AL122" s="91"/>
      <c r="AM122" s="91"/>
      <c r="AR122" s="243"/>
    </row>
    <row r="123" spans="2:44" s="92" customFormat="1" x14ac:dyDescent="0.7">
      <c r="B123" s="94"/>
      <c r="C123" s="94"/>
      <c r="H123" s="92">
        <v>12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5"/>
      <c r="AG123" s="155"/>
      <c r="AH123" s="98"/>
      <c r="AI123" s="98"/>
      <c r="AJ123" s="98"/>
      <c r="AK123" s="183"/>
      <c r="AL123" s="91"/>
      <c r="AM123" s="91"/>
      <c r="AR123" s="243"/>
    </row>
    <row r="124" spans="2:44" s="92" customFormat="1" x14ac:dyDescent="0.7">
      <c r="B124" s="94"/>
      <c r="C124" s="94"/>
      <c r="H124" s="92">
        <v>13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/>
      <c r="AF124" s="155"/>
      <c r="AG124" s="155"/>
      <c r="AH124" s="98"/>
      <c r="AI124" s="98"/>
      <c r="AJ124" s="98"/>
      <c r="AK124" s="183"/>
      <c r="AL124" s="91"/>
      <c r="AM124" s="91"/>
      <c r="AR124" s="243"/>
    </row>
    <row r="125" spans="2:44" s="92" customFormat="1" x14ac:dyDescent="0.7">
      <c r="B125" s="94"/>
      <c r="C125" s="94"/>
      <c r="H125" s="92">
        <v>14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15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17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18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19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85" spans="2:44" s="92" customFormat="1" x14ac:dyDescent="0.7">
      <c r="B185" s="94"/>
      <c r="C185" s="94"/>
      <c r="G185" s="92">
        <v>1</v>
      </c>
      <c r="J185" s="93"/>
      <c r="L185" s="99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5"/>
      <c r="AF185" s="155"/>
      <c r="AG185" s="155"/>
      <c r="AH185" s="98"/>
      <c r="AI185" s="98"/>
      <c r="AJ185" s="98"/>
      <c r="AK185" s="183"/>
      <c r="AL185" s="91"/>
      <c r="AM185" s="91"/>
      <c r="AR185" s="243"/>
    </row>
  </sheetData>
  <sheetProtection algorithmName="SHA-512" hashValue="5oLOKV7Te7vYJGqkWth/CIzuSw3gpWK5DDv5ppA6nWKCKgKeDfPxIFJjG82hyDEemuUOZRKDIjA+LxB69A/VDA==" saltValue="Mb18FJpbUgV1KpB7aTEWVA==" spinCount="100000" sheet="1" autoFilter="0"/>
  <autoFilter ref="A5:CR89">
    <filterColumn colId="9" showButton="0"/>
  </autoFilter>
  <mergeCells count="61">
    <mergeCell ref="T106:V106"/>
    <mergeCell ref="G10:G13"/>
    <mergeCell ref="Z10:Z12"/>
    <mergeCell ref="AW11:BF11"/>
    <mergeCell ref="G82:G85"/>
    <mergeCell ref="Z82:Z84"/>
    <mergeCell ref="G86:G89"/>
    <mergeCell ref="Z86:Z88"/>
    <mergeCell ref="Z91:AA91"/>
    <mergeCell ref="Z93:AA93"/>
    <mergeCell ref="G74:G77"/>
    <mergeCell ref="Z74:Z76"/>
    <mergeCell ref="AW75:BF75"/>
    <mergeCell ref="G78:G81"/>
    <mergeCell ref="Z78:Z80"/>
    <mergeCell ref="AW79:BG79"/>
    <mergeCell ref="G70:G73"/>
    <mergeCell ref="Z70:Z72"/>
    <mergeCell ref="AW47:BF47"/>
    <mergeCell ref="G50:G53"/>
    <mergeCell ref="Z50:Z52"/>
    <mergeCell ref="G54:G57"/>
    <mergeCell ref="Z54:Z56"/>
    <mergeCell ref="AW55:BF55"/>
    <mergeCell ref="Z58:Z60"/>
    <mergeCell ref="G62:G65"/>
    <mergeCell ref="Z62:Z64"/>
    <mergeCell ref="G66:G69"/>
    <mergeCell ref="Z66:Z68"/>
    <mergeCell ref="G38:G41"/>
    <mergeCell ref="Z38:Z40"/>
    <mergeCell ref="G42:G45"/>
    <mergeCell ref="Z42:Z44"/>
    <mergeCell ref="G46:G49"/>
    <mergeCell ref="Z46:Z48"/>
    <mergeCell ref="G26:G29"/>
    <mergeCell ref="Z26:Z28"/>
    <mergeCell ref="G30:G33"/>
    <mergeCell ref="Z30:Z32"/>
    <mergeCell ref="G34:G37"/>
    <mergeCell ref="Z34:Z36"/>
    <mergeCell ref="G18:G21"/>
    <mergeCell ref="Z18:Z20"/>
    <mergeCell ref="AW19:BF19"/>
    <mergeCell ref="G22:G25"/>
    <mergeCell ref="Z22:Z24"/>
    <mergeCell ref="AW23:BF23"/>
    <mergeCell ref="J5:K5"/>
    <mergeCell ref="G6:G9"/>
    <mergeCell ref="Z6:Z8"/>
    <mergeCell ref="AW7:BF7"/>
    <mergeCell ref="G14:G17"/>
    <mergeCell ref="Z14:Z16"/>
    <mergeCell ref="AW15:BF15"/>
    <mergeCell ref="AD1:AE1"/>
    <mergeCell ref="AD2:AE3"/>
    <mergeCell ref="H3:I3"/>
    <mergeCell ref="K3:L3"/>
    <mergeCell ref="B4:G4"/>
    <mergeCell ref="K4:L4"/>
    <mergeCell ref="AD4:AE4"/>
  </mergeCells>
  <conditionalFormatting sqref="AD2:AE3">
    <cfRule type="cellIs" dxfId="8038" priority="721" operator="lessThan">
      <formula>0.85</formula>
    </cfRule>
  </conditionalFormatting>
  <conditionalFormatting sqref="AM1:AM5 AM90:AM1048576">
    <cfRule type="cellIs" dxfId="8037" priority="720" operator="notEqual">
      <formula>0</formula>
    </cfRule>
  </conditionalFormatting>
  <conditionalFormatting sqref="AQ90:AQ92">
    <cfRule type="cellIs" dxfId="8036" priority="719" operator="lessThan">
      <formula>0</formula>
    </cfRule>
  </conditionalFormatting>
  <conditionalFormatting sqref="X90:Y90 X14:X89">
    <cfRule type="cellIs" dxfId="8035" priority="718" operator="lessThan">
      <formula>0</formula>
    </cfRule>
  </conditionalFormatting>
  <conditionalFormatting sqref="AM26:AM29">
    <cfRule type="cellIs" dxfId="8034" priority="716" operator="notEqual">
      <formula>0</formula>
    </cfRule>
  </conditionalFormatting>
  <conditionalFormatting sqref="I28">
    <cfRule type="cellIs" dxfId="8033" priority="715" operator="greaterThan">
      <formula>0</formula>
    </cfRule>
  </conditionalFormatting>
  <conditionalFormatting sqref="J28">
    <cfRule type="cellIs" dxfId="8032" priority="714" operator="greaterThan">
      <formula>0</formula>
    </cfRule>
  </conditionalFormatting>
  <conditionalFormatting sqref="AM66:AM69">
    <cfRule type="cellIs" dxfId="8031" priority="712" operator="notEqual">
      <formula>0</formula>
    </cfRule>
  </conditionalFormatting>
  <conditionalFormatting sqref="I68">
    <cfRule type="cellIs" dxfId="8030" priority="711" operator="greaterThan">
      <formula>0</formula>
    </cfRule>
  </conditionalFormatting>
  <conditionalFormatting sqref="AM22:AM25">
    <cfRule type="cellIs" dxfId="8029" priority="709" operator="notEqual">
      <formula>0</formula>
    </cfRule>
  </conditionalFormatting>
  <conditionalFormatting sqref="I24">
    <cfRule type="cellIs" dxfId="8028" priority="708" operator="greaterThan">
      <formula>0</formula>
    </cfRule>
  </conditionalFormatting>
  <conditionalFormatting sqref="J24">
    <cfRule type="cellIs" dxfId="8027" priority="707" operator="greaterThan">
      <formula>0</formula>
    </cfRule>
  </conditionalFormatting>
  <conditionalFormatting sqref="AM14:AM17">
    <cfRule type="cellIs" dxfId="8026" priority="705" operator="notEqual">
      <formula>0</formula>
    </cfRule>
  </conditionalFormatting>
  <conditionalFormatting sqref="I16">
    <cfRule type="cellIs" dxfId="8025" priority="704" operator="greaterThan">
      <formula>0</formula>
    </cfRule>
  </conditionalFormatting>
  <conditionalFormatting sqref="AM58:AM61">
    <cfRule type="cellIs" dxfId="8024" priority="702" operator="notEqual">
      <formula>0</formula>
    </cfRule>
  </conditionalFormatting>
  <conditionalFormatting sqref="I60">
    <cfRule type="cellIs" dxfId="8023" priority="701" operator="greaterThan">
      <formula>0</formula>
    </cfRule>
  </conditionalFormatting>
  <conditionalFormatting sqref="J60">
    <cfRule type="cellIs" dxfId="8022" priority="700" operator="greaterThan">
      <formula>0</formula>
    </cfRule>
  </conditionalFormatting>
  <conditionalFormatting sqref="AM34:AM37">
    <cfRule type="cellIs" dxfId="8021" priority="698" operator="notEqual">
      <formula>0</formula>
    </cfRule>
  </conditionalFormatting>
  <conditionalFormatting sqref="I36">
    <cfRule type="cellIs" dxfId="8020" priority="697" operator="greaterThan">
      <formula>0</formula>
    </cfRule>
  </conditionalFormatting>
  <conditionalFormatting sqref="J36">
    <cfRule type="cellIs" dxfId="8019" priority="696" operator="greaterThan">
      <formula>0</formula>
    </cfRule>
  </conditionalFormatting>
  <conditionalFormatting sqref="J16">
    <cfRule type="cellIs" dxfId="8018" priority="695" operator="greaterThan">
      <formula>0</formula>
    </cfRule>
  </conditionalFormatting>
  <conditionalFormatting sqref="J68">
    <cfRule type="cellIs" dxfId="8017" priority="694" operator="greaterThan">
      <formula>0</formula>
    </cfRule>
  </conditionalFormatting>
  <conditionalFormatting sqref="AM50:AM53">
    <cfRule type="cellIs" dxfId="8016" priority="692" operator="notEqual">
      <formula>0</formula>
    </cfRule>
  </conditionalFormatting>
  <conditionalFormatting sqref="I52">
    <cfRule type="cellIs" dxfId="8015" priority="691" operator="greaterThan">
      <formula>0</formula>
    </cfRule>
  </conditionalFormatting>
  <conditionalFormatting sqref="J52">
    <cfRule type="cellIs" dxfId="8014" priority="690" operator="greaterThan">
      <formula>0</formula>
    </cfRule>
  </conditionalFormatting>
  <conditionalFormatting sqref="AM30:AM33">
    <cfRule type="cellIs" dxfId="8013" priority="688" operator="notEqual">
      <formula>0</formula>
    </cfRule>
  </conditionalFormatting>
  <conditionalFormatting sqref="I32">
    <cfRule type="cellIs" dxfId="8012" priority="687" operator="greaterThan">
      <formula>0</formula>
    </cfRule>
  </conditionalFormatting>
  <conditionalFormatting sqref="J32">
    <cfRule type="cellIs" dxfId="8011" priority="686" operator="greaterThan">
      <formula>0</formula>
    </cfRule>
  </conditionalFormatting>
  <conditionalFormatting sqref="AM82:AM85">
    <cfRule type="cellIs" dxfId="8010" priority="684" operator="notEqual">
      <formula>0</formula>
    </cfRule>
  </conditionalFormatting>
  <conditionalFormatting sqref="I84">
    <cfRule type="cellIs" dxfId="8009" priority="683" operator="greaterThan">
      <formula>0</formula>
    </cfRule>
  </conditionalFormatting>
  <conditionalFormatting sqref="AM78:AM81">
    <cfRule type="cellIs" dxfId="8008" priority="681" operator="notEqual">
      <formula>0</formula>
    </cfRule>
  </conditionalFormatting>
  <conditionalFormatting sqref="I80">
    <cfRule type="cellIs" dxfId="8007" priority="680" operator="greaterThan">
      <formula>0</formula>
    </cfRule>
  </conditionalFormatting>
  <conditionalFormatting sqref="J80">
    <cfRule type="cellIs" dxfId="8006" priority="679" operator="greaterThan">
      <formula>0</formula>
    </cfRule>
  </conditionalFormatting>
  <conditionalFormatting sqref="Y16 Y24 Y28 Y32 Y36 Y52 Y60 Y68 Y80 Y84">
    <cfRule type="cellIs" dxfId="8005" priority="678" operator="lessThan">
      <formula>0</formula>
    </cfRule>
  </conditionalFormatting>
  <conditionalFormatting sqref="Y14:Y16 Y22:Y24 Y26:Y28 Y30:Y32 Y34:Y36 Y50:Y52 Y58:Y60 Y66:Y68 Y78:Y80 Y82:Y84">
    <cfRule type="cellIs" dxfId="8004" priority="677" operator="lessThan">
      <formula>0</formula>
    </cfRule>
  </conditionalFormatting>
  <conditionalFormatting sqref="Y17 Y25 Y29 Y33 Y37 Y53 Y61 Y81 Y85">
    <cfRule type="cellIs" dxfId="8003" priority="676" operator="lessThan">
      <formula>0</formula>
    </cfRule>
  </conditionalFormatting>
  <conditionalFormatting sqref="AM42:AM45">
    <cfRule type="cellIs" dxfId="8002" priority="674" operator="notEqual">
      <formula>0</formula>
    </cfRule>
  </conditionalFormatting>
  <conditionalFormatting sqref="I44">
    <cfRule type="cellIs" dxfId="8001" priority="673" operator="greaterThan">
      <formula>0</formula>
    </cfRule>
  </conditionalFormatting>
  <conditionalFormatting sqref="Y43">
    <cfRule type="iconSet" priority="672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8000" priority="671" operator="lessThan">
      <formula>0</formula>
    </cfRule>
  </conditionalFormatting>
  <conditionalFormatting sqref="Y42:Y44">
    <cfRule type="cellIs" dxfId="7999" priority="670" operator="lessThan">
      <formula>0</formula>
    </cfRule>
  </conditionalFormatting>
  <conditionalFormatting sqref="Y45">
    <cfRule type="cellIs" dxfId="7998" priority="669" operator="lessThan">
      <formula>0</formula>
    </cfRule>
  </conditionalFormatting>
  <conditionalFormatting sqref="AM46:AM49">
    <cfRule type="cellIs" dxfId="7997" priority="667" operator="notEqual">
      <formula>0</formula>
    </cfRule>
  </conditionalFormatting>
  <conditionalFormatting sqref="I48">
    <cfRule type="cellIs" dxfId="7996" priority="666" operator="greaterThan">
      <formula>0</formula>
    </cfRule>
  </conditionalFormatting>
  <conditionalFormatting sqref="Y47">
    <cfRule type="iconSet" priority="665">
      <iconSet>
        <cfvo type="percent" val="0"/>
        <cfvo type="percent" val="&quot;$I$6&quot;"/>
        <cfvo type="percent" val="#REF!"/>
      </iconSet>
    </cfRule>
  </conditionalFormatting>
  <conditionalFormatting sqref="Y48">
    <cfRule type="cellIs" dxfId="7995" priority="664" operator="lessThan">
      <formula>0</formula>
    </cfRule>
  </conditionalFormatting>
  <conditionalFormatting sqref="Y46:Y48">
    <cfRule type="cellIs" dxfId="7994" priority="663" operator="lessThan">
      <formula>0</formula>
    </cfRule>
  </conditionalFormatting>
  <conditionalFormatting sqref="Y49">
    <cfRule type="cellIs" dxfId="7993" priority="662" operator="lessThan">
      <formula>0</formula>
    </cfRule>
  </conditionalFormatting>
  <conditionalFormatting sqref="AM70:AM73">
    <cfRule type="cellIs" dxfId="7992" priority="660" operator="notEqual">
      <formula>0</formula>
    </cfRule>
  </conditionalFormatting>
  <conditionalFormatting sqref="I72">
    <cfRule type="cellIs" dxfId="7991" priority="659" operator="greaterThan">
      <formula>0</formula>
    </cfRule>
  </conditionalFormatting>
  <conditionalFormatting sqref="Y71">
    <cfRule type="iconSet" priority="658">
      <iconSet>
        <cfvo type="percent" val="0"/>
        <cfvo type="percent" val="&quot;$I$6&quot;"/>
        <cfvo type="percent" val="#REF!"/>
      </iconSet>
    </cfRule>
  </conditionalFormatting>
  <conditionalFormatting sqref="Y72">
    <cfRule type="cellIs" dxfId="7990" priority="657" operator="lessThan">
      <formula>0</formula>
    </cfRule>
  </conditionalFormatting>
  <conditionalFormatting sqref="Y70:Y72">
    <cfRule type="cellIs" dxfId="7989" priority="656" operator="lessThan">
      <formula>0</formula>
    </cfRule>
  </conditionalFormatting>
  <conditionalFormatting sqref="Y73">
    <cfRule type="cellIs" dxfId="7988" priority="655" operator="lessThan">
      <formula>0</formula>
    </cfRule>
  </conditionalFormatting>
  <conditionalFormatting sqref="AM18:AM21">
    <cfRule type="cellIs" dxfId="7987" priority="653" operator="notEqual">
      <formula>0</formula>
    </cfRule>
  </conditionalFormatting>
  <conditionalFormatting sqref="Y19">
    <cfRule type="iconSet" priority="652">
      <iconSet>
        <cfvo type="percent" val="0"/>
        <cfvo type="percent" val="&quot;$I$6&quot;"/>
        <cfvo type="percent" val="#REF!"/>
      </iconSet>
    </cfRule>
  </conditionalFormatting>
  <conditionalFormatting sqref="Y20">
    <cfRule type="cellIs" dxfId="7986" priority="651" operator="lessThan">
      <formula>0</formula>
    </cfRule>
  </conditionalFormatting>
  <conditionalFormatting sqref="Y18:Y20">
    <cfRule type="cellIs" dxfId="7985" priority="650" operator="lessThan">
      <formula>0</formula>
    </cfRule>
  </conditionalFormatting>
  <conditionalFormatting sqref="Y21">
    <cfRule type="cellIs" dxfId="7984" priority="649" operator="lessThan">
      <formula>0</formula>
    </cfRule>
  </conditionalFormatting>
  <conditionalFormatting sqref="AM86:AM87">
    <cfRule type="cellIs" dxfId="7983" priority="647" operator="notEqual">
      <formula>0</formula>
    </cfRule>
  </conditionalFormatting>
  <conditionalFormatting sqref="I88">
    <cfRule type="cellIs" dxfId="7982" priority="646" operator="greaterThan">
      <formula>0</formula>
    </cfRule>
  </conditionalFormatting>
  <conditionalFormatting sqref="Y87">
    <cfRule type="iconSet" priority="645">
      <iconSet>
        <cfvo type="percent" val="0"/>
        <cfvo type="percent" val="&quot;$I$6&quot;"/>
        <cfvo type="percent" val="#REF!"/>
      </iconSet>
    </cfRule>
  </conditionalFormatting>
  <conditionalFormatting sqref="Y88">
    <cfRule type="cellIs" dxfId="7981" priority="644" operator="lessThan">
      <formula>0</formula>
    </cfRule>
  </conditionalFormatting>
  <conditionalFormatting sqref="Y86:Y88">
    <cfRule type="cellIs" dxfId="7980" priority="643" operator="lessThan">
      <formula>0</formula>
    </cfRule>
  </conditionalFormatting>
  <conditionalFormatting sqref="Y89">
    <cfRule type="cellIs" dxfId="7979" priority="642" operator="lessThan">
      <formula>0</formula>
    </cfRule>
  </conditionalFormatting>
  <conditionalFormatting sqref="AM54:AM57">
    <cfRule type="cellIs" dxfId="7978" priority="640" operator="notEqual">
      <formula>0</formula>
    </cfRule>
  </conditionalFormatting>
  <conditionalFormatting sqref="I56">
    <cfRule type="cellIs" dxfId="7977" priority="639" operator="greaterThan">
      <formula>0</formula>
    </cfRule>
  </conditionalFormatting>
  <conditionalFormatting sqref="Y55">
    <cfRule type="iconSet" priority="638">
      <iconSet>
        <cfvo type="percent" val="0"/>
        <cfvo type="percent" val="&quot;$I$6&quot;"/>
        <cfvo type="percent" val="#REF!"/>
      </iconSet>
    </cfRule>
  </conditionalFormatting>
  <conditionalFormatting sqref="Y56">
    <cfRule type="cellIs" dxfId="7976" priority="637" operator="lessThan">
      <formula>0</formula>
    </cfRule>
  </conditionalFormatting>
  <conditionalFormatting sqref="Y54:Y56">
    <cfRule type="cellIs" dxfId="7975" priority="636" operator="lessThan">
      <formula>0</formula>
    </cfRule>
  </conditionalFormatting>
  <conditionalFormatting sqref="Y57">
    <cfRule type="cellIs" dxfId="7974" priority="635" operator="lessThan">
      <formula>0</formula>
    </cfRule>
  </conditionalFormatting>
  <conditionalFormatting sqref="AQ6">
    <cfRule type="cellIs" dxfId="7973" priority="634" operator="lessThan">
      <formula>0</formula>
    </cfRule>
  </conditionalFormatting>
  <conditionalFormatting sqref="AQ6">
    <cfRule type="cellIs" dxfId="7972" priority="633" operator="lessThan">
      <formula>0</formula>
    </cfRule>
  </conditionalFormatting>
  <conditionalFormatting sqref="AQ8:AQ9">
    <cfRule type="cellIs" dxfId="7971" priority="632" operator="lessThan">
      <formula>0</formula>
    </cfRule>
  </conditionalFormatting>
  <conditionalFormatting sqref="AQ8:AQ9">
    <cfRule type="cellIs" dxfId="7970" priority="631" operator="lessThan">
      <formula>0</formula>
    </cfRule>
  </conditionalFormatting>
  <conditionalFormatting sqref="AQ8:AQ9">
    <cfRule type="cellIs" dxfId="7969" priority="630" operator="lessThan">
      <formula>0</formula>
    </cfRule>
  </conditionalFormatting>
  <conditionalFormatting sqref="AQ8:AQ9">
    <cfRule type="cellIs" dxfId="7968" priority="629" operator="lessThan">
      <formula>0</formula>
    </cfRule>
  </conditionalFormatting>
  <conditionalFormatting sqref="AQ8:AQ9">
    <cfRule type="cellIs" dxfId="7967" priority="628" operator="lessThan">
      <formula>0</formula>
    </cfRule>
  </conditionalFormatting>
  <conditionalFormatting sqref="AQ8:AQ9">
    <cfRule type="cellIs" dxfId="7966" priority="627" operator="lessThan">
      <formula>0</formula>
    </cfRule>
  </conditionalFormatting>
  <conditionalFormatting sqref="AQ8:AQ9">
    <cfRule type="cellIs" dxfId="7965" priority="626" operator="lessThan">
      <formula>0</formula>
    </cfRule>
  </conditionalFormatting>
  <conditionalFormatting sqref="AQ8:AQ9">
    <cfRule type="cellIs" dxfId="7964" priority="625" operator="lessThan">
      <formula>0</formula>
    </cfRule>
  </conditionalFormatting>
  <conditionalFormatting sqref="AQ6">
    <cfRule type="cellIs" dxfId="7963" priority="624" operator="lessThan">
      <formula>0</formula>
    </cfRule>
  </conditionalFormatting>
  <conditionalFormatting sqref="AQ6 AQ8:AQ9">
    <cfRule type="cellIs" dxfId="7962" priority="623" operator="lessThan">
      <formula>0</formula>
    </cfRule>
  </conditionalFormatting>
  <conditionalFormatting sqref="AM6:AM9">
    <cfRule type="cellIs" dxfId="7961" priority="622" operator="notEqual">
      <formula>0</formula>
    </cfRule>
  </conditionalFormatting>
  <conditionalFormatting sqref="I8">
    <cfRule type="cellIs" dxfId="7960" priority="621" operator="greaterThan">
      <formula>0</formula>
    </cfRule>
  </conditionalFormatting>
  <conditionalFormatting sqref="AQ6 AQ8:AQ9">
    <cfRule type="cellIs" dxfId="7959" priority="620" operator="lessThan">
      <formula>0</formula>
    </cfRule>
  </conditionalFormatting>
  <conditionalFormatting sqref="AQ6 AQ8:AQ9">
    <cfRule type="cellIs" dxfId="7958" priority="619" operator="lessThan">
      <formula>0</formula>
    </cfRule>
  </conditionalFormatting>
  <conditionalFormatting sqref="AQ6 AQ8:AQ9">
    <cfRule type="cellIs" dxfId="7957" priority="618" operator="lessThan">
      <formula>0</formula>
    </cfRule>
  </conditionalFormatting>
  <conditionalFormatting sqref="J8">
    <cfRule type="cellIs" dxfId="7956" priority="617" operator="greaterThan">
      <formula>0</formula>
    </cfRule>
  </conditionalFormatting>
  <conditionalFormatting sqref="AQ8:AQ9">
    <cfRule type="cellIs" dxfId="7955" priority="616" operator="lessThan">
      <formula>0</formula>
    </cfRule>
  </conditionalFormatting>
  <conditionalFormatting sqref="AQ8:AQ9">
    <cfRule type="cellIs" dxfId="7954" priority="615" operator="lessThan">
      <formula>0</formula>
    </cfRule>
  </conditionalFormatting>
  <conditionalFormatting sqref="AQ8:AQ9">
    <cfRule type="cellIs" dxfId="7953" priority="614" operator="lessThan">
      <formula>0</formula>
    </cfRule>
  </conditionalFormatting>
  <conditionalFormatting sqref="AQ8:AQ9">
    <cfRule type="cellIs" dxfId="7952" priority="613" operator="lessThan">
      <formula>0</formula>
    </cfRule>
  </conditionalFormatting>
  <conditionalFormatting sqref="Y7">
    <cfRule type="iconSet" priority="611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7951" priority="610" operator="lessThan">
      <formula>0</formula>
    </cfRule>
  </conditionalFormatting>
  <conditionalFormatting sqref="Y6:Y8">
    <cfRule type="cellIs" dxfId="7950" priority="609" operator="lessThan">
      <formula>0</formula>
    </cfRule>
  </conditionalFormatting>
  <conditionalFormatting sqref="Y9">
    <cfRule type="cellIs" dxfId="7949" priority="608" operator="lessThan">
      <formula>0</formula>
    </cfRule>
  </conditionalFormatting>
  <conditionalFormatting sqref="J44">
    <cfRule type="cellIs" dxfId="7948" priority="607" operator="greaterThan">
      <formula>0</formula>
    </cfRule>
  </conditionalFormatting>
  <conditionalFormatting sqref="J48">
    <cfRule type="cellIs" dxfId="7947" priority="606" operator="greaterThan">
      <formula>0</formula>
    </cfRule>
  </conditionalFormatting>
  <conditionalFormatting sqref="J84">
    <cfRule type="cellIs" dxfId="7946" priority="605" operator="greaterThan">
      <formula>0</formula>
    </cfRule>
  </conditionalFormatting>
  <conditionalFormatting sqref="AM62:AM65">
    <cfRule type="cellIs" dxfId="7945" priority="603" operator="notEqual">
      <formula>0</formula>
    </cfRule>
  </conditionalFormatting>
  <conditionalFormatting sqref="Y63">
    <cfRule type="iconSet" priority="602">
      <iconSet>
        <cfvo type="percent" val="0"/>
        <cfvo type="percent" val="&quot;$I$6&quot;"/>
        <cfvo type="percent" val="#REF!"/>
      </iconSet>
    </cfRule>
  </conditionalFormatting>
  <conditionalFormatting sqref="Y64">
    <cfRule type="cellIs" dxfId="7944" priority="601" operator="lessThan">
      <formula>0</formula>
    </cfRule>
  </conditionalFormatting>
  <conditionalFormatting sqref="Y62:Y64">
    <cfRule type="cellIs" dxfId="7943" priority="600" operator="lessThan">
      <formula>0</formula>
    </cfRule>
  </conditionalFormatting>
  <conditionalFormatting sqref="Y65">
    <cfRule type="cellIs" dxfId="7942" priority="599" operator="lessThan">
      <formula>0</formula>
    </cfRule>
  </conditionalFormatting>
  <conditionalFormatting sqref="I64">
    <cfRule type="cellIs" dxfId="7941" priority="598" operator="greaterThan">
      <formula>0</formula>
    </cfRule>
  </conditionalFormatting>
  <conditionalFormatting sqref="AM38:AM41">
    <cfRule type="cellIs" dxfId="7940" priority="596" operator="notEqual">
      <formula>0</formula>
    </cfRule>
  </conditionalFormatting>
  <conditionalFormatting sqref="I40">
    <cfRule type="cellIs" dxfId="7939" priority="595" operator="greaterThan">
      <formula>0</formula>
    </cfRule>
  </conditionalFormatting>
  <conditionalFormatting sqref="Y39">
    <cfRule type="iconSet" priority="594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7938" priority="593" operator="lessThan">
      <formula>0</formula>
    </cfRule>
  </conditionalFormatting>
  <conditionalFormatting sqref="Y38:Y40">
    <cfRule type="cellIs" dxfId="7937" priority="592" operator="lessThan">
      <formula>0</formula>
    </cfRule>
  </conditionalFormatting>
  <conditionalFormatting sqref="Y41">
    <cfRule type="cellIs" dxfId="7936" priority="591" operator="lessThan">
      <formula>0</formula>
    </cfRule>
  </conditionalFormatting>
  <conditionalFormatting sqref="Y69">
    <cfRule type="cellIs" dxfId="7935" priority="590" operator="lessThan">
      <formula>0</formula>
    </cfRule>
  </conditionalFormatting>
  <conditionalFormatting sqref="J56">
    <cfRule type="cellIs" dxfId="7934" priority="589" operator="greaterThan">
      <formula>0</formula>
    </cfRule>
  </conditionalFormatting>
  <conditionalFormatting sqref="Z33">
    <cfRule type="cellIs" dxfId="7933" priority="588" operator="lessThan">
      <formula>0</formula>
    </cfRule>
  </conditionalFormatting>
  <conditionalFormatting sqref="Y83 Y15 Y23 Y27 Y31 Y35 Y51 Y59 Y67 Y79">
    <cfRule type="iconSet" priority="722">
      <iconSet>
        <cfvo type="percent" val="0"/>
        <cfvo type="percent" val="&quot;$I$6&quot;"/>
        <cfvo type="percent" val="#REF!"/>
      </iconSet>
    </cfRule>
  </conditionalFormatting>
  <conditionalFormatting sqref="AQ7">
    <cfRule type="cellIs" dxfId="7932" priority="587" operator="lessThan">
      <formula>0</formula>
    </cfRule>
  </conditionalFormatting>
  <conditionalFormatting sqref="AQ7">
    <cfRule type="cellIs" dxfId="7931" priority="586" operator="lessThan">
      <formula>0</formula>
    </cfRule>
  </conditionalFormatting>
  <conditionalFormatting sqref="AQ7">
    <cfRule type="cellIs" dxfId="7930" priority="585" operator="lessThan">
      <formula>0</formula>
    </cfRule>
  </conditionalFormatting>
  <conditionalFormatting sqref="AQ7">
    <cfRule type="cellIs" dxfId="7929" priority="584" operator="lessThan">
      <formula>0</formula>
    </cfRule>
  </conditionalFormatting>
  <conditionalFormatting sqref="AQ7">
    <cfRule type="cellIs" dxfId="7928" priority="583" operator="lessThan">
      <formula>0</formula>
    </cfRule>
  </conditionalFormatting>
  <conditionalFormatting sqref="AQ7">
    <cfRule type="cellIs" dxfId="7927" priority="582" operator="lessThan">
      <formula>0</formula>
    </cfRule>
  </conditionalFormatting>
  <conditionalFormatting sqref="AQ7">
    <cfRule type="cellIs" dxfId="7926" priority="581" operator="lessThan">
      <formula>0</formula>
    </cfRule>
  </conditionalFormatting>
  <conditionalFormatting sqref="AQ7">
    <cfRule type="cellIs" dxfId="7925" priority="580" operator="lessThan">
      <formula>0</formula>
    </cfRule>
  </conditionalFormatting>
  <conditionalFormatting sqref="AQ7">
    <cfRule type="cellIs" dxfId="7924" priority="579" operator="lessThan">
      <formula>0</formula>
    </cfRule>
  </conditionalFormatting>
  <conditionalFormatting sqref="AQ7">
    <cfRule type="cellIs" dxfId="7923" priority="578" operator="lessThan">
      <formula>0</formula>
    </cfRule>
  </conditionalFormatting>
  <conditionalFormatting sqref="AQ7">
    <cfRule type="cellIs" dxfId="7922" priority="577" operator="lessThan">
      <formula>0</formula>
    </cfRule>
  </conditionalFormatting>
  <conditionalFormatting sqref="AQ7">
    <cfRule type="cellIs" dxfId="7921" priority="576" operator="lessThan">
      <formula>0</formula>
    </cfRule>
  </conditionalFormatting>
  <conditionalFormatting sqref="AQ7">
    <cfRule type="cellIs" dxfId="7920" priority="575" operator="lessThan">
      <formula>0</formula>
    </cfRule>
  </conditionalFormatting>
  <conditionalFormatting sqref="AQ7">
    <cfRule type="cellIs" dxfId="7919" priority="574" operator="lessThan">
      <formula>0</formula>
    </cfRule>
  </conditionalFormatting>
  <conditionalFormatting sqref="AQ7">
    <cfRule type="cellIs" dxfId="7918" priority="573" operator="lessThan">
      <formula>0</formula>
    </cfRule>
  </conditionalFormatting>
  <conditionalFormatting sqref="AQ7">
    <cfRule type="cellIs" dxfId="7917" priority="572" operator="lessThan">
      <formula>0</formula>
    </cfRule>
  </conditionalFormatting>
  <conditionalFormatting sqref="AQ7">
    <cfRule type="cellIs" dxfId="7916" priority="571" operator="lessThan">
      <formula>0</formula>
    </cfRule>
  </conditionalFormatting>
  <conditionalFormatting sqref="AQ7">
    <cfRule type="cellIs" dxfId="7915" priority="570" operator="lessThan">
      <formula>0</formula>
    </cfRule>
  </conditionalFormatting>
  <conditionalFormatting sqref="AQ7">
    <cfRule type="cellIs" dxfId="7914" priority="569" operator="lessThan">
      <formula>0</formula>
    </cfRule>
  </conditionalFormatting>
  <conditionalFormatting sqref="AQ7">
    <cfRule type="cellIs" dxfId="7913" priority="568" operator="lessThan">
      <formula>0</formula>
    </cfRule>
  </conditionalFormatting>
  <conditionalFormatting sqref="AQ7">
    <cfRule type="cellIs" dxfId="7912" priority="567" operator="lessThan">
      <formula>0</formula>
    </cfRule>
  </conditionalFormatting>
  <conditionalFormatting sqref="AQ7">
    <cfRule type="cellIs" dxfId="7911" priority="566" operator="lessThan">
      <formula>0</formula>
    </cfRule>
  </conditionalFormatting>
  <conditionalFormatting sqref="AQ7">
    <cfRule type="cellIs" dxfId="7910" priority="565" operator="lessThan">
      <formula>0</formula>
    </cfRule>
  </conditionalFormatting>
  <conditionalFormatting sqref="AQ7">
    <cfRule type="cellIs" dxfId="7909" priority="564" operator="lessThan">
      <formula>0</formula>
    </cfRule>
  </conditionalFormatting>
  <conditionalFormatting sqref="AQ7">
    <cfRule type="cellIs" dxfId="7908" priority="563" operator="lessThan">
      <formula>0</formula>
    </cfRule>
  </conditionalFormatting>
  <conditionalFormatting sqref="AQ7">
    <cfRule type="cellIs" dxfId="7907" priority="562" operator="lessThan">
      <formula>0</formula>
    </cfRule>
  </conditionalFormatting>
  <conditionalFormatting sqref="AQ7">
    <cfRule type="cellIs" dxfId="7906" priority="561" operator="lessThan">
      <formula>0</formula>
    </cfRule>
  </conditionalFormatting>
  <conditionalFormatting sqref="AQ7">
    <cfRule type="cellIs" dxfId="7905" priority="560" operator="lessThan">
      <formula>0</formula>
    </cfRule>
  </conditionalFormatting>
  <conditionalFormatting sqref="AQ7">
    <cfRule type="cellIs" dxfId="7904" priority="559" operator="lessThan">
      <formula>0</formula>
    </cfRule>
  </conditionalFormatting>
  <conditionalFormatting sqref="AQ7">
    <cfRule type="cellIs" dxfId="7903" priority="558" operator="lessThan">
      <formula>0</formula>
    </cfRule>
  </conditionalFormatting>
  <conditionalFormatting sqref="AQ7">
    <cfRule type="cellIs" dxfId="7902" priority="557" operator="lessThan">
      <formula>0</formula>
    </cfRule>
  </conditionalFormatting>
  <conditionalFormatting sqref="AQ7">
    <cfRule type="cellIs" dxfId="7901" priority="556" operator="lessThan">
      <formula>0</formula>
    </cfRule>
  </conditionalFormatting>
  <conditionalFormatting sqref="AQ7">
    <cfRule type="cellIs" dxfId="7900" priority="555" operator="lessThan">
      <formula>0</formula>
    </cfRule>
  </conditionalFormatting>
  <conditionalFormatting sqref="AQ7">
    <cfRule type="cellIs" dxfId="7899" priority="554" operator="lessThan">
      <formula>0</formula>
    </cfRule>
  </conditionalFormatting>
  <conditionalFormatting sqref="AQ7">
    <cfRule type="cellIs" dxfId="7898" priority="553" operator="lessThan">
      <formula>0</formula>
    </cfRule>
  </conditionalFormatting>
  <conditionalFormatting sqref="AQ7">
    <cfRule type="cellIs" dxfId="7897" priority="552" operator="lessThan">
      <formula>0</formula>
    </cfRule>
  </conditionalFormatting>
  <conditionalFormatting sqref="AQ7">
    <cfRule type="cellIs" dxfId="7896" priority="551" operator="lessThan">
      <formula>0</formula>
    </cfRule>
  </conditionalFormatting>
  <conditionalFormatting sqref="AQ7">
    <cfRule type="cellIs" dxfId="7895" priority="550" operator="lessThan">
      <formula>0</formula>
    </cfRule>
  </conditionalFormatting>
  <conditionalFormatting sqref="AQ7">
    <cfRule type="cellIs" dxfId="7894" priority="549" operator="lessThan">
      <formula>0</formula>
    </cfRule>
  </conditionalFormatting>
  <conditionalFormatting sqref="AQ7">
    <cfRule type="cellIs" dxfId="7893" priority="548" operator="lessThan">
      <formula>0</formula>
    </cfRule>
  </conditionalFormatting>
  <conditionalFormatting sqref="AQ7">
    <cfRule type="cellIs" dxfId="7892" priority="547" operator="lessThan">
      <formula>0</formula>
    </cfRule>
  </conditionalFormatting>
  <conditionalFormatting sqref="AQ7">
    <cfRule type="cellIs" dxfId="7891" priority="546" operator="lessThan">
      <formula>0</formula>
    </cfRule>
  </conditionalFormatting>
  <conditionalFormatting sqref="AQ7">
    <cfRule type="cellIs" dxfId="7890" priority="545" operator="lessThan">
      <formula>0</formula>
    </cfRule>
  </conditionalFormatting>
  <conditionalFormatting sqref="AQ7">
    <cfRule type="cellIs" dxfId="7889" priority="544" operator="lessThan">
      <formula>0</formula>
    </cfRule>
  </conditionalFormatting>
  <conditionalFormatting sqref="AQ7">
    <cfRule type="cellIs" dxfId="7888" priority="543" operator="lessThan">
      <formula>0</formula>
    </cfRule>
  </conditionalFormatting>
  <conditionalFormatting sqref="AQ7">
    <cfRule type="cellIs" dxfId="7887" priority="542" operator="lessThan">
      <formula>0</formula>
    </cfRule>
  </conditionalFormatting>
  <conditionalFormatting sqref="AQ7">
    <cfRule type="cellIs" dxfId="7886" priority="541" operator="lessThan">
      <formula>0</formula>
    </cfRule>
  </conditionalFormatting>
  <conditionalFormatting sqref="AQ7">
    <cfRule type="cellIs" dxfId="7885" priority="540" operator="lessThan">
      <formula>0</formula>
    </cfRule>
  </conditionalFormatting>
  <conditionalFormatting sqref="AQ7">
    <cfRule type="cellIs" dxfId="7884" priority="539" operator="lessThan">
      <formula>0</formula>
    </cfRule>
  </conditionalFormatting>
  <conditionalFormatting sqref="AQ7">
    <cfRule type="cellIs" dxfId="7883" priority="538" operator="lessThan">
      <formula>0</formula>
    </cfRule>
  </conditionalFormatting>
  <conditionalFormatting sqref="AQ7">
    <cfRule type="cellIs" dxfId="7882" priority="537" operator="lessThan">
      <formula>0</formula>
    </cfRule>
  </conditionalFormatting>
  <conditionalFormatting sqref="AQ7">
    <cfRule type="cellIs" dxfId="7881" priority="536" operator="lessThan">
      <formula>0</formula>
    </cfRule>
  </conditionalFormatting>
  <conditionalFormatting sqref="AQ7">
    <cfRule type="cellIs" dxfId="7880" priority="535" operator="lessThan">
      <formula>0</formula>
    </cfRule>
  </conditionalFormatting>
  <conditionalFormatting sqref="AQ7">
    <cfRule type="cellIs" dxfId="7879" priority="534" operator="lessThan">
      <formula>0</formula>
    </cfRule>
  </conditionalFormatting>
  <conditionalFormatting sqref="AQ7">
    <cfRule type="cellIs" dxfId="7878" priority="533" operator="lessThan">
      <formula>0</formula>
    </cfRule>
  </conditionalFormatting>
  <conditionalFormatting sqref="AQ7">
    <cfRule type="cellIs" dxfId="7877" priority="532" operator="lessThan">
      <formula>0</formula>
    </cfRule>
  </conditionalFormatting>
  <conditionalFormatting sqref="AQ7">
    <cfRule type="cellIs" dxfId="7876" priority="531" operator="lessThan">
      <formula>0</formula>
    </cfRule>
  </conditionalFormatting>
  <conditionalFormatting sqref="AQ7">
    <cfRule type="cellIs" dxfId="7875" priority="530" operator="lessThan">
      <formula>0</formula>
    </cfRule>
  </conditionalFormatting>
  <conditionalFormatting sqref="AQ7">
    <cfRule type="cellIs" dxfId="7874" priority="529" operator="lessThan">
      <formula>0</formula>
    </cfRule>
  </conditionalFormatting>
  <conditionalFormatting sqref="AQ7">
    <cfRule type="cellIs" dxfId="7873" priority="528" operator="lessThan">
      <formula>0</formula>
    </cfRule>
  </conditionalFormatting>
  <conditionalFormatting sqref="AQ7">
    <cfRule type="cellIs" dxfId="7872" priority="527" operator="lessThan">
      <formula>0</formula>
    </cfRule>
  </conditionalFormatting>
  <conditionalFormatting sqref="AQ7">
    <cfRule type="cellIs" dxfId="7871" priority="526" operator="lessThan">
      <formula>0</formula>
    </cfRule>
  </conditionalFormatting>
  <conditionalFormatting sqref="AQ7">
    <cfRule type="cellIs" dxfId="7870" priority="525" operator="lessThan">
      <formula>0</formula>
    </cfRule>
  </conditionalFormatting>
  <conditionalFormatting sqref="AQ7">
    <cfRule type="cellIs" dxfId="7869" priority="524" operator="lessThan">
      <formula>0</formula>
    </cfRule>
  </conditionalFormatting>
  <conditionalFormatting sqref="AQ7">
    <cfRule type="cellIs" dxfId="7868" priority="523" operator="lessThan">
      <formula>0</formula>
    </cfRule>
  </conditionalFormatting>
  <conditionalFormatting sqref="AQ7">
    <cfRule type="cellIs" dxfId="7867" priority="522" operator="lessThan">
      <formula>0</formula>
    </cfRule>
  </conditionalFormatting>
  <conditionalFormatting sqref="AQ7">
    <cfRule type="cellIs" dxfId="7866" priority="521" operator="lessThan">
      <formula>0</formula>
    </cfRule>
  </conditionalFormatting>
  <conditionalFormatting sqref="AQ7">
    <cfRule type="cellIs" dxfId="7865" priority="520" operator="lessThan">
      <formula>0</formula>
    </cfRule>
  </conditionalFormatting>
  <conditionalFormatting sqref="AQ7">
    <cfRule type="cellIs" dxfId="7864" priority="519" operator="lessThan">
      <formula>0</formula>
    </cfRule>
  </conditionalFormatting>
  <conditionalFormatting sqref="AQ7">
    <cfRule type="cellIs" dxfId="7863" priority="518" operator="lessThan">
      <formula>0</formula>
    </cfRule>
  </conditionalFormatting>
  <conditionalFormatting sqref="AQ7">
    <cfRule type="cellIs" dxfId="7862" priority="517" operator="lessThan">
      <formula>0</formula>
    </cfRule>
  </conditionalFormatting>
  <conditionalFormatting sqref="AQ7">
    <cfRule type="cellIs" dxfId="7861" priority="516" operator="lessThan">
      <formula>0</formula>
    </cfRule>
  </conditionalFormatting>
  <conditionalFormatting sqref="AQ7">
    <cfRule type="cellIs" dxfId="7860" priority="515" operator="lessThan">
      <formula>0</formula>
    </cfRule>
  </conditionalFormatting>
  <conditionalFormatting sqref="AQ7">
    <cfRule type="cellIs" dxfId="7859" priority="514" operator="lessThan">
      <formula>0</formula>
    </cfRule>
  </conditionalFormatting>
  <conditionalFormatting sqref="AQ7">
    <cfRule type="cellIs" dxfId="7858" priority="513" operator="lessThan">
      <formula>0</formula>
    </cfRule>
  </conditionalFormatting>
  <conditionalFormatting sqref="AQ7">
    <cfRule type="cellIs" dxfId="7857" priority="512" operator="lessThan">
      <formula>0</formula>
    </cfRule>
  </conditionalFormatting>
  <conditionalFormatting sqref="AQ7">
    <cfRule type="cellIs" dxfId="7856" priority="511" operator="lessThan">
      <formula>0</formula>
    </cfRule>
  </conditionalFormatting>
  <conditionalFormatting sqref="AQ7">
    <cfRule type="cellIs" dxfId="7855" priority="510" operator="lessThan">
      <formula>0</formula>
    </cfRule>
  </conditionalFormatting>
  <conditionalFormatting sqref="AQ7">
    <cfRule type="cellIs" dxfId="7854" priority="509" operator="lessThan">
      <formula>0</formula>
    </cfRule>
  </conditionalFormatting>
  <conditionalFormatting sqref="AQ7">
    <cfRule type="cellIs" dxfId="7853" priority="508" operator="lessThan">
      <formula>0</formula>
    </cfRule>
  </conditionalFormatting>
  <conditionalFormatting sqref="AQ7">
    <cfRule type="cellIs" dxfId="7852" priority="492" operator="lessThan">
      <formula>0</formula>
    </cfRule>
  </conditionalFormatting>
  <conditionalFormatting sqref="AQ7">
    <cfRule type="cellIs" dxfId="7851" priority="507" operator="lessThan">
      <formula>0</formula>
    </cfRule>
  </conditionalFormatting>
  <conditionalFormatting sqref="AQ7">
    <cfRule type="cellIs" dxfId="7850" priority="506" operator="lessThan">
      <formula>0</formula>
    </cfRule>
  </conditionalFormatting>
  <conditionalFormatting sqref="AQ7">
    <cfRule type="cellIs" dxfId="7849" priority="505" operator="lessThan">
      <formula>0</formula>
    </cfRule>
  </conditionalFormatting>
  <conditionalFormatting sqref="AQ7">
    <cfRule type="cellIs" dxfId="7848" priority="504" operator="lessThan">
      <formula>0</formula>
    </cfRule>
  </conditionalFormatting>
  <conditionalFormatting sqref="AQ7">
    <cfRule type="cellIs" dxfId="7847" priority="503" operator="lessThan">
      <formula>0</formula>
    </cfRule>
  </conditionalFormatting>
  <conditionalFormatting sqref="AQ7">
    <cfRule type="cellIs" dxfId="7846" priority="502" operator="lessThan">
      <formula>0</formula>
    </cfRule>
  </conditionalFormatting>
  <conditionalFormatting sqref="AQ7">
    <cfRule type="cellIs" dxfId="7845" priority="501" operator="lessThan">
      <formula>0</formula>
    </cfRule>
  </conditionalFormatting>
  <conditionalFormatting sqref="AQ7">
    <cfRule type="cellIs" dxfId="7844" priority="500" operator="lessThan">
      <formula>0</formula>
    </cfRule>
  </conditionalFormatting>
  <conditionalFormatting sqref="AQ7">
    <cfRule type="cellIs" dxfId="7843" priority="499" operator="lessThan">
      <formula>0</formula>
    </cfRule>
  </conditionalFormatting>
  <conditionalFormatting sqref="AQ7">
    <cfRule type="cellIs" dxfId="7842" priority="498" operator="lessThan">
      <formula>0</formula>
    </cfRule>
  </conditionalFormatting>
  <conditionalFormatting sqref="AQ7">
    <cfRule type="cellIs" dxfId="7841" priority="497" operator="lessThan">
      <formula>0</formula>
    </cfRule>
  </conditionalFormatting>
  <conditionalFormatting sqref="AQ7">
    <cfRule type="cellIs" dxfId="7840" priority="496" operator="lessThan">
      <formula>0</formula>
    </cfRule>
  </conditionalFormatting>
  <conditionalFormatting sqref="AQ7">
    <cfRule type="cellIs" dxfId="7839" priority="495" operator="lessThan">
      <formula>0</formula>
    </cfRule>
  </conditionalFormatting>
  <conditionalFormatting sqref="AQ7">
    <cfRule type="cellIs" dxfId="7838" priority="494" operator="lessThan">
      <formula>0</formula>
    </cfRule>
  </conditionalFormatting>
  <conditionalFormatting sqref="AQ7">
    <cfRule type="cellIs" dxfId="7837" priority="493" operator="lessThan">
      <formula>0</formula>
    </cfRule>
  </conditionalFormatting>
  <conditionalFormatting sqref="J64">
    <cfRule type="cellIs" dxfId="7836" priority="491" operator="greaterThan">
      <formula>0</formula>
    </cfRule>
  </conditionalFormatting>
  <conditionalFormatting sqref="AM74:AM77">
    <cfRule type="cellIs" dxfId="7835" priority="488" operator="notEqual">
      <formula>0</formula>
    </cfRule>
  </conditionalFormatting>
  <conditionalFormatting sqref="I76">
    <cfRule type="cellIs" dxfId="7834" priority="487" operator="greaterThan">
      <formula>0</formula>
    </cfRule>
  </conditionalFormatting>
  <conditionalFormatting sqref="J76">
    <cfRule type="cellIs" dxfId="7833" priority="486" operator="greaterThan">
      <formula>0</formula>
    </cfRule>
  </conditionalFormatting>
  <conditionalFormatting sqref="Y76">
    <cfRule type="cellIs" dxfId="7832" priority="485" operator="lessThan">
      <formula>0</formula>
    </cfRule>
  </conditionalFormatting>
  <conditionalFormatting sqref="Y74:Y76">
    <cfRule type="cellIs" dxfId="7831" priority="484" operator="lessThan">
      <formula>0</formula>
    </cfRule>
  </conditionalFormatting>
  <conditionalFormatting sqref="Y77">
    <cfRule type="cellIs" dxfId="7830" priority="483" operator="lessThan">
      <formula>0</formula>
    </cfRule>
  </conditionalFormatting>
  <conditionalFormatting sqref="Y75">
    <cfRule type="iconSet" priority="490">
      <iconSet>
        <cfvo type="percent" val="0"/>
        <cfvo type="percent" val="&quot;$I$6&quot;"/>
        <cfvo type="percent" val="#REF!"/>
      </iconSet>
    </cfRule>
  </conditionalFormatting>
  <conditionalFormatting sqref="X7">
    <cfRule type="iconSet" priority="482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7829" priority="481" operator="lessThan">
      <formula>0</formula>
    </cfRule>
  </conditionalFormatting>
  <conditionalFormatting sqref="X6:X9">
    <cfRule type="cellIs" dxfId="7828" priority="480" operator="lessThan">
      <formula>0</formula>
    </cfRule>
  </conditionalFormatting>
  <conditionalFormatting sqref="X75 X15 X19 X23 X27 X31 X35 X39 X43 X47 X51 X55 X59 X63 X67 X71 X79 X83 X87">
    <cfRule type="iconSet" priority="479">
      <iconSet>
        <cfvo type="percent" val="0"/>
        <cfvo type="percent" val="&quot;$I$6&quot;"/>
        <cfvo type="percent" val="#REF!"/>
      </iconSet>
    </cfRule>
  </conditionalFormatting>
  <conditionalFormatting sqref="X16 X20 X24 X28 X32 X36 X40 X44 X48 X52 X56 X60 X64 X68 X72 X76 X80 X84 X88">
    <cfRule type="cellIs" dxfId="7827" priority="478" operator="lessThan">
      <formula>0</formula>
    </cfRule>
  </conditionalFormatting>
  <conditionalFormatting sqref="AQ14 AQ18">
    <cfRule type="cellIs" dxfId="7826" priority="477" operator="lessThan">
      <formula>0</formula>
    </cfRule>
  </conditionalFormatting>
  <conditionalFormatting sqref="AQ14 AQ18">
    <cfRule type="cellIs" dxfId="7825" priority="476" operator="lessThan">
      <formula>0</formula>
    </cfRule>
  </conditionalFormatting>
  <conditionalFormatting sqref="AQ16:AQ17 AQ20:AQ21">
    <cfRule type="cellIs" dxfId="7824" priority="475" operator="lessThan">
      <formula>0</formula>
    </cfRule>
  </conditionalFormatting>
  <conditionalFormatting sqref="AQ16:AQ17 AQ20:AQ21">
    <cfRule type="cellIs" dxfId="7823" priority="474" operator="lessThan">
      <formula>0</formula>
    </cfRule>
  </conditionalFormatting>
  <conditionalFormatting sqref="AQ16:AQ17 AQ20:AQ21">
    <cfRule type="cellIs" dxfId="7822" priority="473" operator="lessThan">
      <formula>0</formula>
    </cfRule>
  </conditionalFormatting>
  <conditionalFormatting sqref="AQ16:AQ17 AQ20:AQ21">
    <cfRule type="cellIs" dxfId="7821" priority="472" operator="lessThan">
      <formula>0</formula>
    </cfRule>
  </conditionalFormatting>
  <conditionalFormatting sqref="AQ16:AQ17 AQ20:AQ21">
    <cfRule type="cellIs" dxfId="7820" priority="471" operator="lessThan">
      <formula>0</formula>
    </cfRule>
  </conditionalFormatting>
  <conditionalFormatting sqref="AQ16:AQ17 AQ20:AQ21">
    <cfRule type="cellIs" dxfId="7819" priority="470" operator="lessThan">
      <formula>0</formula>
    </cfRule>
  </conditionalFormatting>
  <conditionalFormatting sqref="AQ16:AQ17 AQ20:AQ21">
    <cfRule type="cellIs" dxfId="7818" priority="469" operator="lessThan">
      <formula>0</formula>
    </cfRule>
  </conditionalFormatting>
  <conditionalFormatting sqref="AQ16:AQ17 AQ20:AQ21">
    <cfRule type="cellIs" dxfId="7817" priority="468" operator="lessThan">
      <formula>0</formula>
    </cfRule>
  </conditionalFormatting>
  <conditionalFormatting sqref="AQ14 AQ18">
    <cfRule type="cellIs" dxfId="7816" priority="467" operator="lessThan">
      <formula>0</formula>
    </cfRule>
  </conditionalFormatting>
  <conditionalFormatting sqref="AQ14 AQ16:AQ18 AQ20:AQ21">
    <cfRule type="cellIs" dxfId="7815" priority="466" operator="lessThan">
      <formula>0</formula>
    </cfRule>
  </conditionalFormatting>
  <conditionalFormatting sqref="AQ14 AQ16:AQ18 AQ20:AQ21">
    <cfRule type="cellIs" dxfId="7814" priority="465" operator="lessThan">
      <formula>0</formula>
    </cfRule>
  </conditionalFormatting>
  <conditionalFormatting sqref="AQ14 AQ16:AQ18 AQ20:AQ21">
    <cfRule type="cellIs" dxfId="7813" priority="464" operator="lessThan">
      <formula>0</formula>
    </cfRule>
  </conditionalFormatting>
  <conditionalFormatting sqref="AQ14 AQ16:AQ18 AQ20:AQ21">
    <cfRule type="cellIs" dxfId="7812" priority="463" operator="lessThan">
      <formula>0</formula>
    </cfRule>
  </conditionalFormatting>
  <conditionalFormatting sqref="AQ16:AQ17 AQ20:AQ21">
    <cfRule type="cellIs" dxfId="7811" priority="462" operator="lessThan">
      <formula>0</formula>
    </cfRule>
  </conditionalFormatting>
  <conditionalFormatting sqref="AQ16:AQ17 AQ20:AQ21">
    <cfRule type="cellIs" dxfId="7810" priority="461" operator="lessThan">
      <formula>0</formula>
    </cfRule>
  </conditionalFormatting>
  <conditionalFormatting sqref="AQ16:AQ17 AQ20:AQ21">
    <cfRule type="cellIs" dxfId="7809" priority="460" operator="lessThan">
      <formula>0</formula>
    </cfRule>
  </conditionalFormatting>
  <conditionalFormatting sqref="AQ16:AQ17 AQ20:AQ21">
    <cfRule type="cellIs" dxfId="7808" priority="459" operator="lessThan">
      <formula>0</formula>
    </cfRule>
  </conditionalFormatting>
  <conditionalFormatting sqref="AQ15 AQ19">
    <cfRule type="cellIs" dxfId="7807" priority="458" operator="lessThan">
      <formula>0</formula>
    </cfRule>
  </conditionalFormatting>
  <conditionalFormatting sqref="AQ15 AQ19">
    <cfRule type="cellIs" dxfId="7806" priority="457" operator="lessThan">
      <formula>0</formula>
    </cfRule>
  </conditionalFormatting>
  <conditionalFormatting sqref="AQ15 AQ19">
    <cfRule type="cellIs" dxfId="7805" priority="456" operator="lessThan">
      <formula>0</formula>
    </cfRule>
  </conditionalFormatting>
  <conditionalFormatting sqref="AQ15 AQ19">
    <cfRule type="cellIs" dxfId="7804" priority="455" operator="lessThan">
      <formula>0</formula>
    </cfRule>
  </conditionalFormatting>
  <conditionalFormatting sqref="AQ15 AQ19">
    <cfRule type="cellIs" dxfId="7803" priority="454" operator="lessThan">
      <formula>0</formula>
    </cfRule>
  </conditionalFormatting>
  <conditionalFormatting sqref="AQ15 AQ19">
    <cfRule type="cellIs" dxfId="7802" priority="453" operator="lessThan">
      <formula>0</formula>
    </cfRule>
  </conditionalFormatting>
  <conditionalFormatting sqref="AQ15 AQ19">
    <cfRule type="cellIs" dxfId="7801" priority="452" operator="lessThan">
      <formula>0</formula>
    </cfRule>
  </conditionalFormatting>
  <conditionalFormatting sqref="AQ15 AQ19">
    <cfRule type="cellIs" dxfId="7800" priority="451" operator="lessThan">
      <formula>0</formula>
    </cfRule>
  </conditionalFormatting>
  <conditionalFormatting sqref="AQ15 AQ19">
    <cfRule type="cellIs" dxfId="7799" priority="450" operator="lessThan">
      <formula>0</formula>
    </cfRule>
  </conditionalFormatting>
  <conditionalFormatting sqref="AQ15 AQ19">
    <cfRule type="cellIs" dxfId="7798" priority="449" operator="lessThan">
      <formula>0</formula>
    </cfRule>
  </conditionalFormatting>
  <conditionalFormatting sqref="AQ15 AQ19">
    <cfRule type="cellIs" dxfId="7797" priority="448" operator="lessThan">
      <formula>0</formula>
    </cfRule>
  </conditionalFormatting>
  <conditionalFormatting sqref="AQ15 AQ19">
    <cfRule type="cellIs" dxfId="7796" priority="447" operator="lessThan">
      <formula>0</formula>
    </cfRule>
  </conditionalFormatting>
  <conditionalFormatting sqref="AQ15 AQ19">
    <cfRule type="cellIs" dxfId="7795" priority="446" operator="lessThan">
      <formula>0</formula>
    </cfRule>
  </conditionalFormatting>
  <conditionalFormatting sqref="AQ15 AQ19">
    <cfRule type="cellIs" dxfId="7794" priority="445" operator="lessThan">
      <formula>0</formula>
    </cfRule>
  </conditionalFormatting>
  <conditionalFormatting sqref="AQ15 AQ19">
    <cfRule type="cellIs" dxfId="7793" priority="444" operator="lessThan">
      <formula>0</formula>
    </cfRule>
  </conditionalFormatting>
  <conditionalFormatting sqref="AQ15 AQ19">
    <cfRule type="cellIs" dxfId="7792" priority="443" operator="lessThan">
      <formula>0</formula>
    </cfRule>
  </conditionalFormatting>
  <conditionalFormatting sqref="AQ15 AQ19">
    <cfRule type="cellIs" dxfId="7791" priority="442" operator="lessThan">
      <formula>0</formula>
    </cfRule>
  </conditionalFormatting>
  <conditionalFormatting sqref="AQ15 AQ19">
    <cfRule type="cellIs" dxfId="7790" priority="441" operator="lessThan">
      <formula>0</formula>
    </cfRule>
  </conditionalFormatting>
  <conditionalFormatting sqref="AQ15 AQ19">
    <cfRule type="cellIs" dxfId="7789" priority="440" operator="lessThan">
      <formula>0</formula>
    </cfRule>
  </conditionalFormatting>
  <conditionalFormatting sqref="AQ15 AQ19">
    <cfRule type="cellIs" dxfId="7788" priority="439" operator="lessThan">
      <formula>0</formula>
    </cfRule>
  </conditionalFormatting>
  <conditionalFormatting sqref="AQ15 AQ19">
    <cfRule type="cellIs" dxfId="7787" priority="438" operator="lessThan">
      <formula>0</formula>
    </cfRule>
  </conditionalFormatting>
  <conditionalFormatting sqref="AQ15 AQ19">
    <cfRule type="cellIs" dxfId="7786" priority="437" operator="lessThan">
      <formula>0</formula>
    </cfRule>
  </conditionalFormatting>
  <conditionalFormatting sqref="AQ15 AQ19">
    <cfRule type="cellIs" dxfId="7785" priority="436" operator="lessThan">
      <formula>0</formula>
    </cfRule>
  </conditionalFormatting>
  <conditionalFormatting sqref="AQ15 AQ19">
    <cfRule type="cellIs" dxfId="7784" priority="435" operator="lessThan">
      <formula>0</formula>
    </cfRule>
  </conditionalFormatting>
  <conditionalFormatting sqref="AQ15 AQ19">
    <cfRule type="cellIs" dxfId="7783" priority="434" operator="lessThan">
      <formula>0</formula>
    </cfRule>
  </conditionalFormatting>
  <conditionalFormatting sqref="AQ15 AQ19">
    <cfRule type="cellIs" dxfId="7782" priority="433" operator="lessThan">
      <formula>0</formula>
    </cfRule>
  </conditionalFormatting>
  <conditionalFormatting sqref="AQ15 AQ19">
    <cfRule type="cellIs" dxfId="7781" priority="432" operator="lessThan">
      <formula>0</formula>
    </cfRule>
  </conditionalFormatting>
  <conditionalFormatting sqref="AQ15 AQ19">
    <cfRule type="cellIs" dxfId="7780" priority="431" operator="lessThan">
      <formula>0</formula>
    </cfRule>
  </conditionalFormatting>
  <conditionalFormatting sqref="AQ15 AQ19">
    <cfRule type="cellIs" dxfId="7779" priority="430" operator="lessThan">
      <formula>0</formula>
    </cfRule>
  </conditionalFormatting>
  <conditionalFormatting sqref="AQ15 AQ19">
    <cfRule type="cellIs" dxfId="7778" priority="429" operator="lessThan">
      <formula>0</formula>
    </cfRule>
  </conditionalFormatting>
  <conditionalFormatting sqref="AQ15 AQ19">
    <cfRule type="cellIs" dxfId="7777" priority="428" operator="lessThan">
      <formula>0</formula>
    </cfRule>
  </conditionalFormatting>
  <conditionalFormatting sqref="AQ15 AQ19">
    <cfRule type="cellIs" dxfId="7776" priority="427" operator="lessThan">
      <formula>0</formula>
    </cfRule>
  </conditionalFormatting>
  <conditionalFormatting sqref="AQ15 AQ19">
    <cfRule type="cellIs" dxfId="7775" priority="426" operator="lessThan">
      <formula>0</formula>
    </cfRule>
  </conditionalFormatting>
  <conditionalFormatting sqref="AQ15 AQ19">
    <cfRule type="cellIs" dxfId="7774" priority="425" operator="lessThan">
      <formula>0</formula>
    </cfRule>
  </conditionalFormatting>
  <conditionalFormatting sqref="AQ15 AQ19">
    <cfRule type="cellIs" dxfId="7773" priority="424" operator="lessThan">
      <formula>0</formula>
    </cfRule>
  </conditionalFormatting>
  <conditionalFormatting sqref="AQ15 AQ19">
    <cfRule type="cellIs" dxfId="7772" priority="423" operator="lessThan">
      <formula>0</formula>
    </cfRule>
  </conditionalFormatting>
  <conditionalFormatting sqref="AQ15 AQ19">
    <cfRule type="cellIs" dxfId="7771" priority="422" operator="lessThan">
      <formula>0</formula>
    </cfRule>
  </conditionalFormatting>
  <conditionalFormatting sqref="AQ15 AQ19">
    <cfRule type="cellIs" dxfId="7770" priority="421" operator="lessThan">
      <formula>0</formula>
    </cfRule>
  </conditionalFormatting>
  <conditionalFormatting sqref="AQ15 AQ19">
    <cfRule type="cellIs" dxfId="7769" priority="420" operator="lessThan">
      <formula>0</formula>
    </cfRule>
  </conditionalFormatting>
  <conditionalFormatting sqref="AQ15 AQ19">
    <cfRule type="cellIs" dxfId="7768" priority="419" operator="lessThan">
      <formula>0</formula>
    </cfRule>
  </conditionalFormatting>
  <conditionalFormatting sqref="AQ15 AQ19">
    <cfRule type="cellIs" dxfId="7767" priority="418" operator="lessThan">
      <formula>0</formula>
    </cfRule>
  </conditionalFormatting>
  <conditionalFormatting sqref="AQ15 AQ19">
    <cfRule type="cellIs" dxfId="7766" priority="417" operator="lessThan">
      <formula>0</formula>
    </cfRule>
  </conditionalFormatting>
  <conditionalFormatting sqref="AQ15 AQ19">
    <cfRule type="cellIs" dxfId="7765" priority="416" operator="lessThan">
      <formula>0</formula>
    </cfRule>
  </conditionalFormatting>
  <conditionalFormatting sqref="AQ15 AQ19">
    <cfRule type="cellIs" dxfId="7764" priority="415" operator="lessThan">
      <formula>0</formula>
    </cfRule>
  </conditionalFormatting>
  <conditionalFormatting sqref="AQ15 AQ19">
    <cfRule type="cellIs" dxfId="7763" priority="414" operator="lessThan">
      <formula>0</formula>
    </cfRule>
  </conditionalFormatting>
  <conditionalFormatting sqref="AQ15 AQ19">
    <cfRule type="cellIs" dxfId="7762" priority="413" operator="lessThan">
      <formula>0</formula>
    </cfRule>
  </conditionalFormatting>
  <conditionalFormatting sqref="AQ15 AQ19">
    <cfRule type="cellIs" dxfId="7761" priority="412" operator="lessThan">
      <formula>0</formula>
    </cfRule>
  </conditionalFormatting>
  <conditionalFormatting sqref="AQ15 AQ19">
    <cfRule type="cellIs" dxfId="7760" priority="411" operator="lessThan">
      <formula>0</formula>
    </cfRule>
  </conditionalFormatting>
  <conditionalFormatting sqref="AQ15 AQ19">
    <cfRule type="cellIs" dxfId="7759" priority="410" operator="lessThan">
      <formula>0</formula>
    </cfRule>
  </conditionalFormatting>
  <conditionalFormatting sqref="AQ15 AQ19">
    <cfRule type="cellIs" dxfId="7758" priority="409" operator="lessThan">
      <formula>0</formula>
    </cfRule>
  </conditionalFormatting>
  <conditionalFormatting sqref="AQ15 AQ19">
    <cfRule type="cellIs" dxfId="7757" priority="408" operator="lessThan">
      <formula>0</formula>
    </cfRule>
  </conditionalFormatting>
  <conditionalFormatting sqref="AQ15 AQ19">
    <cfRule type="cellIs" dxfId="7756" priority="407" operator="lessThan">
      <formula>0</formula>
    </cfRule>
  </conditionalFormatting>
  <conditionalFormatting sqref="AQ15 AQ19">
    <cfRule type="cellIs" dxfId="7755" priority="406" operator="lessThan">
      <formula>0</formula>
    </cfRule>
  </conditionalFormatting>
  <conditionalFormatting sqref="AQ15 AQ19">
    <cfRule type="cellIs" dxfId="7754" priority="405" operator="lessThan">
      <formula>0</formula>
    </cfRule>
  </conditionalFormatting>
  <conditionalFormatting sqref="AQ15 AQ19">
    <cfRule type="cellIs" dxfId="7753" priority="404" operator="lessThan">
      <formula>0</formula>
    </cfRule>
  </conditionalFormatting>
  <conditionalFormatting sqref="AQ15 AQ19">
    <cfRule type="cellIs" dxfId="7752" priority="403" operator="lessThan">
      <formula>0</formula>
    </cfRule>
  </conditionalFormatting>
  <conditionalFormatting sqref="AQ15 AQ19">
    <cfRule type="cellIs" dxfId="7751" priority="402" operator="lessThan">
      <formula>0</formula>
    </cfRule>
  </conditionalFormatting>
  <conditionalFormatting sqref="AQ15 AQ19">
    <cfRule type="cellIs" dxfId="7750" priority="401" operator="lessThan">
      <formula>0</formula>
    </cfRule>
  </conditionalFormatting>
  <conditionalFormatting sqref="AQ15 AQ19">
    <cfRule type="cellIs" dxfId="7749" priority="400" operator="lessThan">
      <formula>0</formula>
    </cfRule>
  </conditionalFormatting>
  <conditionalFormatting sqref="AQ15 AQ19">
    <cfRule type="cellIs" dxfId="7748" priority="399" operator="lessThan">
      <formula>0</formula>
    </cfRule>
  </conditionalFormatting>
  <conditionalFormatting sqref="AQ15 AQ19">
    <cfRule type="cellIs" dxfId="7747" priority="398" operator="lessThan">
      <formula>0</formula>
    </cfRule>
  </conditionalFormatting>
  <conditionalFormatting sqref="AQ15 AQ19">
    <cfRule type="cellIs" dxfId="7746" priority="397" operator="lessThan">
      <formula>0</formula>
    </cfRule>
  </conditionalFormatting>
  <conditionalFormatting sqref="AQ15 AQ19">
    <cfRule type="cellIs" dxfId="7745" priority="396" operator="lessThan">
      <formula>0</formula>
    </cfRule>
  </conditionalFormatting>
  <conditionalFormatting sqref="AQ15 AQ19">
    <cfRule type="cellIs" dxfId="7744" priority="395" operator="lessThan">
      <formula>0</formula>
    </cfRule>
  </conditionalFormatting>
  <conditionalFormatting sqref="AQ15 AQ19">
    <cfRule type="cellIs" dxfId="7743" priority="394" operator="lessThan">
      <formula>0</formula>
    </cfRule>
  </conditionalFormatting>
  <conditionalFormatting sqref="AQ15 AQ19">
    <cfRule type="cellIs" dxfId="7742" priority="393" operator="lessThan">
      <formula>0</formula>
    </cfRule>
  </conditionalFormatting>
  <conditionalFormatting sqref="AQ15 AQ19">
    <cfRule type="cellIs" dxfId="7741" priority="392" operator="lessThan">
      <formula>0</formula>
    </cfRule>
  </conditionalFormatting>
  <conditionalFormatting sqref="AQ15 AQ19">
    <cfRule type="cellIs" dxfId="7740" priority="391" operator="lessThan">
      <formula>0</formula>
    </cfRule>
  </conditionalFormatting>
  <conditionalFormatting sqref="AQ15 AQ19">
    <cfRule type="cellIs" dxfId="7739" priority="390" operator="lessThan">
      <formula>0</formula>
    </cfRule>
  </conditionalFormatting>
  <conditionalFormatting sqref="AQ15 AQ19">
    <cfRule type="cellIs" dxfId="7738" priority="389" operator="lessThan">
      <formula>0</formula>
    </cfRule>
  </conditionalFormatting>
  <conditionalFormatting sqref="AQ15 AQ19">
    <cfRule type="cellIs" dxfId="7737" priority="388" operator="lessThan">
      <formula>0</formula>
    </cfRule>
  </conditionalFormatting>
  <conditionalFormatting sqref="AQ15 AQ19">
    <cfRule type="cellIs" dxfId="7736" priority="387" operator="lessThan">
      <formula>0</formula>
    </cfRule>
  </conditionalFormatting>
  <conditionalFormatting sqref="AQ15 AQ19">
    <cfRule type="cellIs" dxfId="7735" priority="386" operator="lessThan">
      <formula>0</formula>
    </cfRule>
  </conditionalFormatting>
  <conditionalFormatting sqref="AQ15 AQ19">
    <cfRule type="cellIs" dxfId="7734" priority="385" operator="lessThan">
      <formula>0</formula>
    </cfRule>
  </conditionalFormatting>
  <conditionalFormatting sqref="AQ15 AQ19">
    <cfRule type="cellIs" dxfId="7733" priority="384" operator="lessThan">
      <formula>0</formula>
    </cfRule>
  </conditionalFormatting>
  <conditionalFormatting sqref="AQ15 AQ19">
    <cfRule type="cellIs" dxfId="7732" priority="383" operator="lessThan">
      <formula>0</formula>
    </cfRule>
  </conditionalFormatting>
  <conditionalFormatting sqref="AQ15 AQ19">
    <cfRule type="cellIs" dxfId="7731" priority="382" operator="lessThan">
      <formula>0</formula>
    </cfRule>
  </conditionalFormatting>
  <conditionalFormatting sqref="AQ15 AQ19">
    <cfRule type="cellIs" dxfId="7730" priority="381" operator="lessThan">
      <formula>0</formula>
    </cfRule>
  </conditionalFormatting>
  <conditionalFormatting sqref="AQ15 AQ19">
    <cfRule type="cellIs" dxfId="7729" priority="380" operator="lessThan">
      <formula>0</formula>
    </cfRule>
  </conditionalFormatting>
  <conditionalFormatting sqref="AQ15 AQ19">
    <cfRule type="cellIs" dxfId="7728" priority="379" operator="lessThan">
      <formula>0</formula>
    </cfRule>
  </conditionalFormatting>
  <conditionalFormatting sqref="AQ15 AQ19">
    <cfRule type="cellIs" dxfId="7727" priority="363" operator="lessThan">
      <formula>0</formula>
    </cfRule>
  </conditionalFormatting>
  <conditionalFormatting sqref="AQ15 AQ19">
    <cfRule type="cellIs" dxfId="7726" priority="378" operator="lessThan">
      <formula>0</formula>
    </cfRule>
  </conditionalFormatting>
  <conditionalFormatting sqref="AQ15 AQ19">
    <cfRule type="cellIs" dxfId="7725" priority="377" operator="lessThan">
      <formula>0</formula>
    </cfRule>
  </conditionalFormatting>
  <conditionalFormatting sqref="AQ15 AQ19">
    <cfRule type="cellIs" dxfId="7724" priority="376" operator="lessThan">
      <formula>0</formula>
    </cfRule>
  </conditionalFormatting>
  <conditionalFormatting sqref="AQ15 AQ19">
    <cfRule type="cellIs" dxfId="7723" priority="375" operator="lessThan">
      <formula>0</formula>
    </cfRule>
  </conditionalFormatting>
  <conditionalFormatting sqref="AQ15 AQ19">
    <cfRule type="cellIs" dxfId="7722" priority="374" operator="lessThan">
      <formula>0</formula>
    </cfRule>
  </conditionalFormatting>
  <conditionalFormatting sqref="AQ15 AQ19">
    <cfRule type="cellIs" dxfId="7721" priority="373" operator="lessThan">
      <formula>0</formula>
    </cfRule>
  </conditionalFormatting>
  <conditionalFormatting sqref="AQ15 AQ19">
    <cfRule type="cellIs" dxfId="7720" priority="372" operator="lessThan">
      <formula>0</formula>
    </cfRule>
  </conditionalFormatting>
  <conditionalFormatting sqref="AQ15 AQ19">
    <cfRule type="cellIs" dxfId="7719" priority="371" operator="lessThan">
      <formula>0</formula>
    </cfRule>
  </conditionalFormatting>
  <conditionalFormatting sqref="AQ15 AQ19">
    <cfRule type="cellIs" dxfId="7718" priority="370" operator="lessThan">
      <formula>0</formula>
    </cfRule>
  </conditionalFormatting>
  <conditionalFormatting sqref="AQ15 AQ19">
    <cfRule type="cellIs" dxfId="7717" priority="369" operator="lessThan">
      <formula>0</formula>
    </cfRule>
  </conditionalFormatting>
  <conditionalFormatting sqref="AQ15 AQ19">
    <cfRule type="cellIs" dxfId="7716" priority="368" operator="lessThan">
      <formula>0</formula>
    </cfRule>
  </conditionalFormatting>
  <conditionalFormatting sqref="AQ15 AQ19">
    <cfRule type="cellIs" dxfId="7715" priority="367" operator="lessThan">
      <formula>0</formula>
    </cfRule>
  </conditionalFormatting>
  <conditionalFormatting sqref="AQ15 AQ19">
    <cfRule type="cellIs" dxfId="7714" priority="366" operator="lessThan">
      <formula>0</formula>
    </cfRule>
  </conditionalFormatting>
  <conditionalFormatting sqref="AQ15 AQ19">
    <cfRule type="cellIs" dxfId="7713" priority="365" operator="lessThan">
      <formula>0</formula>
    </cfRule>
  </conditionalFormatting>
  <conditionalFormatting sqref="AQ15 AQ19">
    <cfRule type="cellIs" dxfId="7712" priority="364" operator="lessThan">
      <formula>0</formula>
    </cfRule>
  </conditionalFormatting>
  <conditionalFormatting sqref="J72">
    <cfRule type="cellIs" dxfId="7711" priority="362" operator="greaterThan">
      <formula>0</formula>
    </cfRule>
  </conditionalFormatting>
  <conditionalFormatting sqref="J88">
    <cfRule type="cellIs" dxfId="7710" priority="361" operator="greaterThan">
      <formula>0</formula>
    </cfRule>
  </conditionalFormatting>
  <conditionalFormatting sqref="J20">
    <cfRule type="cellIs" dxfId="7709" priority="360" operator="greaterThan">
      <formula>0</formula>
    </cfRule>
  </conditionalFormatting>
  <conditionalFormatting sqref="J40">
    <cfRule type="cellIs" dxfId="7708" priority="359" operator="greaterThan">
      <formula>0</formula>
    </cfRule>
  </conditionalFormatting>
  <conditionalFormatting sqref="I20">
    <cfRule type="cellIs" dxfId="7707" priority="358" operator="greaterThan">
      <formula>0</formula>
    </cfRule>
  </conditionalFormatting>
  <conditionalFormatting sqref="AM88:AM89">
    <cfRule type="cellIs" dxfId="7706" priority="357" operator="notEqual">
      <formula>0</formula>
    </cfRule>
  </conditionalFormatting>
  <conditionalFormatting sqref="AQ10">
    <cfRule type="cellIs" dxfId="7705" priority="356" operator="lessThan">
      <formula>0</formula>
    </cfRule>
  </conditionalFormatting>
  <conditionalFormatting sqref="AQ10">
    <cfRule type="cellIs" dxfId="7704" priority="355" operator="lessThan">
      <formula>0</formula>
    </cfRule>
  </conditionalFormatting>
  <conditionalFormatting sqref="AQ12:AQ13">
    <cfRule type="cellIs" dxfId="7703" priority="354" operator="lessThan">
      <formula>0</formula>
    </cfRule>
  </conditionalFormatting>
  <conditionalFormatting sqref="AQ12:AQ13">
    <cfRule type="cellIs" dxfId="7702" priority="353" operator="lessThan">
      <formula>0</formula>
    </cfRule>
  </conditionalFormatting>
  <conditionalFormatting sqref="AQ12:AQ13">
    <cfRule type="cellIs" dxfId="7701" priority="352" operator="lessThan">
      <formula>0</formula>
    </cfRule>
  </conditionalFormatting>
  <conditionalFormatting sqref="AQ12:AQ13">
    <cfRule type="cellIs" dxfId="7700" priority="351" operator="lessThan">
      <formula>0</formula>
    </cfRule>
  </conditionalFormatting>
  <conditionalFormatting sqref="AQ12:AQ13">
    <cfRule type="cellIs" dxfId="7699" priority="350" operator="lessThan">
      <formula>0</formula>
    </cfRule>
  </conditionalFormatting>
  <conditionalFormatting sqref="AQ12:AQ13">
    <cfRule type="cellIs" dxfId="7698" priority="349" operator="lessThan">
      <formula>0</formula>
    </cfRule>
  </conditionalFormatting>
  <conditionalFormatting sqref="AQ12:AQ13">
    <cfRule type="cellIs" dxfId="7697" priority="348" operator="lessThan">
      <formula>0</formula>
    </cfRule>
  </conditionalFormatting>
  <conditionalFormatting sqref="AQ12:AQ13">
    <cfRule type="cellIs" dxfId="7696" priority="347" operator="lessThan">
      <formula>0</formula>
    </cfRule>
  </conditionalFormatting>
  <conditionalFormatting sqref="AQ10">
    <cfRule type="cellIs" dxfId="7695" priority="346" operator="lessThan">
      <formula>0</formula>
    </cfRule>
  </conditionalFormatting>
  <conditionalFormatting sqref="AQ10 AQ12:AQ13">
    <cfRule type="cellIs" dxfId="7694" priority="345" operator="lessThan">
      <formula>0</formula>
    </cfRule>
  </conditionalFormatting>
  <conditionalFormatting sqref="AM10:AM13">
    <cfRule type="cellIs" dxfId="7693" priority="344" operator="notEqual">
      <formula>0</formula>
    </cfRule>
  </conditionalFormatting>
  <conditionalFormatting sqref="I12">
    <cfRule type="cellIs" dxfId="7692" priority="343" operator="greaterThan">
      <formula>0</formula>
    </cfRule>
  </conditionalFormatting>
  <conditionalFormatting sqref="AQ10 AQ12:AQ13">
    <cfRule type="cellIs" dxfId="7691" priority="342" operator="lessThan">
      <formula>0</formula>
    </cfRule>
  </conditionalFormatting>
  <conditionalFormatting sqref="AQ10 AQ12:AQ13">
    <cfRule type="cellIs" dxfId="7690" priority="341" operator="lessThan">
      <formula>0</formula>
    </cfRule>
  </conditionalFormatting>
  <conditionalFormatting sqref="AQ10 AQ12:AQ13">
    <cfRule type="cellIs" dxfId="7689" priority="340" operator="lessThan">
      <formula>0</formula>
    </cfRule>
  </conditionalFormatting>
  <conditionalFormatting sqref="J12">
    <cfRule type="cellIs" dxfId="7688" priority="339" operator="greaterThan">
      <formula>0</formula>
    </cfRule>
  </conditionalFormatting>
  <conditionalFormatting sqref="AQ12:AQ13">
    <cfRule type="cellIs" dxfId="7687" priority="338" operator="lessThan">
      <formula>0</formula>
    </cfRule>
  </conditionalFormatting>
  <conditionalFormatting sqref="AQ12:AQ13">
    <cfRule type="cellIs" dxfId="7686" priority="337" operator="lessThan">
      <formula>0</formula>
    </cfRule>
  </conditionalFormatting>
  <conditionalFormatting sqref="AQ12:AQ13">
    <cfRule type="cellIs" dxfId="7685" priority="336" operator="lessThan">
      <formula>0</formula>
    </cfRule>
  </conditionalFormatting>
  <conditionalFormatting sqref="AQ12:AQ13">
    <cfRule type="cellIs" dxfId="7684" priority="335" operator="lessThan">
      <formula>0</formula>
    </cfRule>
  </conditionalFormatting>
  <conditionalFormatting sqref="Y11">
    <cfRule type="iconSet" priority="333">
      <iconSet>
        <cfvo type="percent" val="0"/>
        <cfvo type="percent" val="&quot;$I$6&quot;"/>
        <cfvo type="percent" val="#REF!"/>
      </iconSet>
    </cfRule>
  </conditionalFormatting>
  <conditionalFormatting sqref="Y12">
    <cfRule type="cellIs" dxfId="7683" priority="332" operator="lessThan">
      <formula>0</formula>
    </cfRule>
  </conditionalFormatting>
  <conditionalFormatting sqref="Y10:Y12">
    <cfRule type="cellIs" dxfId="7682" priority="331" operator="lessThan">
      <formula>0</formula>
    </cfRule>
  </conditionalFormatting>
  <conditionalFormatting sqref="Y13">
    <cfRule type="cellIs" dxfId="7681" priority="330" operator="lessThan">
      <formula>0</formula>
    </cfRule>
  </conditionalFormatting>
  <conditionalFormatting sqref="AQ11">
    <cfRule type="cellIs" dxfId="7680" priority="329" operator="lessThan">
      <formula>0</formula>
    </cfRule>
  </conditionalFormatting>
  <conditionalFormatting sqref="AQ11">
    <cfRule type="cellIs" dxfId="7679" priority="328" operator="lessThan">
      <formula>0</formula>
    </cfRule>
  </conditionalFormatting>
  <conditionalFormatting sqref="AQ11">
    <cfRule type="cellIs" dxfId="7678" priority="327" operator="lessThan">
      <formula>0</formula>
    </cfRule>
  </conditionalFormatting>
  <conditionalFormatting sqref="AQ11">
    <cfRule type="cellIs" dxfId="7677" priority="326" operator="lessThan">
      <formula>0</formula>
    </cfRule>
  </conditionalFormatting>
  <conditionalFormatting sqref="AQ11">
    <cfRule type="cellIs" dxfId="7676" priority="325" operator="lessThan">
      <formula>0</formula>
    </cfRule>
  </conditionalFormatting>
  <conditionalFormatting sqref="AQ11">
    <cfRule type="cellIs" dxfId="7675" priority="324" operator="lessThan">
      <formula>0</formula>
    </cfRule>
  </conditionalFormatting>
  <conditionalFormatting sqref="AQ11">
    <cfRule type="cellIs" dxfId="7674" priority="323" operator="lessThan">
      <formula>0</formula>
    </cfRule>
  </conditionalFormatting>
  <conditionalFormatting sqref="AQ11">
    <cfRule type="cellIs" dxfId="7673" priority="322" operator="lessThan">
      <formula>0</formula>
    </cfRule>
  </conditionalFormatting>
  <conditionalFormatting sqref="AQ11">
    <cfRule type="cellIs" dxfId="7672" priority="321" operator="lessThan">
      <formula>0</formula>
    </cfRule>
  </conditionalFormatting>
  <conditionalFormatting sqref="AQ11">
    <cfRule type="cellIs" dxfId="7671" priority="320" operator="lessThan">
      <formula>0</formula>
    </cfRule>
  </conditionalFormatting>
  <conditionalFormatting sqref="AQ11">
    <cfRule type="cellIs" dxfId="7670" priority="319" operator="lessThan">
      <formula>0</formula>
    </cfRule>
  </conditionalFormatting>
  <conditionalFormatting sqref="AQ11">
    <cfRule type="cellIs" dxfId="7669" priority="318" operator="lessThan">
      <formula>0</formula>
    </cfRule>
  </conditionalFormatting>
  <conditionalFormatting sqref="AQ11">
    <cfRule type="cellIs" dxfId="7668" priority="317" operator="lessThan">
      <formula>0</formula>
    </cfRule>
  </conditionalFormatting>
  <conditionalFormatting sqref="AQ11">
    <cfRule type="cellIs" dxfId="7667" priority="316" operator="lessThan">
      <formula>0</formula>
    </cfRule>
  </conditionalFormatting>
  <conditionalFormatting sqref="AQ11">
    <cfRule type="cellIs" dxfId="7666" priority="315" operator="lessThan">
      <formula>0</formula>
    </cfRule>
  </conditionalFormatting>
  <conditionalFormatting sqref="AQ11">
    <cfRule type="cellIs" dxfId="7665" priority="314" operator="lessThan">
      <formula>0</formula>
    </cfRule>
  </conditionalFormatting>
  <conditionalFormatting sqref="AQ11">
    <cfRule type="cellIs" dxfId="7664" priority="313" operator="lessThan">
      <formula>0</formula>
    </cfRule>
  </conditionalFormatting>
  <conditionalFormatting sqref="AQ11">
    <cfRule type="cellIs" dxfId="7663" priority="312" operator="lessThan">
      <formula>0</formula>
    </cfRule>
  </conditionalFormatting>
  <conditionalFormatting sqref="AQ11">
    <cfRule type="cellIs" dxfId="7662" priority="311" operator="lessThan">
      <formula>0</formula>
    </cfRule>
  </conditionalFormatting>
  <conditionalFormatting sqref="AQ11">
    <cfRule type="cellIs" dxfId="7661" priority="310" operator="lessThan">
      <formula>0</formula>
    </cfRule>
  </conditionalFormatting>
  <conditionalFormatting sqref="AQ11">
    <cfRule type="cellIs" dxfId="7660" priority="309" operator="lessThan">
      <formula>0</formula>
    </cfRule>
  </conditionalFormatting>
  <conditionalFormatting sqref="AQ11">
    <cfRule type="cellIs" dxfId="7659" priority="308" operator="lessThan">
      <formula>0</formula>
    </cfRule>
  </conditionalFormatting>
  <conditionalFormatting sqref="AQ11">
    <cfRule type="cellIs" dxfId="7658" priority="307" operator="lessThan">
      <formula>0</formula>
    </cfRule>
  </conditionalFormatting>
  <conditionalFormatting sqref="AQ11">
    <cfRule type="cellIs" dxfId="7657" priority="306" operator="lessThan">
      <formula>0</formula>
    </cfRule>
  </conditionalFormatting>
  <conditionalFormatting sqref="AQ11">
    <cfRule type="cellIs" dxfId="7656" priority="305" operator="lessThan">
      <formula>0</formula>
    </cfRule>
  </conditionalFormatting>
  <conditionalFormatting sqref="AQ11">
    <cfRule type="cellIs" dxfId="7655" priority="304" operator="lessThan">
      <formula>0</formula>
    </cfRule>
  </conditionalFormatting>
  <conditionalFormatting sqref="AQ11">
    <cfRule type="cellIs" dxfId="7654" priority="303" operator="lessThan">
      <formula>0</formula>
    </cfRule>
  </conditionalFormatting>
  <conditionalFormatting sqref="AQ11">
    <cfRule type="cellIs" dxfId="7653" priority="302" operator="lessThan">
      <formula>0</formula>
    </cfRule>
  </conditionalFormatting>
  <conditionalFormatting sqref="AQ11">
    <cfRule type="cellIs" dxfId="7652" priority="301" operator="lessThan">
      <formula>0</formula>
    </cfRule>
  </conditionalFormatting>
  <conditionalFormatting sqref="AQ11">
    <cfRule type="cellIs" dxfId="7651" priority="300" operator="lessThan">
      <formula>0</formula>
    </cfRule>
  </conditionalFormatting>
  <conditionalFormatting sqref="AQ11">
    <cfRule type="cellIs" dxfId="7650" priority="299" operator="lessThan">
      <formula>0</formula>
    </cfRule>
  </conditionalFormatting>
  <conditionalFormatting sqref="AQ11">
    <cfRule type="cellIs" dxfId="7649" priority="298" operator="lessThan">
      <formula>0</formula>
    </cfRule>
  </conditionalFormatting>
  <conditionalFormatting sqref="AQ11">
    <cfRule type="cellIs" dxfId="7648" priority="297" operator="lessThan">
      <formula>0</formula>
    </cfRule>
  </conditionalFormatting>
  <conditionalFormatting sqref="AQ11">
    <cfRule type="cellIs" dxfId="7647" priority="296" operator="lessThan">
      <formula>0</formula>
    </cfRule>
  </conditionalFormatting>
  <conditionalFormatting sqref="AQ11">
    <cfRule type="cellIs" dxfId="7646" priority="295" operator="lessThan">
      <formula>0</formula>
    </cfRule>
  </conditionalFormatting>
  <conditionalFormatting sqref="AQ11">
    <cfRule type="cellIs" dxfId="7645" priority="294" operator="lessThan">
      <formula>0</formula>
    </cfRule>
  </conditionalFormatting>
  <conditionalFormatting sqref="AQ11">
    <cfRule type="cellIs" dxfId="7644" priority="293" operator="lessThan">
      <formula>0</formula>
    </cfRule>
  </conditionalFormatting>
  <conditionalFormatting sqref="AQ11">
    <cfRule type="cellIs" dxfId="7643" priority="292" operator="lessThan">
      <formula>0</formula>
    </cfRule>
  </conditionalFormatting>
  <conditionalFormatting sqref="AQ11">
    <cfRule type="cellIs" dxfId="7642" priority="291" operator="lessThan">
      <formula>0</formula>
    </cfRule>
  </conditionalFormatting>
  <conditionalFormatting sqref="AQ11">
    <cfRule type="cellIs" dxfId="7641" priority="290" operator="lessThan">
      <formula>0</formula>
    </cfRule>
  </conditionalFormatting>
  <conditionalFormatting sqref="AQ11">
    <cfRule type="cellIs" dxfId="7640" priority="289" operator="lessThan">
      <formula>0</formula>
    </cfRule>
  </conditionalFormatting>
  <conditionalFormatting sqref="AQ11">
    <cfRule type="cellIs" dxfId="7639" priority="288" operator="lessThan">
      <formula>0</formula>
    </cfRule>
  </conditionalFormatting>
  <conditionalFormatting sqref="AQ11">
    <cfRule type="cellIs" dxfId="7638" priority="287" operator="lessThan">
      <formula>0</formula>
    </cfRule>
  </conditionalFormatting>
  <conditionalFormatting sqref="AQ11">
    <cfRule type="cellIs" dxfId="7637" priority="286" operator="lessThan">
      <formula>0</formula>
    </cfRule>
  </conditionalFormatting>
  <conditionalFormatting sqref="AQ11">
    <cfRule type="cellIs" dxfId="7636" priority="285" operator="lessThan">
      <formula>0</formula>
    </cfRule>
  </conditionalFormatting>
  <conditionalFormatting sqref="AQ11">
    <cfRule type="cellIs" dxfId="7635" priority="284" operator="lessThan">
      <formula>0</formula>
    </cfRule>
  </conditionalFormatting>
  <conditionalFormatting sqref="AQ11">
    <cfRule type="cellIs" dxfId="7634" priority="283" operator="lessThan">
      <formula>0</formula>
    </cfRule>
  </conditionalFormatting>
  <conditionalFormatting sqref="AQ11">
    <cfRule type="cellIs" dxfId="7633" priority="282" operator="lessThan">
      <formula>0</formula>
    </cfRule>
  </conditionalFormatting>
  <conditionalFormatting sqref="AQ11">
    <cfRule type="cellIs" dxfId="7632" priority="281" operator="lessThan">
      <formula>0</formula>
    </cfRule>
  </conditionalFormatting>
  <conditionalFormatting sqref="AQ11">
    <cfRule type="cellIs" dxfId="7631" priority="280" operator="lessThan">
      <formula>0</formula>
    </cfRule>
  </conditionalFormatting>
  <conditionalFormatting sqref="AQ11">
    <cfRule type="cellIs" dxfId="7630" priority="279" operator="lessThan">
      <formula>0</formula>
    </cfRule>
  </conditionalFormatting>
  <conditionalFormatting sqref="AQ11">
    <cfRule type="cellIs" dxfId="7629" priority="278" operator="lessThan">
      <formula>0</formula>
    </cfRule>
  </conditionalFormatting>
  <conditionalFormatting sqref="AQ11">
    <cfRule type="cellIs" dxfId="7628" priority="277" operator="lessThan">
      <formula>0</formula>
    </cfRule>
  </conditionalFormatting>
  <conditionalFormatting sqref="AQ11">
    <cfRule type="cellIs" dxfId="7627" priority="276" operator="lessThan">
      <formula>0</formula>
    </cfRule>
  </conditionalFormatting>
  <conditionalFormatting sqref="AQ11">
    <cfRule type="cellIs" dxfId="7626" priority="275" operator="lessThan">
      <formula>0</formula>
    </cfRule>
  </conditionalFormatting>
  <conditionalFormatting sqref="AQ11">
    <cfRule type="cellIs" dxfId="7625" priority="274" operator="lessThan">
      <formula>0</formula>
    </cfRule>
  </conditionalFormatting>
  <conditionalFormatting sqref="AQ11">
    <cfRule type="cellIs" dxfId="7624" priority="273" operator="lessThan">
      <formula>0</formula>
    </cfRule>
  </conditionalFormatting>
  <conditionalFormatting sqref="AQ11">
    <cfRule type="cellIs" dxfId="7623" priority="272" operator="lessThan">
      <formula>0</formula>
    </cfRule>
  </conditionalFormatting>
  <conditionalFormatting sqref="AQ11">
    <cfRule type="cellIs" dxfId="7622" priority="271" operator="lessThan">
      <formula>0</formula>
    </cfRule>
  </conditionalFormatting>
  <conditionalFormatting sqref="AQ11">
    <cfRule type="cellIs" dxfId="7621" priority="270" operator="lessThan">
      <formula>0</formula>
    </cfRule>
  </conditionalFormatting>
  <conditionalFormatting sqref="AQ11">
    <cfRule type="cellIs" dxfId="7620" priority="269" operator="lessThan">
      <formula>0</formula>
    </cfRule>
  </conditionalFormatting>
  <conditionalFormatting sqref="AQ11">
    <cfRule type="cellIs" dxfId="7619" priority="268" operator="lessThan">
      <formula>0</formula>
    </cfRule>
  </conditionalFormatting>
  <conditionalFormatting sqref="AQ11">
    <cfRule type="cellIs" dxfId="7618" priority="267" operator="lessThan">
      <formula>0</formula>
    </cfRule>
  </conditionalFormatting>
  <conditionalFormatting sqref="AQ11">
    <cfRule type="cellIs" dxfId="7617" priority="266" operator="lessThan">
      <formula>0</formula>
    </cfRule>
  </conditionalFormatting>
  <conditionalFormatting sqref="AQ11">
    <cfRule type="cellIs" dxfId="7616" priority="265" operator="lessThan">
      <formula>0</formula>
    </cfRule>
  </conditionalFormatting>
  <conditionalFormatting sqref="AQ11">
    <cfRule type="cellIs" dxfId="7615" priority="264" operator="lessThan">
      <formula>0</formula>
    </cfRule>
  </conditionalFormatting>
  <conditionalFormatting sqref="AQ11">
    <cfRule type="cellIs" dxfId="7614" priority="263" operator="lessThan">
      <formula>0</formula>
    </cfRule>
  </conditionalFormatting>
  <conditionalFormatting sqref="AQ11">
    <cfRule type="cellIs" dxfId="7613" priority="262" operator="lessThan">
      <formula>0</formula>
    </cfRule>
  </conditionalFormatting>
  <conditionalFormatting sqref="AQ11">
    <cfRule type="cellIs" dxfId="7612" priority="261" operator="lessThan">
      <formula>0</formula>
    </cfRule>
  </conditionalFormatting>
  <conditionalFormatting sqref="AQ11">
    <cfRule type="cellIs" dxfId="7611" priority="260" operator="lessThan">
      <formula>0</formula>
    </cfRule>
  </conditionalFormatting>
  <conditionalFormatting sqref="AQ11">
    <cfRule type="cellIs" dxfId="7610" priority="259" operator="lessThan">
      <formula>0</formula>
    </cfRule>
  </conditionalFormatting>
  <conditionalFormatting sqref="AQ11">
    <cfRule type="cellIs" dxfId="7609" priority="258" operator="lessThan">
      <formula>0</formula>
    </cfRule>
  </conditionalFormatting>
  <conditionalFormatting sqref="AQ11">
    <cfRule type="cellIs" dxfId="7608" priority="257" operator="lessThan">
      <formula>0</formula>
    </cfRule>
  </conditionalFormatting>
  <conditionalFormatting sqref="AQ11">
    <cfRule type="cellIs" dxfId="7607" priority="256" operator="lessThan">
      <formula>0</formula>
    </cfRule>
  </conditionalFormatting>
  <conditionalFormatting sqref="AQ11">
    <cfRule type="cellIs" dxfId="7606" priority="255" operator="lessThan">
      <formula>0</formula>
    </cfRule>
  </conditionalFormatting>
  <conditionalFormatting sqref="AQ11">
    <cfRule type="cellIs" dxfId="7605" priority="254" operator="lessThan">
      <formula>0</formula>
    </cfRule>
  </conditionalFormatting>
  <conditionalFormatting sqref="AQ11">
    <cfRule type="cellIs" dxfId="7604" priority="253" operator="lessThan">
      <formula>0</formula>
    </cfRule>
  </conditionalFormatting>
  <conditionalFormatting sqref="AQ11">
    <cfRule type="cellIs" dxfId="7603" priority="252" operator="lessThan">
      <formula>0</formula>
    </cfRule>
  </conditionalFormatting>
  <conditionalFormatting sqref="AQ11">
    <cfRule type="cellIs" dxfId="7602" priority="251" operator="lessThan">
      <formula>0</formula>
    </cfRule>
  </conditionalFormatting>
  <conditionalFormatting sqref="AQ11">
    <cfRule type="cellIs" dxfId="7601" priority="250" operator="lessThan">
      <formula>0</formula>
    </cfRule>
  </conditionalFormatting>
  <conditionalFormatting sqref="AQ11">
    <cfRule type="cellIs" dxfId="7600" priority="234" operator="lessThan">
      <formula>0</formula>
    </cfRule>
  </conditionalFormatting>
  <conditionalFormatting sqref="AQ11">
    <cfRule type="cellIs" dxfId="7599" priority="249" operator="lessThan">
      <formula>0</formula>
    </cfRule>
  </conditionalFormatting>
  <conditionalFormatting sqref="AQ11">
    <cfRule type="cellIs" dxfId="7598" priority="248" operator="lessThan">
      <formula>0</formula>
    </cfRule>
  </conditionalFormatting>
  <conditionalFormatting sqref="AQ11">
    <cfRule type="cellIs" dxfId="7597" priority="247" operator="lessThan">
      <formula>0</formula>
    </cfRule>
  </conditionalFormatting>
  <conditionalFormatting sqref="AQ11">
    <cfRule type="cellIs" dxfId="7596" priority="246" operator="lessThan">
      <formula>0</formula>
    </cfRule>
  </conditionalFormatting>
  <conditionalFormatting sqref="AQ11">
    <cfRule type="cellIs" dxfId="7595" priority="245" operator="lessThan">
      <formula>0</formula>
    </cfRule>
  </conditionalFormatting>
  <conditionalFormatting sqref="AQ11">
    <cfRule type="cellIs" dxfId="7594" priority="244" operator="lessThan">
      <formula>0</formula>
    </cfRule>
  </conditionalFormatting>
  <conditionalFormatting sqref="AQ11">
    <cfRule type="cellIs" dxfId="7593" priority="243" operator="lessThan">
      <formula>0</formula>
    </cfRule>
  </conditionalFormatting>
  <conditionalFormatting sqref="AQ11">
    <cfRule type="cellIs" dxfId="7592" priority="242" operator="lessThan">
      <formula>0</formula>
    </cfRule>
  </conditionalFormatting>
  <conditionalFormatting sqref="AQ11">
    <cfRule type="cellIs" dxfId="7591" priority="241" operator="lessThan">
      <formula>0</formula>
    </cfRule>
  </conditionalFormatting>
  <conditionalFormatting sqref="AQ11">
    <cfRule type="cellIs" dxfId="7590" priority="240" operator="lessThan">
      <formula>0</formula>
    </cfRule>
  </conditionalFormatting>
  <conditionalFormatting sqref="AQ11">
    <cfRule type="cellIs" dxfId="7589" priority="239" operator="lessThan">
      <formula>0</formula>
    </cfRule>
  </conditionalFormatting>
  <conditionalFormatting sqref="AQ11">
    <cfRule type="cellIs" dxfId="7588" priority="238" operator="lessThan">
      <formula>0</formula>
    </cfRule>
  </conditionalFormatting>
  <conditionalFormatting sqref="AQ11">
    <cfRule type="cellIs" dxfId="7587" priority="237" operator="lessThan">
      <formula>0</formula>
    </cfRule>
  </conditionalFormatting>
  <conditionalFormatting sqref="AQ11">
    <cfRule type="cellIs" dxfId="7586" priority="236" operator="lessThan">
      <formula>0</formula>
    </cfRule>
  </conditionalFormatting>
  <conditionalFormatting sqref="AQ11">
    <cfRule type="cellIs" dxfId="7585" priority="235" operator="lessThan">
      <formula>0</formula>
    </cfRule>
  </conditionalFormatting>
  <conditionalFormatting sqref="X11">
    <cfRule type="iconSet" priority="233">
      <iconSet>
        <cfvo type="percent" val="0"/>
        <cfvo type="percent" val="&quot;$I$6&quot;"/>
        <cfvo type="percent" val="#REF!"/>
      </iconSet>
    </cfRule>
  </conditionalFormatting>
  <conditionalFormatting sqref="X12">
    <cfRule type="cellIs" dxfId="7584" priority="232" operator="lessThan">
      <formula>0</formula>
    </cfRule>
  </conditionalFormatting>
  <conditionalFormatting sqref="X10:X13">
    <cfRule type="cellIs" dxfId="7583" priority="231" operator="lessThan">
      <formula>0</formula>
    </cfRule>
  </conditionalFormatting>
  <conditionalFormatting sqref="AQ22">
    <cfRule type="cellIs" dxfId="7582" priority="230" operator="lessThan">
      <formula>0</formula>
    </cfRule>
  </conditionalFormatting>
  <conditionalFormatting sqref="AQ22">
    <cfRule type="cellIs" dxfId="7581" priority="229" operator="lessThan">
      <formula>0</formula>
    </cfRule>
  </conditionalFormatting>
  <conditionalFormatting sqref="AQ24:AQ25">
    <cfRule type="cellIs" dxfId="7580" priority="228" operator="lessThan">
      <formula>0</formula>
    </cfRule>
  </conditionalFormatting>
  <conditionalFormatting sqref="AQ24:AQ25">
    <cfRule type="cellIs" dxfId="7579" priority="227" operator="lessThan">
      <formula>0</formula>
    </cfRule>
  </conditionalFormatting>
  <conditionalFormatting sqref="AQ24:AQ25">
    <cfRule type="cellIs" dxfId="7578" priority="226" operator="lessThan">
      <formula>0</formula>
    </cfRule>
  </conditionalFormatting>
  <conditionalFormatting sqref="AQ24:AQ25">
    <cfRule type="cellIs" dxfId="7577" priority="225" operator="lessThan">
      <formula>0</formula>
    </cfRule>
  </conditionalFormatting>
  <conditionalFormatting sqref="AQ24:AQ25">
    <cfRule type="cellIs" dxfId="7576" priority="224" operator="lessThan">
      <formula>0</formula>
    </cfRule>
  </conditionalFormatting>
  <conditionalFormatting sqref="AQ24:AQ25">
    <cfRule type="cellIs" dxfId="7575" priority="223" operator="lessThan">
      <formula>0</formula>
    </cfRule>
  </conditionalFormatting>
  <conditionalFormatting sqref="AQ24:AQ25">
    <cfRule type="cellIs" dxfId="7574" priority="222" operator="lessThan">
      <formula>0</formula>
    </cfRule>
  </conditionalFormatting>
  <conditionalFormatting sqref="AQ24:AQ25">
    <cfRule type="cellIs" dxfId="7573" priority="221" operator="lessThan">
      <formula>0</formula>
    </cfRule>
  </conditionalFormatting>
  <conditionalFormatting sqref="AQ22">
    <cfRule type="cellIs" dxfId="7572" priority="220" operator="lessThan">
      <formula>0</formula>
    </cfRule>
  </conditionalFormatting>
  <conditionalFormatting sqref="AQ22 AQ24:AQ25">
    <cfRule type="cellIs" dxfId="7571" priority="219" operator="lessThan">
      <formula>0</formula>
    </cfRule>
  </conditionalFormatting>
  <conditionalFormatting sqref="AQ22 AQ24:AQ25">
    <cfRule type="cellIs" dxfId="7570" priority="218" operator="lessThan">
      <formula>0</formula>
    </cfRule>
  </conditionalFormatting>
  <conditionalFormatting sqref="AQ22 AQ24:AQ25">
    <cfRule type="cellIs" dxfId="7569" priority="217" operator="lessThan">
      <formula>0</formula>
    </cfRule>
  </conditionalFormatting>
  <conditionalFormatting sqref="AQ22 AQ24:AQ25">
    <cfRule type="cellIs" dxfId="7568" priority="216" operator="lessThan">
      <formula>0</formula>
    </cfRule>
  </conditionalFormatting>
  <conditionalFormatting sqref="AQ24:AQ25">
    <cfRule type="cellIs" dxfId="7567" priority="215" operator="lessThan">
      <formula>0</formula>
    </cfRule>
  </conditionalFormatting>
  <conditionalFormatting sqref="AQ24:AQ25">
    <cfRule type="cellIs" dxfId="7566" priority="214" operator="lessThan">
      <formula>0</formula>
    </cfRule>
  </conditionalFormatting>
  <conditionalFormatting sqref="AQ24:AQ25">
    <cfRule type="cellIs" dxfId="7565" priority="213" operator="lessThan">
      <formula>0</formula>
    </cfRule>
  </conditionalFormatting>
  <conditionalFormatting sqref="AQ24:AQ25">
    <cfRule type="cellIs" dxfId="7564" priority="212" operator="lessThan">
      <formula>0</formula>
    </cfRule>
  </conditionalFormatting>
  <conditionalFormatting sqref="AQ23">
    <cfRule type="cellIs" dxfId="7563" priority="211" operator="lessThan">
      <formula>0</formula>
    </cfRule>
  </conditionalFormatting>
  <conditionalFormatting sqref="AQ23">
    <cfRule type="cellIs" dxfId="7562" priority="210" operator="lessThan">
      <formula>0</formula>
    </cfRule>
  </conditionalFormatting>
  <conditionalFormatting sqref="AQ23">
    <cfRule type="cellIs" dxfId="7561" priority="209" operator="lessThan">
      <formula>0</formula>
    </cfRule>
  </conditionalFormatting>
  <conditionalFormatting sqref="AQ23">
    <cfRule type="cellIs" dxfId="7560" priority="208" operator="lessThan">
      <formula>0</formula>
    </cfRule>
  </conditionalFormatting>
  <conditionalFormatting sqref="AQ23">
    <cfRule type="cellIs" dxfId="7559" priority="207" operator="lessThan">
      <formula>0</formula>
    </cfRule>
  </conditionalFormatting>
  <conditionalFormatting sqref="AQ23">
    <cfRule type="cellIs" dxfId="7558" priority="206" operator="lessThan">
      <formula>0</formula>
    </cfRule>
  </conditionalFormatting>
  <conditionalFormatting sqref="AQ23">
    <cfRule type="cellIs" dxfId="7557" priority="205" operator="lessThan">
      <formula>0</formula>
    </cfRule>
  </conditionalFormatting>
  <conditionalFormatting sqref="AQ23">
    <cfRule type="cellIs" dxfId="7556" priority="204" operator="lessThan">
      <formula>0</formula>
    </cfRule>
  </conditionalFormatting>
  <conditionalFormatting sqref="AQ23">
    <cfRule type="cellIs" dxfId="7555" priority="203" operator="lessThan">
      <formula>0</formula>
    </cfRule>
  </conditionalFormatting>
  <conditionalFormatting sqref="AQ23">
    <cfRule type="cellIs" dxfId="7554" priority="202" operator="lessThan">
      <formula>0</formula>
    </cfRule>
  </conditionalFormatting>
  <conditionalFormatting sqref="AQ23">
    <cfRule type="cellIs" dxfId="7553" priority="201" operator="lessThan">
      <formula>0</formula>
    </cfRule>
  </conditionalFormatting>
  <conditionalFormatting sqref="AQ23">
    <cfRule type="cellIs" dxfId="7552" priority="200" operator="lessThan">
      <formula>0</formula>
    </cfRule>
  </conditionalFormatting>
  <conditionalFormatting sqref="AQ23">
    <cfRule type="cellIs" dxfId="7551" priority="199" operator="lessThan">
      <formula>0</formula>
    </cfRule>
  </conditionalFormatting>
  <conditionalFormatting sqref="AQ23">
    <cfRule type="cellIs" dxfId="7550" priority="198" operator="lessThan">
      <formula>0</formula>
    </cfRule>
  </conditionalFormatting>
  <conditionalFormatting sqref="AQ23">
    <cfRule type="cellIs" dxfId="7549" priority="197" operator="lessThan">
      <formula>0</formula>
    </cfRule>
  </conditionalFormatting>
  <conditionalFormatting sqref="AQ23">
    <cfRule type="cellIs" dxfId="7548" priority="196" operator="lessThan">
      <formula>0</formula>
    </cfRule>
  </conditionalFormatting>
  <conditionalFormatting sqref="AQ23">
    <cfRule type="cellIs" dxfId="7547" priority="195" operator="lessThan">
      <formula>0</formula>
    </cfRule>
  </conditionalFormatting>
  <conditionalFormatting sqref="AQ23">
    <cfRule type="cellIs" dxfId="7546" priority="194" operator="lessThan">
      <formula>0</formula>
    </cfRule>
  </conditionalFormatting>
  <conditionalFormatting sqref="AQ23">
    <cfRule type="cellIs" dxfId="7545" priority="193" operator="lessThan">
      <formula>0</formula>
    </cfRule>
  </conditionalFormatting>
  <conditionalFormatting sqref="AQ23">
    <cfRule type="cellIs" dxfId="7544" priority="192" operator="lessThan">
      <formula>0</formula>
    </cfRule>
  </conditionalFormatting>
  <conditionalFormatting sqref="AQ23">
    <cfRule type="cellIs" dxfId="7543" priority="191" operator="lessThan">
      <formula>0</formula>
    </cfRule>
  </conditionalFormatting>
  <conditionalFormatting sqref="AQ23">
    <cfRule type="cellIs" dxfId="7542" priority="190" operator="lessThan">
      <formula>0</formula>
    </cfRule>
  </conditionalFormatting>
  <conditionalFormatting sqref="AQ23">
    <cfRule type="cellIs" dxfId="7541" priority="189" operator="lessThan">
      <formula>0</formula>
    </cfRule>
  </conditionalFormatting>
  <conditionalFormatting sqref="AQ23">
    <cfRule type="cellIs" dxfId="7540" priority="188" operator="lessThan">
      <formula>0</formula>
    </cfRule>
  </conditionalFormatting>
  <conditionalFormatting sqref="AQ23">
    <cfRule type="cellIs" dxfId="7539" priority="187" operator="lessThan">
      <formula>0</formula>
    </cfRule>
  </conditionalFormatting>
  <conditionalFormatting sqref="AQ23">
    <cfRule type="cellIs" dxfId="7538" priority="186" operator="lessThan">
      <formula>0</formula>
    </cfRule>
  </conditionalFormatting>
  <conditionalFormatting sqref="AQ23">
    <cfRule type="cellIs" dxfId="7537" priority="185" operator="lessThan">
      <formula>0</formula>
    </cfRule>
  </conditionalFormatting>
  <conditionalFormatting sqref="AQ23">
    <cfRule type="cellIs" dxfId="7536" priority="184" operator="lessThan">
      <formula>0</formula>
    </cfRule>
  </conditionalFormatting>
  <conditionalFormatting sqref="AQ23">
    <cfRule type="cellIs" dxfId="7535" priority="183" operator="lessThan">
      <formula>0</formula>
    </cfRule>
  </conditionalFormatting>
  <conditionalFormatting sqref="AQ23">
    <cfRule type="cellIs" dxfId="7534" priority="182" operator="lessThan">
      <formula>0</formula>
    </cfRule>
  </conditionalFormatting>
  <conditionalFormatting sqref="AQ23">
    <cfRule type="cellIs" dxfId="7533" priority="181" operator="lessThan">
      <formula>0</formula>
    </cfRule>
  </conditionalFormatting>
  <conditionalFormatting sqref="AQ23">
    <cfRule type="cellIs" dxfId="7532" priority="180" operator="lessThan">
      <formula>0</formula>
    </cfRule>
  </conditionalFormatting>
  <conditionalFormatting sqref="AQ23">
    <cfRule type="cellIs" dxfId="7531" priority="179" operator="lessThan">
      <formula>0</formula>
    </cfRule>
  </conditionalFormatting>
  <conditionalFormatting sqref="AQ23">
    <cfRule type="cellIs" dxfId="7530" priority="178" operator="lessThan">
      <formula>0</formula>
    </cfRule>
  </conditionalFormatting>
  <conditionalFormatting sqref="AQ23">
    <cfRule type="cellIs" dxfId="7529" priority="177" operator="lessThan">
      <formula>0</formula>
    </cfRule>
  </conditionalFormatting>
  <conditionalFormatting sqref="AQ23">
    <cfRule type="cellIs" dxfId="7528" priority="176" operator="lessThan">
      <formula>0</formula>
    </cfRule>
  </conditionalFormatting>
  <conditionalFormatting sqref="AQ23">
    <cfRule type="cellIs" dxfId="7527" priority="175" operator="lessThan">
      <formula>0</formula>
    </cfRule>
  </conditionalFormatting>
  <conditionalFormatting sqref="AQ23">
    <cfRule type="cellIs" dxfId="7526" priority="174" operator="lessThan">
      <formula>0</formula>
    </cfRule>
  </conditionalFormatting>
  <conditionalFormatting sqref="AQ23">
    <cfRule type="cellIs" dxfId="7525" priority="173" operator="lessThan">
      <formula>0</formula>
    </cfRule>
  </conditionalFormatting>
  <conditionalFormatting sqref="AQ23">
    <cfRule type="cellIs" dxfId="7524" priority="172" operator="lessThan">
      <formula>0</formula>
    </cfRule>
  </conditionalFormatting>
  <conditionalFormatting sqref="AQ23">
    <cfRule type="cellIs" dxfId="7523" priority="171" operator="lessThan">
      <formula>0</formula>
    </cfRule>
  </conditionalFormatting>
  <conditionalFormatting sqref="AQ23">
    <cfRule type="cellIs" dxfId="7522" priority="170" operator="lessThan">
      <formula>0</formula>
    </cfRule>
  </conditionalFormatting>
  <conditionalFormatting sqref="AQ23">
    <cfRule type="cellIs" dxfId="7521" priority="169" operator="lessThan">
      <formula>0</formula>
    </cfRule>
  </conditionalFormatting>
  <conditionalFormatting sqref="AQ23">
    <cfRule type="cellIs" dxfId="7520" priority="168" operator="lessThan">
      <formula>0</formula>
    </cfRule>
  </conditionalFormatting>
  <conditionalFormatting sqref="AQ23">
    <cfRule type="cellIs" dxfId="7519" priority="167" operator="lessThan">
      <formula>0</formula>
    </cfRule>
  </conditionalFormatting>
  <conditionalFormatting sqref="AQ23">
    <cfRule type="cellIs" dxfId="7518" priority="166" operator="lessThan">
      <formula>0</formula>
    </cfRule>
  </conditionalFormatting>
  <conditionalFormatting sqref="AQ23">
    <cfRule type="cellIs" dxfId="7517" priority="165" operator="lessThan">
      <formula>0</formula>
    </cfRule>
  </conditionalFormatting>
  <conditionalFormatting sqref="AQ23">
    <cfRule type="cellIs" dxfId="7516" priority="164" operator="lessThan">
      <formula>0</formula>
    </cfRule>
  </conditionalFormatting>
  <conditionalFormatting sqref="AQ23">
    <cfRule type="cellIs" dxfId="7515" priority="163" operator="lessThan">
      <formula>0</formula>
    </cfRule>
  </conditionalFormatting>
  <conditionalFormatting sqref="AQ23">
    <cfRule type="cellIs" dxfId="7514" priority="162" operator="lessThan">
      <formula>0</formula>
    </cfRule>
  </conditionalFormatting>
  <conditionalFormatting sqref="AQ23">
    <cfRule type="cellIs" dxfId="7513" priority="161" operator="lessThan">
      <formula>0</formula>
    </cfRule>
  </conditionalFormatting>
  <conditionalFormatting sqref="AQ23">
    <cfRule type="cellIs" dxfId="7512" priority="160" operator="lessThan">
      <formula>0</formula>
    </cfRule>
  </conditionalFormatting>
  <conditionalFormatting sqref="AQ23">
    <cfRule type="cellIs" dxfId="7511" priority="159" operator="lessThan">
      <formula>0</formula>
    </cfRule>
  </conditionalFormatting>
  <conditionalFormatting sqref="AQ23">
    <cfRule type="cellIs" dxfId="7510" priority="158" operator="lessThan">
      <formula>0</formula>
    </cfRule>
  </conditionalFormatting>
  <conditionalFormatting sqref="AQ23">
    <cfRule type="cellIs" dxfId="7509" priority="157" operator="lessThan">
      <formula>0</formula>
    </cfRule>
  </conditionalFormatting>
  <conditionalFormatting sqref="AQ23">
    <cfRule type="cellIs" dxfId="7508" priority="156" operator="lessThan">
      <formula>0</formula>
    </cfRule>
  </conditionalFormatting>
  <conditionalFormatting sqref="AQ23">
    <cfRule type="cellIs" dxfId="7507" priority="155" operator="lessThan">
      <formula>0</formula>
    </cfRule>
  </conditionalFormatting>
  <conditionalFormatting sqref="AQ23">
    <cfRule type="cellIs" dxfId="7506" priority="154" operator="lessThan">
      <formula>0</formula>
    </cfRule>
  </conditionalFormatting>
  <conditionalFormatting sqref="AQ23">
    <cfRule type="cellIs" dxfId="7505" priority="153" operator="lessThan">
      <formula>0</formula>
    </cfRule>
  </conditionalFormatting>
  <conditionalFormatting sqref="AQ23">
    <cfRule type="cellIs" dxfId="7504" priority="152" operator="lessThan">
      <formula>0</formula>
    </cfRule>
  </conditionalFormatting>
  <conditionalFormatting sqref="AQ23">
    <cfRule type="cellIs" dxfId="7503" priority="151" operator="lessThan">
      <formula>0</formula>
    </cfRule>
  </conditionalFormatting>
  <conditionalFormatting sqref="AQ23">
    <cfRule type="cellIs" dxfId="7502" priority="150" operator="lessThan">
      <formula>0</formula>
    </cfRule>
  </conditionalFormatting>
  <conditionalFormatting sqref="AQ23">
    <cfRule type="cellIs" dxfId="7501" priority="149" operator="lessThan">
      <formula>0</formula>
    </cfRule>
  </conditionalFormatting>
  <conditionalFormatting sqref="AQ23">
    <cfRule type="cellIs" dxfId="7500" priority="148" operator="lessThan">
      <formula>0</formula>
    </cfRule>
  </conditionalFormatting>
  <conditionalFormatting sqref="AQ23">
    <cfRule type="cellIs" dxfId="7499" priority="147" operator="lessThan">
      <formula>0</formula>
    </cfRule>
  </conditionalFormatting>
  <conditionalFormatting sqref="AQ23">
    <cfRule type="cellIs" dxfId="7498" priority="146" operator="lessThan">
      <formula>0</formula>
    </cfRule>
  </conditionalFormatting>
  <conditionalFormatting sqref="AQ23">
    <cfRule type="cellIs" dxfId="7497" priority="145" operator="lessThan">
      <formula>0</formula>
    </cfRule>
  </conditionalFormatting>
  <conditionalFormatting sqref="AQ23">
    <cfRule type="cellIs" dxfId="7496" priority="144" operator="lessThan">
      <formula>0</formula>
    </cfRule>
  </conditionalFormatting>
  <conditionalFormatting sqref="AQ23">
    <cfRule type="cellIs" dxfId="7495" priority="143" operator="lessThan">
      <formula>0</formula>
    </cfRule>
  </conditionalFormatting>
  <conditionalFormatting sqref="AQ23">
    <cfRule type="cellIs" dxfId="7494" priority="142" operator="lessThan">
      <formula>0</formula>
    </cfRule>
  </conditionalFormatting>
  <conditionalFormatting sqref="AQ23">
    <cfRule type="cellIs" dxfId="7493" priority="141" operator="lessThan">
      <formula>0</formula>
    </cfRule>
  </conditionalFormatting>
  <conditionalFormatting sqref="AQ23">
    <cfRule type="cellIs" dxfId="7492" priority="140" operator="lessThan">
      <formula>0</formula>
    </cfRule>
  </conditionalFormatting>
  <conditionalFormatting sqref="AQ23">
    <cfRule type="cellIs" dxfId="7491" priority="139" operator="lessThan">
      <formula>0</formula>
    </cfRule>
  </conditionalFormatting>
  <conditionalFormatting sqref="AQ23">
    <cfRule type="cellIs" dxfId="7490" priority="138" operator="lessThan">
      <formula>0</formula>
    </cfRule>
  </conditionalFormatting>
  <conditionalFormatting sqref="AQ23">
    <cfRule type="cellIs" dxfId="7489" priority="137" operator="lessThan">
      <formula>0</formula>
    </cfRule>
  </conditionalFormatting>
  <conditionalFormatting sqref="AQ23">
    <cfRule type="cellIs" dxfId="7488" priority="136" operator="lessThan">
      <formula>0</formula>
    </cfRule>
  </conditionalFormatting>
  <conditionalFormatting sqref="AQ23">
    <cfRule type="cellIs" dxfId="7487" priority="135" operator="lessThan">
      <formula>0</formula>
    </cfRule>
  </conditionalFormatting>
  <conditionalFormatting sqref="AQ23">
    <cfRule type="cellIs" dxfId="7486" priority="134" operator="lessThan">
      <formula>0</formula>
    </cfRule>
  </conditionalFormatting>
  <conditionalFormatting sqref="AQ23">
    <cfRule type="cellIs" dxfId="7485" priority="133" operator="lessThan">
      <formula>0</formula>
    </cfRule>
  </conditionalFormatting>
  <conditionalFormatting sqref="AQ23">
    <cfRule type="cellIs" dxfId="7484" priority="132" operator="lessThan">
      <formula>0</formula>
    </cfRule>
  </conditionalFormatting>
  <conditionalFormatting sqref="AQ23">
    <cfRule type="cellIs" dxfId="7483" priority="116" operator="lessThan">
      <formula>0</formula>
    </cfRule>
  </conditionalFormatting>
  <conditionalFormatting sqref="AQ23">
    <cfRule type="cellIs" dxfId="7482" priority="131" operator="lessThan">
      <formula>0</formula>
    </cfRule>
  </conditionalFormatting>
  <conditionalFormatting sqref="AQ23">
    <cfRule type="cellIs" dxfId="7481" priority="130" operator="lessThan">
      <formula>0</formula>
    </cfRule>
  </conditionalFormatting>
  <conditionalFormatting sqref="AQ23">
    <cfRule type="cellIs" dxfId="7480" priority="129" operator="lessThan">
      <formula>0</formula>
    </cfRule>
  </conditionalFormatting>
  <conditionalFormatting sqref="AQ23">
    <cfRule type="cellIs" dxfId="7479" priority="128" operator="lessThan">
      <formula>0</formula>
    </cfRule>
  </conditionalFormatting>
  <conditionalFormatting sqref="AQ23">
    <cfRule type="cellIs" dxfId="7478" priority="127" operator="lessThan">
      <formula>0</formula>
    </cfRule>
  </conditionalFormatting>
  <conditionalFormatting sqref="AQ23">
    <cfRule type="cellIs" dxfId="7477" priority="126" operator="lessThan">
      <formula>0</formula>
    </cfRule>
  </conditionalFormatting>
  <conditionalFormatting sqref="AQ23">
    <cfRule type="cellIs" dxfId="7476" priority="125" operator="lessThan">
      <formula>0</formula>
    </cfRule>
  </conditionalFormatting>
  <conditionalFormatting sqref="AQ23">
    <cfRule type="cellIs" dxfId="7475" priority="124" operator="lessThan">
      <formula>0</formula>
    </cfRule>
  </conditionalFormatting>
  <conditionalFormatting sqref="AQ23">
    <cfRule type="cellIs" dxfId="7474" priority="123" operator="lessThan">
      <formula>0</formula>
    </cfRule>
  </conditionalFormatting>
  <conditionalFormatting sqref="AQ23">
    <cfRule type="cellIs" dxfId="7473" priority="122" operator="lessThan">
      <formula>0</formula>
    </cfRule>
  </conditionalFormatting>
  <conditionalFormatting sqref="AQ23">
    <cfRule type="cellIs" dxfId="7472" priority="121" operator="lessThan">
      <formula>0</formula>
    </cfRule>
  </conditionalFormatting>
  <conditionalFormatting sqref="AQ23">
    <cfRule type="cellIs" dxfId="7471" priority="120" operator="lessThan">
      <formula>0</formula>
    </cfRule>
  </conditionalFormatting>
  <conditionalFormatting sqref="AQ23">
    <cfRule type="cellIs" dxfId="7470" priority="119" operator="lessThan">
      <formula>0</formula>
    </cfRule>
  </conditionalFormatting>
  <conditionalFormatting sqref="AQ23">
    <cfRule type="cellIs" dxfId="7469" priority="118" operator="lessThan">
      <formula>0</formula>
    </cfRule>
  </conditionalFormatting>
  <conditionalFormatting sqref="AQ23">
    <cfRule type="cellIs" dxfId="7468" priority="117" operator="lessThan">
      <formula>0</formula>
    </cfRule>
  </conditionalFormatting>
  <conditionalFormatting sqref="AQ26 AQ30 AQ34 AQ38 AQ42 AQ46 AQ50 AQ54 AQ58 AQ62 AQ66 AQ70 AQ74 AQ78 AQ82 AQ86">
    <cfRule type="cellIs" dxfId="7467" priority="115" operator="lessThan">
      <formula>0</formula>
    </cfRule>
  </conditionalFormatting>
  <conditionalFormatting sqref="AQ26 AQ30 AQ34 AQ38 AQ42 AQ46 AQ50 AQ54 AQ58 AQ62 AQ66 AQ70 AQ74 AQ78 AQ82 AQ86">
    <cfRule type="cellIs" dxfId="7466" priority="114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65" priority="113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64" priority="112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63" priority="111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62" priority="110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61" priority="109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60" priority="108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59" priority="107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58" priority="106" operator="lessThan">
      <formula>0</formula>
    </cfRule>
  </conditionalFormatting>
  <conditionalFormatting sqref="AQ26 AQ30 AQ34 AQ38 AQ42 AQ46 AQ50 AQ54 AQ58 AQ62 AQ66 AQ70 AQ74 AQ78 AQ82 AQ86">
    <cfRule type="cellIs" dxfId="7457" priority="105" operator="lessThan">
      <formula>0</formula>
    </cfRule>
  </conditionalFormatting>
  <conditionalFormatting sqref="AQ26 AQ28:AQ30 AQ32:AQ34 AQ36:AQ38 AQ40:AQ42 AQ44:AQ46 AQ48:AQ50 AQ52:AQ54 AQ56:AQ58 AQ60:AQ62 AQ64:AQ66 AQ68:AQ70 AQ72:AQ74 AQ76:AQ78 AQ80:AQ82 AQ84:AQ86 AQ88:AQ89">
    <cfRule type="cellIs" dxfId="7456" priority="104" operator="lessThan">
      <formula>0</formula>
    </cfRule>
  </conditionalFormatting>
  <conditionalFormatting sqref="AQ26 AQ28:AQ30 AQ32:AQ34 AQ36:AQ38 AQ40:AQ42 AQ44:AQ46 AQ48:AQ50 AQ52:AQ54 AQ56:AQ58 AQ60:AQ62 AQ64:AQ66 AQ68:AQ70 AQ72:AQ74 AQ76:AQ78 AQ80:AQ82 AQ84:AQ86 AQ88:AQ89">
    <cfRule type="cellIs" dxfId="7455" priority="103" operator="lessThan">
      <formula>0</formula>
    </cfRule>
  </conditionalFormatting>
  <conditionalFormatting sqref="AQ26 AQ28:AQ30 AQ32:AQ34 AQ36:AQ38 AQ40:AQ42 AQ44:AQ46 AQ48:AQ50 AQ52:AQ54 AQ56:AQ58 AQ60:AQ62 AQ64:AQ66 AQ68:AQ70 AQ72:AQ74 AQ76:AQ78 AQ80:AQ82 AQ84:AQ86 AQ88:AQ89">
    <cfRule type="cellIs" dxfId="7454" priority="102" operator="lessThan">
      <formula>0</formula>
    </cfRule>
  </conditionalFormatting>
  <conditionalFormatting sqref="AQ26 AQ28:AQ30 AQ32:AQ34 AQ36:AQ38 AQ40:AQ42 AQ44:AQ46 AQ48:AQ50 AQ52:AQ54 AQ56:AQ58 AQ60:AQ62 AQ64:AQ66 AQ68:AQ70 AQ72:AQ74 AQ76:AQ78 AQ80:AQ82 AQ84:AQ86 AQ88:AQ89">
    <cfRule type="cellIs" dxfId="7453" priority="101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52" priority="100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51" priority="99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50" priority="98" operator="lessThan">
      <formula>0</formula>
    </cfRule>
  </conditionalFormatting>
  <conditionalFormatting sqref="AQ28:AQ29 AQ32:AQ33 AQ36:AQ37 AQ40:AQ41 AQ44:AQ45 AQ48:AQ49 AQ52:AQ53 AQ56:AQ57 AQ60:AQ61 AQ64:AQ65 AQ68:AQ69 AQ72:AQ73 AQ76:AQ77 AQ80:AQ81 AQ84:AQ85 AQ88:AQ89">
    <cfRule type="cellIs" dxfId="7449" priority="97" operator="lessThan">
      <formula>0</formula>
    </cfRule>
  </conditionalFormatting>
  <conditionalFormatting sqref="AQ27 AQ31 AQ35 AQ39 AQ43 AQ47 AQ51 AQ55 AQ59 AQ63 AQ67 AQ71 AQ75 AQ79 AQ83 AQ87">
    <cfRule type="cellIs" dxfId="7448" priority="96" operator="lessThan">
      <formula>0</formula>
    </cfRule>
  </conditionalFormatting>
  <conditionalFormatting sqref="AQ27 AQ31 AQ35 AQ39 AQ43 AQ47 AQ51 AQ55 AQ59 AQ63 AQ67 AQ71 AQ75 AQ79 AQ83 AQ87">
    <cfRule type="cellIs" dxfId="7447" priority="95" operator="lessThan">
      <formula>0</formula>
    </cfRule>
  </conditionalFormatting>
  <conditionalFormatting sqref="AQ27 AQ31 AQ35 AQ39 AQ43 AQ47 AQ51 AQ55 AQ59 AQ63 AQ67 AQ71 AQ75 AQ79 AQ83 AQ87">
    <cfRule type="cellIs" dxfId="7446" priority="94" operator="lessThan">
      <formula>0</formula>
    </cfRule>
  </conditionalFormatting>
  <conditionalFormatting sqref="AQ27 AQ31 AQ35 AQ39 AQ43 AQ47 AQ51 AQ55 AQ59 AQ63 AQ67 AQ71 AQ75 AQ79 AQ83 AQ87">
    <cfRule type="cellIs" dxfId="7445" priority="93" operator="lessThan">
      <formula>0</formula>
    </cfRule>
  </conditionalFormatting>
  <conditionalFormatting sqref="AQ27 AQ31 AQ35 AQ39 AQ43 AQ47 AQ51 AQ55 AQ59 AQ63 AQ67 AQ71 AQ75 AQ79 AQ83 AQ87">
    <cfRule type="cellIs" dxfId="7444" priority="92" operator="lessThan">
      <formula>0</formula>
    </cfRule>
  </conditionalFormatting>
  <conditionalFormatting sqref="AQ27 AQ31 AQ35 AQ39 AQ43 AQ47 AQ51 AQ55 AQ59 AQ63 AQ67 AQ71 AQ75 AQ79 AQ83 AQ87">
    <cfRule type="cellIs" dxfId="7443" priority="91" operator="lessThan">
      <formula>0</formula>
    </cfRule>
  </conditionalFormatting>
  <conditionalFormatting sqref="AQ27 AQ31 AQ35 AQ39 AQ43 AQ47 AQ51 AQ55 AQ59 AQ63 AQ67 AQ71 AQ75 AQ79 AQ83 AQ87">
    <cfRule type="cellIs" dxfId="7442" priority="90" operator="lessThan">
      <formula>0</formula>
    </cfRule>
  </conditionalFormatting>
  <conditionalFormatting sqref="AQ27 AQ31 AQ35 AQ39 AQ43 AQ47 AQ51 AQ55 AQ59 AQ63 AQ67 AQ71 AQ75 AQ79 AQ83 AQ87">
    <cfRule type="cellIs" dxfId="7441" priority="89" operator="lessThan">
      <formula>0</formula>
    </cfRule>
  </conditionalFormatting>
  <conditionalFormatting sqref="AQ27 AQ31 AQ35 AQ39 AQ43 AQ47 AQ51 AQ55 AQ59 AQ63 AQ67 AQ71 AQ75 AQ79 AQ83 AQ87">
    <cfRule type="cellIs" dxfId="7440" priority="88" operator="lessThan">
      <formula>0</formula>
    </cfRule>
  </conditionalFormatting>
  <conditionalFormatting sqref="AQ27 AQ31 AQ35 AQ39 AQ43 AQ47 AQ51 AQ55 AQ59 AQ63 AQ67 AQ71 AQ75 AQ79 AQ83 AQ87">
    <cfRule type="cellIs" dxfId="7439" priority="87" operator="lessThan">
      <formula>0</formula>
    </cfRule>
  </conditionalFormatting>
  <conditionalFormatting sqref="AQ27 AQ31 AQ35 AQ39 AQ43 AQ47 AQ51 AQ55 AQ59 AQ63 AQ67 AQ71 AQ75 AQ79 AQ83 AQ87">
    <cfRule type="cellIs" dxfId="7438" priority="86" operator="lessThan">
      <formula>0</formula>
    </cfRule>
  </conditionalFormatting>
  <conditionalFormatting sqref="AQ27 AQ31 AQ35 AQ39 AQ43 AQ47 AQ51 AQ55 AQ59 AQ63 AQ67 AQ71 AQ75 AQ79 AQ83 AQ87">
    <cfRule type="cellIs" dxfId="7437" priority="85" operator="lessThan">
      <formula>0</formula>
    </cfRule>
  </conditionalFormatting>
  <conditionalFormatting sqref="AQ27 AQ31 AQ35 AQ39 AQ43 AQ47 AQ51 AQ55 AQ59 AQ63 AQ67 AQ71 AQ75 AQ79 AQ83 AQ87">
    <cfRule type="cellIs" dxfId="7436" priority="84" operator="lessThan">
      <formula>0</formula>
    </cfRule>
  </conditionalFormatting>
  <conditionalFormatting sqref="AQ27 AQ31 AQ35 AQ39 AQ43 AQ47 AQ51 AQ55 AQ59 AQ63 AQ67 AQ71 AQ75 AQ79 AQ83 AQ87">
    <cfRule type="cellIs" dxfId="7435" priority="83" operator="lessThan">
      <formula>0</formula>
    </cfRule>
  </conditionalFormatting>
  <conditionalFormatting sqref="AQ27 AQ31 AQ35 AQ39 AQ43 AQ47 AQ51 AQ55 AQ59 AQ63 AQ67 AQ71 AQ75 AQ79 AQ83 AQ87">
    <cfRule type="cellIs" dxfId="7434" priority="82" operator="lessThan">
      <formula>0</formula>
    </cfRule>
  </conditionalFormatting>
  <conditionalFormatting sqref="AQ27 AQ31 AQ35 AQ39 AQ43 AQ47 AQ51 AQ55 AQ59 AQ63 AQ67 AQ71 AQ75 AQ79 AQ83 AQ87">
    <cfRule type="cellIs" dxfId="7433" priority="81" operator="lessThan">
      <formula>0</formula>
    </cfRule>
  </conditionalFormatting>
  <conditionalFormatting sqref="AQ27 AQ31 AQ35 AQ39 AQ43 AQ47 AQ51 AQ55 AQ59 AQ63 AQ67 AQ71 AQ75 AQ79 AQ83 AQ87">
    <cfRule type="cellIs" dxfId="7432" priority="80" operator="lessThan">
      <formula>0</formula>
    </cfRule>
  </conditionalFormatting>
  <conditionalFormatting sqref="AQ27 AQ31 AQ35 AQ39 AQ43 AQ47 AQ51 AQ55 AQ59 AQ63 AQ67 AQ71 AQ75 AQ79 AQ83 AQ87">
    <cfRule type="cellIs" dxfId="7431" priority="79" operator="lessThan">
      <formula>0</formula>
    </cfRule>
  </conditionalFormatting>
  <conditionalFormatting sqref="AQ27 AQ31 AQ35 AQ39 AQ43 AQ47 AQ51 AQ55 AQ59 AQ63 AQ67 AQ71 AQ75 AQ79 AQ83 AQ87">
    <cfRule type="cellIs" dxfId="7430" priority="78" operator="lessThan">
      <formula>0</formula>
    </cfRule>
  </conditionalFormatting>
  <conditionalFormatting sqref="AQ27 AQ31 AQ35 AQ39 AQ43 AQ47 AQ51 AQ55 AQ59 AQ63 AQ67 AQ71 AQ75 AQ79 AQ83 AQ87">
    <cfRule type="cellIs" dxfId="7429" priority="77" operator="lessThan">
      <formula>0</formula>
    </cfRule>
  </conditionalFormatting>
  <conditionalFormatting sqref="AQ27 AQ31 AQ35 AQ39 AQ43 AQ47 AQ51 AQ55 AQ59 AQ63 AQ67 AQ71 AQ75 AQ79 AQ83 AQ87">
    <cfRule type="cellIs" dxfId="7428" priority="76" operator="lessThan">
      <formula>0</formula>
    </cfRule>
  </conditionalFormatting>
  <conditionalFormatting sqref="AQ27 AQ31 AQ35 AQ39 AQ43 AQ47 AQ51 AQ55 AQ59 AQ63 AQ67 AQ71 AQ75 AQ79 AQ83 AQ87">
    <cfRule type="cellIs" dxfId="7427" priority="75" operator="lessThan">
      <formula>0</formula>
    </cfRule>
  </conditionalFormatting>
  <conditionalFormatting sqref="AQ27 AQ31 AQ35 AQ39 AQ43 AQ47 AQ51 AQ55 AQ59 AQ63 AQ67 AQ71 AQ75 AQ79 AQ83 AQ87">
    <cfRule type="cellIs" dxfId="7426" priority="74" operator="lessThan">
      <formula>0</formula>
    </cfRule>
  </conditionalFormatting>
  <conditionalFormatting sqref="AQ27 AQ31 AQ35 AQ39 AQ43 AQ47 AQ51 AQ55 AQ59 AQ63 AQ67 AQ71 AQ75 AQ79 AQ83 AQ87">
    <cfRule type="cellIs" dxfId="7425" priority="73" operator="lessThan">
      <formula>0</formula>
    </cfRule>
  </conditionalFormatting>
  <conditionalFormatting sqref="AQ27 AQ31 AQ35 AQ39 AQ43 AQ47 AQ51 AQ55 AQ59 AQ63 AQ67 AQ71 AQ75 AQ79 AQ83 AQ87">
    <cfRule type="cellIs" dxfId="7424" priority="72" operator="lessThan">
      <formula>0</formula>
    </cfRule>
  </conditionalFormatting>
  <conditionalFormatting sqref="AQ27 AQ31 AQ35 AQ39 AQ43 AQ47 AQ51 AQ55 AQ59 AQ63 AQ67 AQ71 AQ75 AQ79 AQ83 AQ87">
    <cfRule type="cellIs" dxfId="7423" priority="71" operator="lessThan">
      <formula>0</formula>
    </cfRule>
  </conditionalFormatting>
  <conditionalFormatting sqref="AQ27 AQ31 AQ35 AQ39 AQ43 AQ47 AQ51 AQ55 AQ59 AQ63 AQ67 AQ71 AQ75 AQ79 AQ83 AQ87">
    <cfRule type="cellIs" dxfId="7422" priority="70" operator="lessThan">
      <formula>0</formula>
    </cfRule>
  </conditionalFormatting>
  <conditionalFormatting sqref="AQ27 AQ31 AQ35 AQ39 AQ43 AQ47 AQ51 AQ55 AQ59 AQ63 AQ67 AQ71 AQ75 AQ79 AQ83 AQ87">
    <cfRule type="cellIs" dxfId="7421" priority="69" operator="lessThan">
      <formula>0</formula>
    </cfRule>
  </conditionalFormatting>
  <conditionalFormatting sqref="AQ27 AQ31 AQ35 AQ39 AQ43 AQ47 AQ51 AQ55 AQ59 AQ63 AQ67 AQ71 AQ75 AQ79 AQ83 AQ87">
    <cfRule type="cellIs" dxfId="7420" priority="68" operator="lessThan">
      <formula>0</formula>
    </cfRule>
  </conditionalFormatting>
  <conditionalFormatting sqref="AQ27 AQ31 AQ35 AQ39 AQ43 AQ47 AQ51 AQ55 AQ59 AQ63 AQ67 AQ71 AQ75 AQ79 AQ83 AQ87">
    <cfRule type="cellIs" dxfId="7419" priority="67" operator="lessThan">
      <formula>0</formula>
    </cfRule>
  </conditionalFormatting>
  <conditionalFormatting sqref="AQ27 AQ31 AQ35 AQ39 AQ43 AQ47 AQ51 AQ55 AQ59 AQ63 AQ67 AQ71 AQ75 AQ79 AQ83 AQ87">
    <cfRule type="cellIs" dxfId="7418" priority="66" operator="lessThan">
      <formula>0</formula>
    </cfRule>
  </conditionalFormatting>
  <conditionalFormatting sqref="AQ27 AQ31 AQ35 AQ39 AQ43 AQ47 AQ51 AQ55 AQ59 AQ63 AQ67 AQ71 AQ75 AQ79 AQ83 AQ87">
    <cfRule type="cellIs" dxfId="7417" priority="65" operator="lessThan">
      <formula>0</formula>
    </cfRule>
  </conditionalFormatting>
  <conditionalFormatting sqref="AQ27 AQ31 AQ35 AQ39 AQ43 AQ47 AQ51 AQ55 AQ59 AQ63 AQ67 AQ71 AQ75 AQ79 AQ83 AQ87">
    <cfRule type="cellIs" dxfId="7416" priority="64" operator="lessThan">
      <formula>0</formula>
    </cfRule>
  </conditionalFormatting>
  <conditionalFormatting sqref="AQ27 AQ31 AQ35 AQ39 AQ43 AQ47 AQ51 AQ55 AQ59 AQ63 AQ67 AQ71 AQ75 AQ79 AQ83 AQ87">
    <cfRule type="cellIs" dxfId="7415" priority="63" operator="lessThan">
      <formula>0</formula>
    </cfRule>
  </conditionalFormatting>
  <conditionalFormatting sqref="AQ27 AQ31 AQ35 AQ39 AQ43 AQ47 AQ51 AQ55 AQ59 AQ63 AQ67 AQ71 AQ75 AQ79 AQ83 AQ87">
    <cfRule type="cellIs" dxfId="7414" priority="62" operator="lessThan">
      <formula>0</formula>
    </cfRule>
  </conditionalFormatting>
  <conditionalFormatting sqref="AQ27 AQ31 AQ35 AQ39 AQ43 AQ47 AQ51 AQ55 AQ59 AQ63 AQ67 AQ71 AQ75 AQ79 AQ83 AQ87">
    <cfRule type="cellIs" dxfId="7413" priority="61" operator="lessThan">
      <formula>0</formula>
    </cfRule>
  </conditionalFormatting>
  <conditionalFormatting sqref="AQ27 AQ31 AQ35 AQ39 AQ43 AQ47 AQ51 AQ55 AQ59 AQ63 AQ67 AQ71 AQ75 AQ79 AQ83 AQ87">
    <cfRule type="cellIs" dxfId="7412" priority="60" operator="lessThan">
      <formula>0</formula>
    </cfRule>
  </conditionalFormatting>
  <conditionalFormatting sqref="AQ27 AQ31 AQ35 AQ39 AQ43 AQ47 AQ51 AQ55 AQ59 AQ63 AQ67 AQ71 AQ75 AQ79 AQ83 AQ87">
    <cfRule type="cellIs" dxfId="7411" priority="59" operator="lessThan">
      <formula>0</formula>
    </cfRule>
  </conditionalFormatting>
  <conditionalFormatting sqref="AQ27 AQ31 AQ35 AQ39 AQ43 AQ47 AQ51 AQ55 AQ59 AQ63 AQ67 AQ71 AQ75 AQ79 AQ83 AQ87">
    <cfRule type="cellIs" dxfId="7410" priority="58" operator="lessThan">
      <formula>0</formula>
    </cfRule>
  </conditionalFormatting>
  <conditionalFormatting sqref="AQ27 AQ31 AQ35 AQ39 AQ43 AQ47 AQ51 AQ55 AQ59 AQ63 AQ67 AQ71 AQ75 AQ79 AQ83 AQ87">
    <cfRule type="cellIs" dxfId="7409" priority="57" operator="lessThan">
      <formula>0</formula>
    </cfRule>
  </conditionalFormatting>
  <conditionalFormatting sqref="AQ27 AQ31 AQ35 AQ39 AQ43 AQ47 AQ51 AQ55 AQ59 AQ63 AQ67 AQ71 AQ75 AQ79 AQ83 AQ87">
    <cfRule type="cellIs" dxfId="7408" priority="56" operator="lessThan">
      <formula>0</formula>
    </cfRule>
  </conditionalFormatting>
  <conditionalFormatting sqref="AQ27 AQ31 AQ35 AQ39 AQ43 AQ47 AQ51 AQ55 AQ59 AQ63 AQ67 AQ71 AQ75 AQ79 AQ83 AQ87">
    <cfRule type="cellIs" dxfId="7407" priority="55" operator="lessThan">
      <formula>0</formula>
    </cfRule>
  </conditionalFormatting>
  <conditionalFormatting sqref="AQ27 AQ31 AQ35 AQ39 AQ43 AQ47 AQ51 AQ55 AQ59 AQ63 AQ67 AQ71 AQ75 AQ79 AQ83 AQ87">
    <cfRule type="cellIs" dxfId="7406" priority="54" operator="lessThan">
      <formula>0</formula>
    </cfRule>
  </conditionalFormatting>
  <conditionalFormatting sqref="AQ27 AQ31 AQ35 AQ39 AQ43 AQ47 AQ51 AQ55 AQ59 AQ63 AQ67 AQ71 AQ75 AQ79 AQ83 AQ87">
    <cfRule type="cellIs" dxfId="7405" priority="53" operator="lessThan">
      <formula>0</formula>
    </cfRule>
  </conditionalFormatting>
  <conditionalFormatting sqref="AQ27 AQ31 AQ35 AQ39 AQ43 AQ47 AQ51 AQ55 AQ59 AQ63 AQ67 AQ71 AQ75 AQ79 AQ83 AQ87">
    <cfRule type="cellIs" dxfId="7404" priority="52" operator="lessThan">
      <formula>0</formula>
    </cfRule>
  </conditionalFormatting>
  <conditionalFormatting sqref="AQ27 AQ31 AQ35 AQ39 AQ43 AQ47 AQ51 AQ55 AQ59 AQ63 AQ67 AQ71 AQ75 AQ79 AQ83 AQ87">
    <cfRule type="cellIs" dxfId="7403" priority="51" operator="lessThan">
      <formula>0</formula>
    </cfRule>
  </conditionalFormatting>
  <conditionalFormatting sqref="AQ27 AQ31 AQ35 AQ39 AQ43 AQ47 AQ51 AQ55 AQ59 AQ63 AQ67 AQ71 AQ75 AQ79 AQ83 AQ87">
    <cfRule type="cellIs" dxfId="7402" priority="50" operator="lessThan">
      <formula>0</formula>
    </cfRule>
  </conditionalFormatting>
  <conditionalFormatting sqref="AQ27 AQ31 AQ35 AQ39 AQ43 AQ47 AQ51 AQ55 AQ59 AQ63 AQ67 AQ71 AQ75 AQ79 AQ83 AQ87">
    <cfRule type="cellIs" dxfId="7401" priority="49" operator="lessThan">
      <formula>0</formula>
    </cfRule>
  </conditionalFormatting>
  <conditionalFormatting sqref="AQ27 AQ31 AQ35 AQ39 AQ43 AQ47 AQ51 AQ55 AQ59 AQ63 AQ67 AQ71 AQ75 AQ79 AQ83 AQ87">
    <cfRule type="cellIs" dxfId="7400" priority="48" operator="lessThan">
      <formula>0</formula>
    </cfRule>
  </conditionalFormatting>
  <conditionalFormatting sqref="AQ27 AQ31 AQ35 AQ39 AQ43 AQ47 AQ51 AQ55 AQ59 AQ63 AQ67 AQ71 AQ75 AQ79 AQ83 AQ87">
    <cfRule type="cellIs" dxfId="7399" priority="47" operator="lessThan">
      <formula>0</formula>
    </cfRule>
  </conditionalFormatting>
  <conditionalFormatting sqref="AQ27 AQ31 AQ35 AQ39 AQ43 AQ47 AQ51 AQ55 AQ59 AQ63 AQ67 AQ71 AQ75 AQ79 AQ83 AQ87">
    <cfRule type="cellIs" dxfId="7398" priority="46" operator="lessThan">
      <formula>0</formula>
    </cfRule>
  </conditionalFormatting>
  <conditionalFormatting sqref="AQ27 AQ31 AQ35 AQ39 AQ43 AQ47 AQ51 AQ55 AQ59 AQ63 AQ67 AQ71 AQ75 AQ79 AQ83 AQ87">
    <cfRule type="cellIs" dxfId="7397" priority="45" operator="lessThan">
      <formula>0</formula>
    </cfRule>
  </conditionalFormatting>
  <conditionalFormatting sqref="AQ27 AQ31 AQ35 AQ39 AQ43 AQ47 AQ51 AQ55 AQ59 AQ63 AQ67 AQ71 AQ75 AQ79 AQ83 AQ87">
    <cfRule type="cellIs" dxfId="7396" priority="44" operator="lessThan">
      <formula>0</formula>
    </cfRule>
  </conditionalFormatting>
  <conditionalFormatting sqref="AQ27 AQ31 AQ35 AQ39 AQ43 AQ47 AQ51 AQ55 AQ59 AQ63 AQ67 AQ71 AQ75 AQ79 AQ83 AQ87">
    <cfRule type="cellIs" dxfId="7395" priority="43" operator="lessThan">
      <formula>0</formula>
    </cfRule>
  </conditionalFormatting>
  <conditionalFormatting sqref="AQ27 AQ31 AQ35 AQ39 AQ43 AQ47 AQ51 AQ55 AQ59 AQ63 AQ67 AQ71 AQ75 AQ79 AQ83 AQ87">
    <cfRule type="cellIs" dxfId="7394" priority="42" operator="lessThan">
      <formula>0</formula>
    </cfRule>
  </conditionalFormatting>
  <conditionalFormatting sqref="AQ27 AQ31 AQ35 AQ39 AQ43 AQ47 AQ51 AQ55 AQ59 AQ63 AQ67 AQ71 AQ75 AQ79 AQ83 AQ87">
    <cfRule type="cellIs" dxfId="7393" priority="41" operator="lessThan">
      <formula>0</formula>
    </cfRule>
  </conditionalFormatting>
  <conditionalFormatting sqref="AQ27 AQ31 AQ35 AQ39 AQ43 AQ47 AQ51 AQ55 AQ59 AQ63 AQ67 AQ71 AQ75 AQ79 AQ83 AQ87">
    <cfRule type="cellIs" dxfId="7392" priority="40" operator="lessThan">
      <formula>0</formula>
    </cfRule>
  </conditionalFormatting>
  <conditionalFormatting sqref="AQ27 AQ31 AQ35 AQ39 AQ43 AQ47 AQ51 AQ55 AQ59 AQ63 AQ67 AQ71 AQ75 AQ79 AQ83 AQ87">
    <cfRule type="cellIs" dxfId="7391" priority="39" operator="lessThan">
      <formula>0</formula>
    </cfRule>
  </conditionalFormatting>
  <conditionalFormatting sqref="AQ27 AQ31 AQ35 AQ39 AQ43 AQ47 AQ51 AQ55 AQ59 AQ63 AQ67 AQ71 AQ75 AQ79 AQ83 AQ87">
    <cfRule type="cellIs" dxfId="7390" priority="38" operator="lessThan">
      <formula>0</formula>
    </cfRule>
  </conditionalFormatting>
  <conditionalFormatting sqref="AQ27 AQ31 AQ35 AQ39 AQ43 AQ47 AQ51 AQ55 AQ59 AQ63 AQ67 AQ71 AQ75 AQ79 AQ83 AQ87">
    <cfRule type="cellIs" dxfId="7389" priority="37" operator="lessThan">
      <formula>0</formula>
    </cfRule>
  </conditionalFormatting>
  <conditionalFormatting sqref="AQ27 AQ31 AQ35 AQ39 AQ43 AQ47 AQ51 AQ55 AQ59 AQ63 AQ67 AQ71 AQ75 AQ79 AQ83 AQ87">
    <cfRule type="cellIs" dxfId="7388" priority="36" operator="lessThan">
      <formula>0</formula>
    </cfRule>
  </conditionalFormatting>
  <conditionalFormatting sqref="AQ27 AQ31 AQ35 AQ39 AQ43 AQ47 AQ51 AQ55 AQ59 AQ63 AQ67 AQ71 AQ75 AQ79 AQ83 AQ87">
    <cfRule type="cellIs" dxfId="7387" priority="35" operator="lessThan">
      <formula>0</formula>
    </cfRule>
  </conditionalFormatting>
  <conditionalFormatting sqref="AQ27 AQ31 AQ35 AQ39 AQ43 AQ47 AQ51 AQ55 AQ59 AQ63 AQ67 AQ71 AQ75 AQ79 AQ83 AQ87">
    <cfRule type="cellIs" dxfId="7386" priority="34" operator="lessThan">
      <formula>0</formula>
    </cfRule>
  </conditionalFormatting>
  <conditionalFormatting sqref="AQ27 AQ31 AQ35 AQ39 AQ43 AQ47 AQ51 AQ55 AQ59 AQ63 AQ67 AQ71 AQ75 AQ79 AQ83 AQ87">
    <cfRule type="cellIs" dxfId="7385" priority="33" operator="lessThan">
      <formula>0</formula>
    </cfRule>
  </conditionalFormatting>
  <conditionalFormatting sqref="AQ27 AQ31 AQ35 AQ39 AQ43 AQ47 AQ51 AQ55 AQ59 AQ63 AQ67 AQ71 AQ75 AQ79 AQ83 AQ87">
    <cfRule type="cellIs" dxfId="7384" priority="32" operator="lessThan">
      <formula>0</formula>
    </cfRule>
  </conditionalFormatting>
  <conditionalFormatting sqref="AQ27 AQ31 AQ35 AQ39 AQ43 AQ47 AQ51 AQ55 AQ59 AQ63 AQ67 AQ71 AQ75 AQ79 AQ83 AQ87">
    <cfRule type="cellIs" dxfId="7383" priority="31" operator="lessThan">
      <formula>0</formula>
    </cfRule>
  </conditionalFormatting>
  <conditionalFormatting sqref="AQ27 AQ31 AQ35 AQ39 AQ43 AQ47 AQ51 AQ55 AQ59 AQ63 AQ67 AQ71 AQ75 AQ79 AQ83 AQ87">
    <cfRule type="cellIs" dxfId="7382" priority="30" operator="lessThan">
      <formula>0</formula>
    </cfRule>
  </conditionalFormatting>
  <conditionalFormatting sqref="AQ27 AQ31 AQ35 AQ39 AQ43 AQ47 AQ51 AQ55 AQ59 AQ63 AQ67 AQ71 AQ75 AQ79 AQ83 AQ87">
    <cfRule type="cellIs" dxfId="7381" priority="29" operator="lessThan">
      <formula>0</formula>
    </cfRule>
  </conditionalFormatting>
  <conditionalFormatting sqref="AQ27 AQ31 AQ35 AQ39 AQ43 AQ47 AQ51 AQ55 AQ59 AQ63 AQ67 AQ71 AQ75 AQ79 AQ83 AQ87">
    <cfRule type="cellIs" dxfId="7380" priority="28" operator="lessThan">
      <formula>0</formula>
    </cfRule>
  </conditionalFormatting>
  <conditionalFormatting sqref="AQ27 AQ31 AQ35 AQ39 AQ43 AQ47 AQ51 AQ55 AQ59 AQ63 AQ67 AQ71 AQ75 AQ79 AQ83 AQ87">
    <cfRule type="cellIs" dxfId="7379" priority="27" operator="lessThan">
      <formula>0</formula>
    </cfRule>
  </conditionalFormatting>
  <conditionalFormatting sqref="AQ27 AQ31 AQ35 AQ39 AQ43 AQ47 AQ51 AQ55 AQ59 AQ63 AQ67 AQ71 AQ75 AQ79 AQ83 AQ87">
    <cfRule type="cellIs" dxfId="7378" priority="26" operator="lessThan">
      <formula>0</formula>
    </cfRule>
  </conditionalFormatting>
  <conditionalFormatting sqref="AQ27 AQ31 AQ35 AQ39 AQ43 AQ47 AQ51 AQ55 AQ59 AQ63 AQ67 AQ71 AQ75 AQ79 AQ83 AQ87">
    <cfRule type="cellIs" dxfId="7377" priority="25" operator="lessThan">
      <formula>0</formula>
    </cfRule>
  </conditionalFormatting>
  <conditionalFormatting sqref="AQ27 AQ31 AQ35 AQ39 AQ43 AQ47 AQ51 AQ55 AQ59 AQ63 AQ67 AQ71 AQ75 AQ79 AQ83 AQ87">
    <cfRule type="cellIs" dxfId="7376" priority="24" operator="lessThan">
      <formula>0</formula>
    </cfRule>
  </conditionalFormatting>
  <conditionalFormatting sqref="AQ27 AQ31 AQ35 AQ39 AQ43 AQ47 AQ51 AQ55 AQ59 AQ63 AQ67 AQ71 AQ75 AQ79 AQ83 AQ87">
    <cfRule type="cellIs" dxfId="7375" priority="23" operator="lessThan">
      <formula>0</formula>
    </cfRule>
  </conditionalFormatting>
  <conditionalFormatting sqref="AQ27 AQ31 AQ35 AQ39 AQ43 AQ47 AQ51 AQ55 AQ59 AQ63 AQ67 AQ71 AQ75 AQ79 AQ83 AQ87">
    <cfRule type="cellIs" dxfId="7374" priority="22" operator="lessThan">
      <formula>0</formula>
    </cfRule>
  </conditionalFormatting>
  <conditionalFormatting sqref="AQ27 AQ31 AQ35 AQ39 AQ43 AQ47 AQ51 AQ55 AQ59 AQ63 AQ67 AQ71 AQ75 AQ79 AQ83 AQ87">
    <cfRule type="cellIs" dxfId="7373" priority="21" operator="lessThan">
      <formula>0</formula>
    </cfRule>
  </conditionalFormatting>
  <conditionalFormatting sqref="AQ27 AQ31 AQ35 AQ39 AQ43 AQ47 AQ51 AQ55 AQ59 AQ63 AQ67 AQ71 AQ75 AQ79 AQ83 AQ87">
    <cfRule type="cellIs" dxfId="7372" priority="20" operator="lessThan">
      <formula>0</formula>
    </cfRule>
  </conditionalFormatting>
  <conditionalFormatting sqref="AQ27 AQ31 AQ35 AQ39 AQ43 AQ47 AQ51 AQ55 AQ59 AQ63 AQ67 AQ71 AQ75 AQ79 AQ83 AQ87">
    <cfRule type="cellIs" dxfId="7371" priority="19" operator="lessThan">
      <formula>0</formula>
    </cfRule>
  </conditionalFormatting>
  <conditionalFormatting sqref="AQ27 AQ31 AQ35 AQ39 AQ43 AQ47 AQ51 AQ55 AQ59 AQ63 AQ67 AQ71 AQ75 AQ79 AQ83 AQ87">
    <cfRule type="cellIs" dxfId="7370" priority="18" operator="lessThan">
      <formula>0</formula>
    </cfRule>
  </conditionalFormatting>
  <conditionalFormatting sqref="AQ27 AQ31 AQ35 AQ39 AQ43 AQ47 AQ51 AQ55 AQ59 AQ63 AQ67 AQ71 AQ75 AQ79 AQ83 AQ87">
    <cfRule type="cellIs" dxfId="7369" priority="17" operator="lessThan">
      <formula>0</formula>
    </cfRule>
  </conditionalFormatting>
  <conditionalFormatting sqref="AQ27 AQ31 AQ35 AQ39 AQ43 AQ47 AQ51 AQ55 AQ59 AQ63 AQ67 AQ71 AQ75 AQ79 AQ83 AQ87">
    <cfRule type="cellIs" dxfId="7368" priority="1" operator="lessThan">
      <formula>0</formula>
    </cfRule>
  </conditionalFormatting>
  <conditionalFormatting sqref="AQ27 AQ31 AQ35 AQ39 AQ43 AQ47 AQ51 AQ55 AQ59 AQ63 AQ67 AQ71 AQ75 AQ79 AQ83 AQ87">
    <cfRule type="cellIs" dxfId="7367" priority="16" operator="lessThan">
      <formula>0</formula>
    </cfRule>
  </conditionalFormatting>
  <conditionalFormatting sqref="AQ27 AQ31 AQ35 AQ39 AQ43 AQ47 AQ51 AQ55 AQ59 AQ63 AQ67 AQ71 AQ75 AQ79 AQ83 AQ87">
    <cfRule type="cellIs" dxfId="7366" priority="15" operator="lessThan">
      <formula>0</formula>
    </cfRule>
  </conditionalFormatting>
  <conditionalFormatting sqref="AQ27 AQ31 AQ35 AQ39 AQ43 AQ47 AQ51 AQ55 AQ59 AQ63 AQ67 AQ71 AQ75 AQ79 AQ83 AQ87">
    <cfRule type="cellIs" dxfId="7365" priority="14" operator="lessThan">
      <formula>0</formula>
    </cfRule>
  </conditionalFormatting>
  <conditionalFormatting sqref="AQ27 AQ31 AQ35 AQ39 AQ43 AQ47 AQ51 AQ55 AQ59 AQ63 AQ67 AQ71 AQ75 AQ79 AQ83 AQ87">
    <cfRule type="cellIs" dxfId="7364" priority="13" operator="lessThan">
      <formula>0</formula>
    </cfRule>
  </conditionalFormatting>
  <conditionalFormatting sqref="AQ27 AQ31 AQ35 AQ39 AQ43 AQ47 AQ51 AQ55 AQ59 AQ63 AQ67 AQ71 AQ75 AQ79 AQ83 AQ87">
    <cfRule type="cellIs" dxfId="7363" priority="12" operator="lessThan">
      <formula>0</formula>
    </cfRule>
  </conditionalFormatting>
  <conditionalFormatting sqref="AQ27 AQ31 AQ35 AQ39 AQ43 AQ47 AQ51 AQ55 AQ59 AQ63 AQ67 AQ71 AQ75 AQ79 AQ83 AQ87">
    <cfRule type="cellIs" dxfId="7362" priority="11" operator="lessThan">
      <formula>0</formula>
    </cfRule>
  </conditionalFormatting>
  <conditionalFormatting sqref="AQ27 AQ31 AQ35 AQ39 AQ43 AQ47 AQ51 AQ55 AQ59 AQ63 AQ67 AQ71 AQ75 AQ79 AQ83 AQ87">
    <cfRule type="cellIs" dxfId="7361" priority="10" operator="lessThan">
      <formula>0</formula>
    </cfRule>
  </conditionalFormatting>
  <conditionalFormatting sqref="AQ27 AQ31 AQ35 AQ39 AQ43 AQ47 AQ51 AQ55 AQ59 AQ63 AQ67 AQ71 AQ75 AQ79 AQ83 AQ87">
    <cfRule type="cellIs" dxfId="7360" priority="9" operator="lessThan">
      <formula>0</formula>
    </cfRule>
  </conditionalFormatting>
  <conditionalFormatting sqref="AQ27 AQ31 AQ35 AQ39 AQ43 AQ47 AQ51 AQ55 AQ59 AQ63 AQ67 AQ71 AQ75 AQ79 AQ83 AQ87">
    <cfRule type="cellIs" dxfId="7359" priority="8" operator="lessThan">
      <formula>0</formula>
    </cfRule>
  </conditionalFormatting>
  <conditionalFormatting sqref="AQ27 AQ31 AQ35 AQ39 AQ43 AQ47 AQ51 AQ55 AQ59 AQ63 AQ67 AQ71 AQ75 AQ79 AQ83 AQ87">
    <cfRule type="cellIs" dxfId="7358" priority="7" operator="lessThan">
      <formula>0</formula>
    </cfRule>
  </conditionalFormatting>
  <conditionalFormatting sqref="AQ27 AQ31 AQ35 AQ39 AQ43 AQ47 AQ51 AQ55 AQ59 AQ63 AQ67 AQ71 AQ75 AQ79 AQ83 AQ87">
    <cfRule type="cellIs" dxfId="7357" priority="6" operator="lessThan">
      <formula>0</formula>
    </cfRule>
  </conditionalFormatting>
  <conditionalFormatting sqref="AQ27 AQ31 AQ35 AQ39 AQ43 AQ47 AQ51 AQ55 AQ59 AQ63 AQ67 AQ71 AQ75 AQ79 AQ83 AQ87">
    <cfRule type="cellIs" dxfId="7356" priority="5" operator="lessThan">
      <formula>0</formula>
    </cfRule>
  </conditionalFormatting>
  <conditionalFormatting sqref="AQ27 AQ31 AQ35 AQ39 AQ43 AQ47 AQ51 AQ55 AQ59 AQ63 AQ67 AQ71 AQ75 AQ79 AQ83 AQ87">
    <cfRule type="cellIs" dxfId="7355" priority="4" operator="lessThan">
      <formula>0</formula>
    </cfRule>
  </conditionalFormatting>
  <conditionalFormatting sqref="AQ27 AQ31 AQ35 AQ39 AQ43 AQ47 AQ51 AQ55 AQ59 AQ63 AQ67 AQ71 AQ75 AQ79 AQ83 AQ87">
    <cfRule type="cellIs" dxfId="7354" priority="3" operator="lessThan">
      <formula>0</formula>
    </cfRule>
  </conditionalFormatting>
  <conditionalFormatting sqref="AQ27 AQ31 AQ35 AQ39 AQ43 AQ47 AQ51 AQ55 AQ59 AQ63 AQ67 AQ71 AQ75 AQ79 AQ83 AQ87">
    <cfRule type="cellIs" dxfId="7353" priority="2" operator="less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717" id="{126861A3-C230-4F59-900F-C49C758F84D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713" id="{988ABA90-3DB6-471D-BA50-20454E13EED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710" id="{0C440753-C8E7-473B-97B3-9C872A2A6E7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706" id="{DA5C2A50-824E-4156-8632-BB26014D999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703" id="{D2549808-FD47-4BF6-B3B4-5060E873D26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699" id="{B5C690C3-75D1-442D-8EE8-97FA0CB9712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693" id="{3164D581-0F6E-4EF9-98A0-D55A579EB04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689" id="{9F2282BC-B51E-4357-8437-2636B401B50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685" id="{FD3EAAA8-A048-4827-90ED-375A9BE6D8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682" id="{7169963B-ADF5-48DB-96BC-4226C970E59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675" id="{B353AC97-B95A-4B40-B98D-9FCE58FEF4E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668" id="{6C287ADB-B18E-4EB3-94D8-46331C1DC08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661" id="{FC07EF00-1A47-4A16-9029-3C2008B422C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654" id="{1D43B5EB-4A46-432A-B143-D852DD5F449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648" id="{C998A1EA-0FB4-433D-8B81-F6E3CACD77C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641" id="{DFB29246-EF35-4F0B-B920-DC6D2AAC046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612" id="{006DC48A-D445-4DA6-B592-3C4EF633720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604" id="{D8C96F67-C09E-4322-8020-0C51C0EC8F6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597" id="{7A19CC0B-E43E-4830-84E3-595322B5B40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489" id="{A2E8D02E-45D8-4E86-AF6D-EFB5F7A5FD6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334" id="{B75C6A05-3210-4A80-BCA5-B87578F90FF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85"/>
  <sheetViews>
    <sheetView zoomScale="19" zoomScaleNormal="19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AB7" sqref="AB7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0.7618012909796168</v>
      </c>
      <c r="AE2" s="520"/>
      <c r="AH2" s="183">
        <f>+SUBTOTAL(9,AH6:AH107)</f>
        <v>333855</v>
      </c>
      <c r="AI2" s="183">
        <f>+SUBTOTAL(9,AI6:AI107)</f>
        <v>254331.16999999998</v>
      </c>
      <c r="AT2" s="91">
        <v>0.59793648334624327</v>
      </c>
    </row>
    <row r="3" spans="2:58" ht="94.5" customHeight="1" x14ac:dyDescent="0.9">
      <c r="B3" s="495"/>
      <c r="C3" s="495"/>
      <c r="D3" s="495"/>
      <c r="E3" s="495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95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+SUMIF($L$6:$L$90,AA3,$AA$6:$AA$90)</f>
        <v>8109</v>
      </c>
      <c r="AB4" s="144" t="s">
        <v>28</v>
      </c>
      <c r="AC4" s="145"/>
      <c r="AD4" s="524" t="str">
        <f ca="1">RIGHT(CELL("filename",A1),LEN(CELL("filename",A1))-FIND("]",CELL("filename",A1)))</f>
        <v>16-01-2026</v>
      </c>
      <c r="AE4" s="524"/>
      <c r="AF4" s="397">
        <f>+SUM(AF6:AF95)</f>
        <v>5564.25</v>
      </c>
      <c r="AG4" s="397"/>
      <c r="AH4" s="98"/>
      <c r="AI4" s="98"/>
      <c r="AJ4" s="398">
        <v>8.25</v>
      </c>
      <c r="AQ4" s="437">
        <f>+SUBTOTAL(9,AQ6:AQ91)</f>
        <v>-0.67499999999995453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488</v>
      </c>
      <c r="H6" s="106"/>
      <c r="I6" s="106"/>
      <c r="J6" s="107" t="s">
        <v>20</v>
      </c>
      <c r="K6" s="108" t="s">
        <v>23</v>
      </c>
      <c r="L6" s="100" t="s">
        <v>21</v>
      </c>
      <c r="M6" s="448"/>
      <c r="N6" s="448"/>
      <c r="O6" s="448"/>
      <c r="P6" s="448"/>
      <c r="Q6" s="448"/>
      <c r="R6" s="448"/>
      <c r="S6" s="448"/>
      <c r="T6" s="448"/>
      <c r="U6" s="448"/>
      <c r="V6" s="448"/>
      <c r="W6" s="448"/>
      <c r="X6" s="447" t="str">
        <f t="shared" ref="X6" si="0">IF(AQ7="","",SUM(M6:W6)-(-(AQ7-SUM(M6:W6))/$AQ$3)*SUM($M$2:$W$2))</f>
        <v/>
      </c>
      <c r="Y6" s="466">
        <v>-181</v>
      </c>
      <c r="Z6" s="533">
        <f>+X8</f>
        <v>0</v>
      </c>
      <c r="AA6" s="447">
        <f t="shared" ref="AA6:AA71" si="1">+SUM(L6:W6)</f>
        <v>0</v>
      </c>
      <c r="AB6" s="343">
        <f>+AC6+AA6</f>
        <v>1910</v>
      </c>
      <c r="AC6" s="343">
        <v>1910</v>
      </c>
      <c r="AD6" s="344"/>
      <c r="AE6" s="345"/>
      <c r="AF6" s="346"/>
      <c r="AG6" s="347">
        <f t="shared" ref="AG6:AG77" si="2">TRUNC(AF6)+(AF6-TRUNC(AF6))*60/100</f>
        <v>0</v>
      </c>
      <c r="AH6" s="341">
        <f t="shared" ref="AH6:AH77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483</v>
      </c>
      <c r="E7" s="111"/>
      <c r="F7" s="111" t="s">
        <v>35</v>
      </c>
      <c r="G7" s="541" t="str">
        <f>+G6</f>
        <v>7394-593-741</v>
      </c>
      <c r="H7" s="111"/>
      <c r="I7" s="111" t="s">
        <v>33</v>
      </c>
      <c r="J7" s="113">
        <v>41.87</v>
      </c>
      <c r="K7" s="494">
        <v>60</v>
      </c>
      <c r="L7" s="101" t="s">
        <v>17</v>
      </c>
      <c r="M7" s="214">
        <v>30</v>
      </c>
      <c r="N7" s="214">
        <v>30</v>
      </c>
      <c r="O7" s="214"/>
      <c r="P7" s="214"/>
      <c r="Q7" s="214"/>
      <c r="R7" s="214"/>
      <c r="S7" s="214"/>
      <c r="T7" s="214"/>
      <c r="U7" s="214"/>
      <c r="V7" s="214"/>
      <c r="W7" s="214"/>
      <c r="X7" s="123">
        <f>+IF(H8="s",0,IF(AA7=0,0,IF(COUNTA(M7:W7)=AK9+0.75,SUMIF($C:$C,B7,$AA:$AA)/AK9,SUMIF($C:$C,B7,$AA:$AA)/(COUNTA(M7:W7)))))</f>
        <v>0</v>
      </c>
      <c r="Y7" s="466"/>
      <c r="Z7" s="534"/>
      <c r="AA7" s="134">
        <f t="shared" si="1"/>
        <v>60</v>
      </c>
      <c r="AB7" s="354">
        <f>+AA7+AC7</f>
        <v>1910</v>
      </c>
      <c r="AC7" s="354">
        <v>1850</v>
      </c>
      <c r="AD7" s="355">
        <f>+AB6-AB7</f>
        <v>0</v>
      </c>
      <c r="AE7" s="131">
        <f>+IF(((AA8+(AA9/2))*60)=0,"",(J7*AA7)/((AA8+(AA9/2))*60))</f>
        <v>4.1869999999999994</v>
      </c>
      <c r="AF7" s="347">
        <f>+AA8+AA9/2</f>
        <v>10</v>
      </c>
      <c r="AG7" s="347">
        <f t="shared" si="2"/>
        <v>10</v>
      </c>
      <c r="AH7" s="341">
        <f t="shared" si="3"/>
        <v>600</v>
      </c>
      <c r="AI7" s="341">
        <f>+AA7*J7</f>
        <v>2512.1999999999998</v>
      </c>
      <c r="AJ7" s="356">
        <f>+AA7-(AF7*K7/K9)</f>
        <v>47.234042553191486</v>
      </c>
      <c r="AK7" s="348"/>
      <c r="AL7" s="349"/>
      <c r="AM7" s="341"/>
      <c r="AN7" s="341"/>
      <c r="AO7" s="341"/>
      <c r="AP7" s="341"/>
      <c r="AQ7" s="339" t="str">
        <f t="shared" ref="AQ7:AQ71" si="4">IF(AR7=0,"",AT7-(($AQ$3*K7)+($AQ$3*K7)*AR7)+AA6)</f>
        <v/>
      </c>
      <c r="AR7" s="434"/>
      <c r="AT7" s="390">
        <v>60</v>
      </c>
      <c r="AV7" s="390">
        <f>+AT7-AD7</f>
        <v>60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7394-593-741</v>
      </c>
      <c r="H8" s="411" t="s">
        <v>414</v>
      </c>
      <c r="I8" s="113">
        <f>+IFERROR(IF(K9=0,0,IF((LOOKUP(2,1/(M8:W8&lt;&gt;""),M8:W8)-K9)&lt;0,0,IF(K9=0,"",LOOKUP(2,1/(M8:W8&lt;&gt;""),M8:W8)-K9))),0)</f>
        <v>0</v>
      </c>
      <c r="J8" s="113">
        <v>1</v>
      </c>
      <c r="K8" s="114" t="s">
        <v>22</v>
      </c>
      <c r="L8" s="102" t="s">
        <v>18</v>
      </c>
      <c r="M8" s="448">
        <v>5</v>
      </c>
      <c r="N8" s="448">
        <v>5</v>
      </c>
      <c r="O8" s="448"/>
      <c r="P8" s="448"/>
      <c r="Q8" s="448"/>
      <c r="R8" s="448"/>
      <c r="S8" s="448"/>
      <c r="T8" s="448"/>
      <c r="U8" s="448"/>
      <c r="V8" s="448"/>
      <c r="W8" s="448"/>
      <c r="X8" s="160">
        <f>+IF(H8="l",IF(COUNTA(M7:W7)=AK9+0.75,AA7-K7*AK9,AA7-(K7*COUNTA(M7:W7))),IF(H8="s",0,IF(COUNTA(M7:W7)=AK9+0.75,SUMIF($C:$C,B7,$AA:$AA)-K7*AK9,SUMIF($C:$C,B7,$AA:$AA)-K7*COUNTA(M7:W7))))</f>
        <v>0</v>
      </c>
      <c r="Y8" s="466"/>
      <c r="Z8" s="534"/>
      <c r="AA8" s="462">
        <f>+SUM(M8:W8)-U8*0.75</f>
        <v>10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10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7394-593-741</v>
      </c>
      <c r="H9" s="117"/>
      <c r="I9" s="442"/>
      <c r="J9" s="165">
        <f>+IF(K9="","",IF(K7=0,"",(K7*J7)/(K9*60)))</f>
        <v>0.89085106382978718</v>
      </c>
      <c r="K9" s="118">
        <v>47</v>
      </c>
      <c r="L9" s="104" t="s">
        <v>19</v>
      </c>
      <c r="M9" s="216"/>
      <c r="N9" s="216"/>
      <c r="O9" s="216"/>
      <c r="P9" s="216"/>
      <c r="Q9" s="216"/>
      <c r="R9" s="216"/>
      <c r="S9" s="216"/>
      <c r="T9" s="216"/>
      <c r="U9" s="216"/>
      <c r="V9" s="216"/>
      <c r="W9" s="216"/>
      <c r="X9" s="173"/>
      <c r="Y9" s="467">
        <v>14.39</v>
      </c>
      <c r="Z9" s="365">
        <v>14.39</v>
      </c>
      <c r="AA9" s="465">
        <f>+SUM(M9:W9)-U9*0.75</f>
        <v>0</v>
      </c>
      <c r="AB9" s="367"/>
      <c r="AC9" s="367"/>
      <c r="AD9" s="368">
        <f>+IFERROR(AD7/(K7*$AQ$3),"")</f>
        <v>0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8.25</v>
      </c>
      <c r="AL9" s="349">
        <f>+IF(AK9=7.75,SUM(M9:S9)+T9*0.75,IF(AK9=8,SUM(M9:T9),IF(AK9=7.25,SUM(M9:S9)+T9*0.25,IF(AK9=8.25,SUM(M9:T9)+U9*0.25,IF(AK9=8.75,SUM(M9:T9)+U9*0.75,0)))))</f>
        <v>0</v>
      </c>
      <c r="AM9" s="341">
        <f>+AL9-AA9</f>
        <v>0</v>
      </c>
      <c r="AN9" s="341"/>
      <c r="AO9" s="341"/>
      <c r="AP9" s="341"/>
      <c r="AQ9" s="369"/>
      <c r="AR9" s="434"/>
      <c r="AT9" s="390">
        <v>0.11428571428571428</v>
      </c>
      <c r="AV9" s="390"/>
    </row>
    <row r="10" spans="2:58" s="98" customFormat="1" ht="62.25" customHeight="1" thickTop="1" x14ac:dyDescent="0.9">
      <c r="B10" s="342">
        <f>+B11</f>
        <v>1</v>
      </c>
      <c r="C10" s="405"/>
      <c r="D10" s="106"/>
      <c r="E10" s="106"/>
      <c r="F10" s="106"/>
      <c r="G10" s="540" t="s">
        <v>494</v>
      </c>
      <c r="H10" s="106"/>
      <c r="I10" s="106"/>
      <c r="J10" s="107" t="s">
        <v>20</v>
      </c>
      <c r="K10" s="108" t="s">
        <v>23</v>
      </c>
      <c r="L10" s="100" t="s">
        <v>21</v>
      </c>
      <c r="M10" s="448"/>
      <c r="N10" s="448">
        <v>50</v>
      </c>
      <c r="O10" s="448">
        <v>50</v>
      </c>
      <c r="P10" s="448">
        <v>30</v>
      </c>
      <c r="Q10" s="448">
        <v>50</v>
      </c>
      <c r="R10" s="448">
        <v>100</v>
      </c>
      <c r="S10" s="448">
        <v>100</v>
      </c>
      <c r="T10" s="448"/>
      <c r="U10" s="448"/>
      <c r="V10" s="448"/>
      <c r="W10" s="448"/>
      <c r="X10" s="447">
        <f t="shared" ref="X10:X74" si="5">IF(AQ11="","",SUM(M10:W10)-(-(AQ11-SUM(M10:W10))/$AQ$3)*SUM($M$2:$W$2))</f>
        <v>380</v>
      </c>
      <c r="Y10" s="466">
        <v>0</v>
      </c>
      <c r="Z10" s="533">
        <f>+X12</f>
        <v>-415.25</v>
      </c>
      <c r="AA10" s="447">
        <f t="shared" si="1"/>
        <v>380</v>
      </c>
      <c r="AB10" s="343">
        <f>+AC10+AA10</f>
        <v>633</v>
      </c>
      <c r="AC10" s="343">
        <v>253</v>
      </c>
      <c r="AD10" s="344"/>
      <c r="AE10" s="345"/>
      <c r="AF10" s="346"/>
      <c r="AG10" s="347">
        <f t="shared" si="2"/>
        <v>0</v>
      </c>
      <c r="AH10" s="341">
        <f t="shared" si="3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1</v>
      </c>
      <c r="C11" s="406">
        <f>+B11</f>
        <v>1</v>
      </c>
      <c r="D11" s="407" t="s">
        <v>493</v>
      </c>
      <c r="E11" s="111"/>
      <c r="F11" s="111" t="s">
        <v>35</v>
      </c>
      <c r="G11" s="541" t="str">
        <f>+G10</f>
        <v>2395-582-401</v>
      </c>
      <c r="H11" s="111"/>
      <c r="I11" s="111" t="s">
        <v>33</v>
      </c>
      <c r="J11" s="113">
        <v>41.85</v>
      </c>
      <c r="K11" s="130">
        <v>57</v>
      </c>
      <c r="L11" s="101" t="s">
        <v>17</v>
      </c>
      <c r="M11" s="214">
        <v>0</v>
      </c>
      <c r="N11" s="214">
        <v>0</v>
      </c>
      <c r="O11" s="214">
        <v>0</v>
      </c>
      <c r="P11" s="214">
        <v>0</v>
      </c>
      <c r="Q11" s="214">
        <v>0</v>
      </c>
      <c r="R11" s="214">
        <v>0</v>
      </c>
      <c r="S11" s="214">
        <v>20</v>
      </c>
      <c r="T11" s="214">
        <v>25</v>
      </c>
      <c r="U11" s="214">
        <v>10</v>
      </c>
      <c r="V11" s="214"/>
      <c r="W11" s="214"/>
      <c r="X11" s="123">
        <f>+IF(H12="s",0,IF(AA11=0,0,IF(COUNTA(M11:W11)=AK13+0.75,SUMIF($C:$C,B11,$AA:$AA)/AK13,SUMIF($C:$C,B11,$AA:$AA)/(COUNTA(M11:W11)))))</f>
        <v>13.939393939393939</v>
      </c>
      <c r="Y11" s="466"/>
      <c r="Z11" s="534"/>
      <c r="AA11" s="134">
        <f t="shared" si="1"/>
        <v>55</v>
      </c>
      <c r="AB11" s="354">
        <f>+AA11+AC11</f>
        <v>55</v>
      </c>
      <c r="AC11" s="354">
        <v>0</v>
      </c>
      <c r="AD11" s="355">
        <f>+AB10-AB11</f>
        <v>578</v>
      </c>
      <c r="AE11" s="131">
        <f>+IF(((AA12+(AA13/2))*60)=0,"",(J11*AA11)/((AA12+(AA13/2))*60))</f>
        <v>9.434368275438057E-2</v>
      </c>
      <c r="AF11" s="347">
        <f>+AA12+AA13/2</f>
        <v>406.625</v>
      </c>
      <c r="AG11" s="347">
        <f t="shared" si="2"/>
        <v>406.375</v>
      </c>
      <c r="AH11" s="341">
        <f t="shared" si="3"/>
        <v>24397.5</v>
      </c>
      <c r="AI11" s="341">
        <f>+AA11*J11</f>
        <v>2301.75</v>
      </c>
      <c r="AJ11" s="356">
        <f>+AA11-(AF11*K11/K13)</f>
        <v>-438.1409574468085</v>
      </c>
      <c r="AK11" s="348"/>
      <c r="AL11" s="349"/>
      <c r="AM11" s="341"/>
      <c r="AN11" s="341"/>
      <c r="AO11" s="341"/>
      <c r="AP11" s="341"/>
      <c r="AQ11" s="339">
        <f>-500+AA10</f>
        <v>-120</v>
      </c>
      <c r="AR11" s="434">
        <v>1</v>
      </c>
      <c r="AT11" s="390">
        <v>253</v>
      </c>
      <c r="AV11" s="390">
        <f>+AT11-AD11</f>
        <v>-325</v>
      </c>
      <c r="AW11" s="535" t="s">
        <v>484</v>
      </c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1</v>
      </c>
      <c r="C12" s="408"/>
      <c r="D12" s="184"/>
      <c r="E12" s="111">
        <f>+B11</f>
        <v>1</v>
      </c>
      <c r="F12" s="409"/>
      <c r="G12" s="541" t="str">
        <f>+G10</f>
        <v>2395-582-401</v>
      </c>
      <c r="H12" s="411" t="s">
        <v>412</v>
      </c>
      <c r="I12" s="113">
        <f>+IFERROR(IF(K13=0,0,IF((LOOKUP(2,1/(M12:W12&lt;&gt;""),M12:W12)-K13)&lt;0,0,IF(K13=0,"",LOOKUP(2,1/(M12:W12&lt;&gt;""),M12:W12)-K13))),0)</f>
        <v>3</v>
      </c>
      <c r="J12" s="113"/>
      <c r="K12" s="114" t="s">
        <v>22</v>
      </c>
      <c r="L12" s="102" t="s">
        <v>18</v>
      </c>
      <c r="M12" s="448">
        <v>45</v>
      </c>
      <c r="N12" s="448">
        <v>45</v>
      </c>
      <c r="O12" s="448">
        <v>50</v>
      </c>
      <c r="P12" s="448">
        <v>50</v>
      </c>
      <c r="Q12" s="448">
        <v>50</v>
      </c>
      <c r="R12" s="448">
        <v>50</v>
      </c>
      <c r="S12" s="448">
        <v>50</v>
      </c>
      <c r="T12" s="448">
        <v>50</v>
      </c>
      <c r="U12" s="448">
        <v>50</v>
      </c>
      <c r="V12" s="448"/>
      <c r="W12" s="448"/>
      <c r="X12" s="160">
        <f>+IF(H12="l",IF(COUNTA(M11:W11)=AK13+0.75,AA11-K11*AK13,AA11-(K11*COUNTA(M11:W11))),IF(H12="s",0,IF(COUNTA(M11:W11)=AK13+0.75,SUMIF($C:$C,B11,$AA:$AA)-K11*AK13,SUMIF($C:$C,B11,$AA:$AA)-K11*COUNTA(M11:W11))))</f>
        <v>-415.25</v>
      </c>
      <c r="Y12" s="466"/>
      <c r="Z12" s="534"/>
      <c r="AA12" s="462">
        <f t="shared" ref="AA12:AA13" si="6">+SUM(M12:W12)-U12*0.75</f>
        <v>402.5</v>
      </c>
      <c r="AB12" s="360"/>
      <c r="AC12" s="360"/>
      <c r="AD12" s="362"/>
      <c r="AE12" s="363"/>
      <c r="AF12" s="346"/>
      <c r="AG12" s="347">
        <f t="shared" si="2"/>
        <v>0</v>
      </c>
      <c r="AH12" s="341">
        <f t="shared" si="3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402.5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1</v>
      </c>
      <c r="C13" s="410"/>
      <c r="D13" s="174" t="s">
        <v>77</v>
      </c>
      <c r="E13" s="175">
        <f>+E12+100</f>
        <v>101</v>
      </c>
      <c r="F13" s="175"/>
      <c r="G13" s="542" t="str">
        <f>+G10</f>
        <v>2395-582-401</v>
      </c>
      <c r="H13" s="117"/>
      <c r="I13" s="442"/>
      <c r="J13" s="165">
        <f>+IF(K13="","",IF(K11=0,"",(K11*J11)/(K13*60)))</f>
        <v>0.84590425531914903</v>
      </c>
      <c r="K13" s="118">
        <v>47</v>
      </c>
      <c r="L13" s="104" t="s">
        <v>19</v>
      </c>
      <c r="M13" s="216">
        <v>1</v>
      </c>
      <c r="N13" s="216">
        <v>1</v>
      </c>
      <c r="O13" s="216">
        <v>1</v>
      </c>
      <c r="P13" s="216">
        <v>1</v>
      </c>
      <c r="Q13" s="216">
        <v>1</v>
      </c>
      <c r="R13" s="216">
        <v>1</v>
      </c>
      <c r="S13" s="216">
        <v>1</v>
      </c>
      <c r="T13" s="216">
        <v>1</v>
      </c>
      <c r="U13" s="216">
        <v>1</v>
      </c>
      <c r="V13" s="216"/>
      <c r="W13" s="216"/>
      <c r="X13" s="173"/>
      <c r="Y13" s="467">
        <v>2.0165999999999999</v>
      </c>
      <c r="Z13" s="371">
        <f>+IF(COUNTA(M11:W11)=$AJ$4+0.25,$AJ$4-(AA11/K11),COUNTA(M11:W11)-(AA11/K11))+Y13</f>
        <v>10.051687719298245</v>
      </c>
      <c r="AA13" s="465">
        <f t="shared" si="6"/>
        <v>8.25</v>
      </c>
      <c r="AB13" s="367"/>
      <c r="AC13" s="367"/>
      <c r="AD13" s="368">
        <f>+IFERROR(AD11/(K11*$AQ$3),"")</f>
        <v>1.1588972431077693</v>
      </c>
      <c r="AE13" s="369"/>
      <c r="AF13" s="347"/>
      <c r="AG13" s="347">
        <f t="shared" si="2"/>
        <v>0</v>
      </c>
      <c r="AH13" s="341">
        <f t="shared" si="3"/>
        <v>0</v>
      </c>
      <c r="AI13" s="341"/>
      <c r="AJ13" s="356"/>
      <c r="AK13" s="370">
        <f>+$AJ$4</f>
        <v>8.25</v>
      </c>
      <c r="AL13" s="349">
        <f>+IF(AK13=7.75,SUM(M13:S13)+T13*0.75,IF(AK13=8,SUM(M13:T13),IF(AK13=7.25,SUM(M13:S13)+T13*0.25,IF(AK13=8.25,SUM(M13:T13)+U13*0.25,IF(AK13=8.75,SUM(M13:T13)+U13*0.75,0)))))</f>
        <v>8.25</v>
      </c>
      <c r="AM13" s="341">
        <f>+AL13-AA13</f>
        <v>0</v>
      </c>
      <c r="AN13" s="341"/>
      <c r="AO13" s="341"/>
      <c r="AP13" s="341"/>
      <c r="AQ13" s="369"/>
      <c r="AR13" s="434"/>
      <c r="AT13" s="390">
        <v>0.5072681704260652</v>
      </c>
      <c r="AV13" s="390"/>
    </row>
    <row r="14" spans="2:58" s="98" customFormat="1" ht="62.25" customHeight="1" thickTop="1" x14ac:dyDescent="0.9">
      <c r="B14" s="342">
        <f>+B15</f>
        <v>2</v>
      </c>
      <c r="C14" s="405"/>
      <c r="D14" s="106"/>
      <c r="E14" s="106"/>
      <c r="F14" s="106"/>
      <c r="G14" s="540" t="s">
        <v>481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60</v>
      </c>
      <c r="N14" s="448">
        <v>120</v>
      </c>
      <c r="O14" s="448">
        <v>60</v>
      </c>
      <c r="P14" s="448">
        <v>120</v>
      </c>
      <c r="Q14" s="448">
        <v>60</v>
      </c>
      <c r="R14" s="448">
        <v>60</v>
      </c>
      <c r="S14" s="448">
        <v>60</v>
      </c>
      <c r="T14" s="448"/>
      <c r="U14" s="448"/>
      <c r="V14" s="448"/>
      <c r="W14" s="448"/>
      <c r="X14" s="447">
        <f t="shared" si="5"/>
        <v>540</v>
      </c>
      <c r="Y14" s="466">
        <v>0.25</v>
      </c>
      <c r="Z14" s="533">
        <f>+X16</f>
        <v>0.75</v>
      </c>
      <c r="AA14" s="447">
        <f t="shared" si="1"/>
        <v>540</v>
      </c>
      <c r="AB14" s="343">
        <f>+AC14+AA14</f>
        <v>3876</v>
      </c>
      <c r="AC14" s="343">
        <v>3336</v>
      </c>
      <c r="AD14" s="344"/>
      <c r="AE14" s="345"/>
      <c r="AF14" s="346"/>
      <c r="AG14" s="347">
        <f t="shared" si="2"/>
        <v>0</v>
      </c>
      <c r="AH14" s="341">
        <f t="shared" si="3"/>
        <v>0</v>
      </c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2</v>
      </c>
      <c r="C15" s="406">
        <f>+B15</f>
        <v>2</v>
      </c>
      <c r="D15" s="407" t="s">
        <v>480</v>
      </c>
      <c r="E15" s="111"/>
      <c r="F15" s="111" t="s">
        <v>35</v>
      </c>
      <c r="G15" s="541" t="str">
        <f t="shared" ref="G15:G17" si="7">+G14</f>
        <v>2396-593-600</v>
      </c>
      <c r="H15" s="111"/>
      <c r="I15" s="111" t="s">
        <v>33</v>
      </c>
      <c r="J15" s="113">
        <v>38.82</v>
      </c>
      <c r="K15" s="494">
        <v>61</v>
      </c>
      <c r="L15" s="101" t="s">
        <v>17</v>
      </c>
      <c r="M15" s="214">
        <v>61</v>
      </c>
      <c r="N15" s="214">
        <v>61</v>
      </c>
      <c r="O15" s="214">
        <v>61</v>
      </c>
      <c r="P15" s="214">
        <v>61</v>
      </c>
      <c r="Q15" s="214">
        <v>61</v>
      </c>
      <c r="R15" s="214">
        <v>61</v>
      </c>
      <c r="S15" s="214">
        <v>61</v>
      </c>
      <c r="T15" s="214">
        <v>61</v>
      </c>
      <c r="U15" s="214">
        <v>16</v>
      </c>
      <c r="V15" s="214"/>
      <c r="W15" s="214"/>
      <c r="X15" s="123">
        <f>+IF(H16="s",0,IF(AA15=0,0,IF(COUNTA(M15:W15)=AK17+0.75,SUMIF($C:$C,B15,$AA:$AA)/AK17,SUMIF($C:$C,B15,$AA:$AA)/(COUNTA(M15:W15)))))</f>
        <v>61.090909090909093</v>
      </c>
      <c r="Y15" s="466"/>
      <c r="Z15" s="534"/>
      <c r="AA15" s="134">
        <f t="shared" si="1"/>
        <v>504</v>
      </c>
      <c r="AB15" s="354">
        <f>+AA15+AC15</f>
        <v>3056</v>
      </c>
      <c r="AC15" s="354">
        <v>2552</v>
      </c>
      <c r="AD15" s="355">
        <f>+AB14-AB15</f>
        <v>820</v>
      </c>
      <c r="AE15" s="131">
        <f>+IF(((AA16+(AA17/2))*60)=0,"",(J15*AA15)/((AA16+(AA17/2))*60))</f>
        <v>0.89831404958677685</v>
      </c>
      <c r="AF15" s="347">
        <f>+AA16+AA17/2</f>
        <v>363</v>
      </c>
      <c r="AG15" s="347">
        <f t="shared" si="2"/>
        <v>363</v>
      </c>
      <c r="AH15" s="341">
        <f t="shared" si="3"/>
        <v>21780</v>
      </c>
      <c r="AI15" s="341">
        <f>+AA15*J15</f>
        <v>19565.28</v>
      </c>
      <c r="AJ15" s="356">
        <f>+AA15-(AF15*K15/K17)</f>
        <v>-10.953488372093034</v>
      </c>
      <c r="AK15" s="348"/>
      <c r="AL15" s="349"/>
      <c r="AM15" s="341"/>
      <c r="AN15" s="341"/>
      <c r="AO15" s="341"/>
      <c r="AP15" s="341"/>
      <c r="AQ15" s="339">
        <f t="shared" ref="AQ15" si="8">IF(AR15=0,"",AT15-(($AQ$3*K15)+($AQ$3*K15)*AR15)+AA14)</f>
        <v>0.29999999999995453</v>
      </c>
      <c r="AR15" s="434">
        <v>1.48</v>
      </c>
      <c r="AT15" s="390">
        <v>784</v>
      </c>
      <c r="AV15" s="390">
        <f>+AT15-AD15</f>
        <v>-36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2</v>
      </c>
      <c r="C16" s="408"/>
      <c r="D16" s="184"/>
      <c r="E16" s="111"/>
      <c r="F16" s="409"/>
      <c r="G16" s="541" t="str">
        <f t="shared" si="7"/>
        <v>2396-593-600</v>
      </c>
      <c r="H16" s="411" t="s">
        <v>412</v>
      </c>
      <c r="I16" s="113">
        <f>+IFERROR(IF(K17=0,0,IF((LOOKUP(2,1/(M16:W16&lt;&gt;""),M16:W16)-K17)&lt;0,0,IF(K17=0,"",LOOKUP(2,1/(M16:W16&lt;&gt;""),M16:W16)-K17))),0)</f>
        <v>1</v>
      </c>
      <c r="J16" s="113">
        <v>1</v>
      </c>
      <c r="K16" s="114" t="s">
        <v>22</v>
      </c>
      <c r="L16" s="102" t="s">
        <v>18</v>
      </c>
      <c r="M16" s="448">
        <v>44</v>
      </c>
      <c r="N16" s="448">
        <v>44</v>
      </c>
      <c r="O16" s="448">
        <v>44</v>
      </c>
      <c r="P16" s="448">
        <v>44</v>
      </c>
      <c r="Q16" s="448">
        <v>44</v>
      </c>
      <c r="R16" s="448">
        <v>44</v>
      </c>
      <c r="S16" s="448">
        <v>44</v>
      </c>
      <c r="T16" s="448">
        <v>44</v>
      </c>
      <c r="U16" s="448">
        <v>44</v>
      </c>
      <c r="V16" s="448"/>
      <c r="W16" s="448"/>
      <c r="X16" s="160">
        <f>+IF(H16="l",IF(COUNTA(M15:W15)=AK17+0.75,AA15-K15*AK17,AA15-(K15*COUNTA(M15:W15))),IF(H16="s",0,IF(COUNTA(M15:W15)=AK17+0.75,SUMIF($C:$C,B15,$AA:$AA)-K15*AK17,SUMIF($C:$C,B15,$AA:$AA)-K15*COUNTA(M15:W15))))</f>
        <v>0.75</v>
      </c>
      <c r="Y16" s="466"/>
      <c r="Z16" s="534"/>
      <c r="AA16" s="462">
        <f t="shared" ref="AA16:AA17" si="9">+SUM(M16:W16)-U16*0.75</f>
        <v>363</v>
      </c>
      <c r="AB16" s="360"/>
      <c r="AC16" s="360"/>
      <c r="AD16" s="362"/>
      <c r="AE16" s="363"/>
      <c r="AF16" s="346"/>
      <c r="AG16" s="347">
        <f t="shared" si="2"/>
        <v>0</v>
      </c>
      <c r="AH16" s="341">
        <f t="shared" si="3"/>
        <v>0</v>
      </c>
      <c r="AI16" s="341"/>
      <c r="AJ16" s="341"/>
      <c r="AK16" s="348"/>
      <c r="AL16" s="349">
        <f>+IF(AK17=7.75,SUM(M16:S16)+T16*0.75,IF(AK17=8,SUM(M16:T16),IF(AK17=7.25,SUM(M16:S16)+T16*0.25,IF(AK17=8.25,SUM(M16:T16)+U16*0.25,IF(AK17=8.75,SUM(M16:T16)+U16*0.75,0)))))</f>
        <v>363</v>
      </c>
      <c r="AM16" s="341">
        <f>+AL16-AA16</f>
        <v>0</v>
      </c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2</v>
      </c>
      <c r="C17" s="410"/>
      <c r="D17" s="174" t="s">
        <v>419</v>
      </c>
      <c r="E17" s="175"/>
      <c r="F17" s="175"/>
      <c r="G17" s="542" t="str">
        <f t="shared" si="7"/>
        <v>2396-593-600</v>
      </c>
      <c r="H17" s="117"/>
      <c r="I17" s="442"/>
      <c r="J17" s="165">
        <f>+IF(K17="","",IF(K15=0,"",(K15*J15)/(K17*60)))</f>
        <v>0.9178372093023256</v>
      </c>
      <c r="K17" s="118">
        <v>43</v>
      </c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9.8341269841269856</v>
      </c>
      <c r="Z17" s="365">
        <v>9.8341269841269856</v>
      </c>
      <c r="AA17" s="465">
        <f t="shared" si="9"/>
        <v>0</v>
      </c>
      <c r="AB17" s="367"/>
      <c r="AC17" s="367"/>
      <c r="AD17" s="368">
        <f>+IFERROR(AD15/(K15*$AQ$3),"")</f>
        <v>1.5362997658079625</v>
      </c>
      <c r="AE17" s="369"/>
      <c r="AF17" s="347"/>
      <c r="AG17" s="347">
        <f t="shared" si="2"/>
        <v>0</v>
      </c>
      <c r="AH17" s="341">
        <f t="shared" si="3"/>
        <v>0</v>
      </c>
      <c r="AI17" s="341"/>
      <c r="AJ17" s="356"/>
      <c r="AK17" s="370">
        <f>+$AJ$4</f>
        <v>8.25</v>
      </c>
      <c r="AL17" s="349">
        <f>+IF(AK17=7.75,SUM(M17:S17)+T17*0.75,IF(AK17=8,SUM(M17:T17),IF(AK17=7.25,SUM(M17:S17)+T17*0.25,IF(AK17=8.25,SUM(M17:T17)+U17*0.25,IF(AK17=8.75,SUM(M17:T17)+U17*0.75,0)))))</f>
        <v>0</v>
      </c>
      <c r="AM17" s="341">
        <f>+AL17-AA17</f>
        <v>0</v>
      </c>
      <c r="AN17" s="341"/>
      <c r="AO17" s="341"/>
      <c r="AP17" s="341"/>
      <c r="AQ17" s="369"/>
      <c r="AR17" s="434"/>
      <c r="AT17" s="390">
        <v>1.4688524590163934</v>
      </c>
      <c r="AV17" s="390"/>
    </row>
    <row r="18" spans="2:58" s="98" customFormat="1" ht="62.25" customHeight="1" thickTop="1" x14ac:dyDescent="0.9">
      <c r="B18" s="342">
        <f>+B19</f>
        <v>3</v>
      </c>
      <c r="C18" s="405"/>
      <c r="D18" s="106"/>
      <c r="E18" s="106"/>
      <c r="F18" s="106"/>
      <c r="G18" s="540" t="s">
        <v>489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70</v>
      </c>
      <c r="N18" s="448">
        <v>70</v>
      </c>
      <c r="O18" s="448">
        <v>70</v>
      </c>
      <c r="P18" s="448">
        <v>70</v>
      </c>
      <c r="Q18" s="448">
        <v>70</v>
      </c>
      <c r="R18" s="448">
        <v>70</v>
      </c>
      <c r="S18" s="448"/>
      <c r="T18" s="448"/>
      <c r="U18" s="448"/>
      <c r="V18" s="448"/>
      <c r="W18" s="448"/>
      <c r="X18" s="447">
        <f t="shared" si="5"/>
        <v>420</v>
      </c>
      <c r="Y18" s="466">
        <v>0</v>
      </c>
      <c r="Z18" s="533">
        <f>+X20</f>
        <v>0</v>
      </c>
      <c r="AA18" s="447">
        <f t="shared" si="1"/>
        <v>420</v>
      </c>
      <c r="AB18" s="343">
        <f>+AC18+AA18</f>
        <v>1953</v>
      </c>
      <c r="AC18" s="343">
        <v>1533</v>
      </c>
      <c r="AD18" s="344"/>
      <c r="AE18" s="345"/>
      <c r="AF18" s="346"/>
      <c r="AG18" s="347"/>
      <c r="AH18" s="341"/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3</v>
      </c>
      <c r="C19" s="406">
        <v>3</v>
      </c>
      <c r="D19" s="407" t="s">
        <v>490</v>
      </c>
      <c r="E19" s="111"/>
      <c r="F19" s="111" t="s">
        <v>475</v>
      </c>
      <c r="G19" s="541" t="str">
        <f>+G18</f>
        <v xml:space="preserve">PAULSON  </v>
      </c>
      <c r="H19" s="111"/>
      <c r="I19" s="111" t="s">
        <v>41</v>
      </c>
      <c r="J19" s="113"/>
      <c r="K19" s="130">
        <v>110</v>
      </c>
      <c r="L19" s="101" t="s">
        <v>17</v>
      </c>
      <c r="M19" s="214">
        <v>22</v>
      </c>
      <c r="N19" s="214">
        <v>30</v>
      </c>
      <c r="O19" s="214">
        <v>40</v>
      </c>
      <c r="P19" s="214">
        <v>20</v>
      </c>
      <c r="Q19" s="214">
        <v>60</v>
      </c>
      <c r="R19" s="214">
        <v>45</v>
      </c>
      <c r="S19" s="214">
        <v>50</v>
      </c>
      <c r="T19" s="214">
        <v>50</v>
      </c>
      <c r="U19" s="214">
        <v>70</v>
      </c>
      <c r="V19" s="214">
        <v>70</v>
      </c>
      <c r="W19" s="214">
        <v>8</v>
      </c>
      <c r="X19" s="123">
        <f>+IF(H20="s",0,IF(AA19=0,0,IF(COUNTA(M19:W19)=AK21+0.75,SUMIF($C:$C,B19,$AA:$AA)/AK21,SUMIF($C:$C,B19,$AA:$AA)/(COUNTA(M19:W19)))))</f>
        <v>0</v>
      </c>
      <c r="Y19" s="466"/>
      <c r="Z19" s="534"/>
      <c r="AA19" s="134">
        <f t="shared" si="1"/>
        <v>465</v>
      </c>
      <c r="AB19" s="354">
        <f>+AA19+AC19</f>
        <v>531</v>
      </c>
      <c r="AC19" s="354">
        <v>66</v>
      </c>
      <c r="AD19" s="355">
        <f>+AB18-AB19</f>
        <v>1422</v>
      </c>
      <c r="AE19" s="131" t="str">
        <f>+IF(((AA20+(AA21/2))*60)=0,"",(J19*AA19)/((AA20+(AA21/2))*60))</f>
        <v/>
      </c>
      <c r="AF19" s="347"/>
      <c r="AG19" s="347"/>
      <c r="AH19" s="341"/>
      <c r="AI19" s="341"/>
      <c r="AJ19" s="356"/>
      <c r="AK19" s="348"/>
      <c r="AL19" s="349"/>
      <c r="AM19" s="341"/>
      <c r="AN19" s="341"/>
      <c r="AO19" s="341"/>
      <c r="AP19" s="341"/>
      <c r="AQ19" s="339">
        <f>-300+AA18</f>
        <v>120</v>
      </c>
      <c r="AR19" s="434">
        <v>1.5</v>
      </c>
      <c r="AT19" s="390">
        <v>1467</v>
      </c>
      <c r="AV19" s="390">
        <f t="shared" ref="AV19" si="10">+AT19-AD19</f>
        <v>45</v>
      </c>
      <c r="AW19" s="535"/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3</v>
      </c>
      <c r="C20" s="408"/>
      <c r="D20" s="184"/>
      <c r="E20" s="111">
        <f>+B19</f>
        <v>3</v>
      </c>
      <c r="F20" s="409"/>
      <c r="G20" s="541" t="str">
        <f>+G18</f>
        <v xml:space="preserve">PAULSON  </v>
      </c>
      <c r="H20" s="411" t="s">
        <v>414</v>
      </c>
      <c r="I20" s="113">
        <f>+IFERROR(IF(K21=0,0,IF((LOOKUP(2,1/(M20:W20&lt;&gt;""),M20:W20)-K21)&lt;0,0,IF(K21=0,"",LOOKUP(2,1/(M20:W20&lt;&gt;""),M20:W20)-K21))),0)</f>
        <v>0</v>
      </c>
      <c r="J20" s="113"/>
      <c r="K20" s="114" t="s">
        <v>22</v>
      </c>
      <c r="L20" s="102" t="s">
        <v>18</v>
      </c>
      <c r="M20" s="448"/>
      <c r="N20" s="448"/>
      <c r="O20" s="448"/>
      <c r="P20" s="448"/>
      <c r="Q20" s="448"/>
      <c r="R20" s="448"/>
      <c r="S20" s="448"/>
      <c r="T20" s="448"/>
      <c r="U20" s="448"/>
      <c r="V20" s="448"/>
      <c r="W20" s="448"/>
      <c r="X20" s="160">
        <f>+IF(H20="l",IF(COUNTA(M19:W19)=AK21+0.75,AA19-K19*AK21,AA19-(K19*COUNTA(M19:W19))),IF(H20="s",0,IF(COUNTA(M19:W19)=AK21+0.75,SUMIF($C:$C,B19,$AA:$AA)-K19*AK21,SUMIF($C:$C,B19,$AA:$AA)-K19*COUNTA(M19:W19))))</f>
        <v>0</v>
      </c>
      <c r="Y20" s="466"/>
      <c r="Z20" s="534"/>
      <c r="AA20" s="462">
        <f t="shared" ref="AA20:AA21" si="11">+SUM(M20:W20)-U20*0.75</f>
        <v>0</v>
      </c>
      <c r="AB20" s="360"/>
      <c r="AC20" s="360"/>
      <c r="AD20" s="362"/>
      <c r="AE20" s="363"/>
      <c r="AF20" s="346"/>
      <c r="AG20" s="347"/>
      <c r="AH20" s="341"/>
      <c r="AI20" s="341"/>
      <c r="AJ20" s="341"/>
      <c r="AK20" s="348"/>
      <c r="AL20" s="349"/>
      <c r="AM20" s="341"/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3</v>
      </c>
      <c r="C21" s="410"/>
      <c r="D21" s="174"/>
      <c r="E21" s="175">
        <f>+E20+100</f>
        <v>103</v>
      </c>
      <c r="F21" s="175"/>
      <c r="G21" s="542" t="str">
        <f>+G18</f>
        <v xml:space="preserve">PAULSON  </v>
      </c>
      <c r="H21" s="117"/>
      <c r="I21" s="442"/>
      <c r="J21" s="165" t="str">
        <f>+IF(K21="","",IF(K19=0,"",(K19*J19)/(K21*60)))</f>
        <v/>
      </c>
      <c r="K21" s="118"/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>
        <v>34.4</v>
      </c>
      <c r="Z21" s="371">
        <f>+IF(COUNTA(M19:W19)=$AJ$4+0.25,$AJ$4-(AA19/K19),COUNTA(M19:W19)-(AA19/K19))+Y21</f>
        <v>41.172727272727272</v>
      </c>
      <c r="AA21" s="465">
        <f t="shared" si="11"/>
        <v>0</v>
      </c>
      <c r="AB21" s="367"/>
      <c r="AC21" s="367"/>
      <c r="AD21" s="368">
        <f>+IFERROR(AD19/(K19*$AQ$3),"")</f>
        <v>1.4774025974025975</v>
      </c>
      <c r="AE21" s="369"/>
      <c r="AF21" s="347"/>
      <c r="AG21" s="347"/>
      <c r="AH21" s="341"/>
      <c r="AI21" s="341"/>
      <c r="AJ21" s="356"/>
      <c r="AK21" s="370">
        <f>+$AJ$4</f>
        <v>8.25</v>
      </c>
      <c r="AL21" s="349"/>
      <c r="AM21" s="341"/>
      <c r="AN21" s="341"/>
      <c r="AO21" s="341"/>
      <c r="AP21" s="341"/>
      <c r="AQ21" s="369"/>
      <c r="AR21" s="434"/>
      <c r="AT21" s="390">
        <v>1.5241558441558443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540" t="s">
        <v>442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/>
      <c r="O22" s="448"/>
      <c r="P22" s="448"/>
      <c r="Q22" s="448"/>
      <c r="R22" s="448"/>
      <c r="S22" s="448"/>
      <c r="T22" s="448"/>
      <c r="U22" s="448"/>
      <c r="V22" s="448"/>
      <c r="W22" s="448"/>
      <c r="X22" s="447" t="str">
        <f t="shared" si="5"/>
        <v/>
      </c>
      <c r="Y22" s="466">
        <v>0.25</v>
      </c>
      <c r="Z22" s="533">
        <f>+X24</f>
        <v>0.75</v>
      </c>
      <c r="AA22" s="447">
        <f t="shared" si="1"/>
        <v>0</v>
      </c>
      <c r="AB22" s="343">
        <f>+AC22+AA22</f>
        <v>4741</v>
      </c>
      <c r="AC22" s="343">
        <v>4741</v>
      </c>
      <c r="AD22" s="344"/>
      <c r="AE22" s="345"/>
      <c r="AF22" s="346"/>
      <c r="AG22" s="347">
        <f t="shared" si="2"/>
        <v>0</v>
      </c>
      <c r="AH22" s="341">
        <f t="shared" si="3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4</v>
      </c>
      <c r="C23" s="406">
        <f>+B23</f>
        <v>4</v>
      </c>
      <c r="D23" s="407" t="s">
        <v>441</v>
      </c>
      <c r="E23" s="111"/>
      <c r="F23" s="111" t="s">
        <v>35</v>
      </c>
      <c r="G23" s="541" t="str">
        <f t="shared" ref="G23:G25" si="12">+G22</f>
        <v>2259-600-730</v>
      </c>
      <c r="H23" s="111"/>
      <c r="I23" s="111" t="s">
        <v>33</v>
      </c>
      <c r="J23" s="113">
        <v>34.450000000000003</v>
      </c>
      <c r="K23" s="494">
        <v>61</v>
      </c>
      <c r="L23" s="101" t="s">
        <v>17</v>
      </c>
      <c r="M23" s="214">
        <v>23</v>
      </c>
      <c r="N23" s="214">
        <v>61</v>
      </c>
      <c r="O23" s="214">
        <v>68</v>
      </c>
      <c r="P23" s="214">
        <v>61</v>
      </c>
      <c r="Q23" s="214">
        <v>52</v>
      </c>
      <c r="R23" s="214">
        <v>50</v>
      </c>
      <c r="S23" s="214">
        <v>71</v>
      </c>
      <c r="T23" s="214">
        <v>80</v>
      </c>
      <c r="U23" s="214">
        <v>38</v>
      </c>
      <c r="V23" s="214"/>
      <c r="W23" s="214"/>
      <c r="X23" s="123">
        <f>+IF(H24="s",0,IF(AA23=0,0,IF(COUNTA(M23:W23)=AK25+0.75,SUMIF($C:$C,B23,$AA:$AA)/AK25,SUMIF($C:$C,B23,$AA:$AA)/(COUNTA(M23:W23)))))</f>
        <v>61.090909090909093</v>
      </c>
      <c r="Y23" s="466"/>
      <c r="Z23" s="534"/>
      <c r="AA23" s="134">
        <f t="shared" si="1"/>
        <v>504</v>
      </c>
      <c r="AB23" s="354">
        <f>+AA23+AC23</f>
        <v>4530</v>
      </c>
      <c r="AC23" s="354">
        <v>4026</v>
      </c>
      <c r="AD23" s="355">
        <f>+AB22-AB23</f>
        <v>211</v>
      </c>
      <c r="AE23" s="131">
        <f>+IF(((AA24+(AA25/2))*60)=0,"",(J23*AA23)/((AA24+(AA25/2))*60))</f>
        <v>0.88800920598388966</v>
      </c>
      <c r="AF23" s="347">
        <f>+AA24+AA25/2</f>
        <v>325.875</v>
      </c>
      <c r="AG23" s="347">
        <f t="shared" si="2"/>
        <v>325.52499999999998</v>
      </c>
      <c r="AH23" s="341">
        <f t="shared" si="3"/>
        <v>19552.5</v>
      </c>
      <c r="AI23" s="341">
        <f>+AA23*J23</f>
        <v>17362.800000000003</v>
      </c>
      <c r="AJ23" s="356">
        <f>+AA23-(AF23*K23/K25)</f>
        <v>-19.115131578947398</v>
      </c>
      <c r="AK23" s="348"/>
      <c r="AL23" s="349"/>
      <c r="AM23" s="341"/>
      <c r="AN23" s="341"/>
      <c r="AO23" s="341"/>
      <c r="AP23" s="341"/>
      <c r="AQ23" s="339" t="str">
        <f t="shared" si="4"/>
        <v/>
      </c>
      <c r="AR23" s="434"/>
      <c r="AT23" s="390">
        <v>715</v>
      </c>
      <c r="AV23" s="390">
        <f t="shared" ref="AV23" si="13">+AT23-AD23</f>
        <v>504</v>
      </c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541" t="str">
        <f t="shared" si="12"/>
        <v>2259-600-730</v>
      </c>
      <c r="H24" s="411" t="s">
        <v>412</v>
      </c>
      <c r="I24" s="113">
        <f>+IFERROR(IF(K25=0,0,IF((LOOKUP(2,1/(M24:W24&lt;&gt;""),M24:W24)-K25)&lt;0,0,IF(K25=0,"",LOOKUP(2,1/(M24:W24&lt;&gt;""),M24:W24)-K25))),0)</f>
        <v>1</v>
      </c>
      <c r="J24" s="113">
        <v>1</v>
      </c>
      <c r="K24" s="114" t="s">
        <v>22</v>
      </c>
      <c r="L24" s="102" t="s">
        <v>18</v>
      </c>
      <c r="M24" s="448">
        <v>39</v>
      </c>
      <c r="N24" s="448">
        <v>39</v>
      </c>
      <c r="O24" s="448">
        <v>39</v>
      </c>
      <c r="P24" s="448">
        <v>39</v>
      </c>
      <c r="Q24" s="448">
        <v>39</v>
      </c>
      <c r="R24" s="448">
        <v>39</v>
      </c>
      <c r="S24" s="448">
        <v>39</v>
      </c>
      <c r="T24" s="448">
        <v>39</v>
      </c>
      <c r="U24" s="448">
        <v>39</v>
      </c>
      <c r="V24" s="448"/>
      <c r="W24" s="448"/>
      <c r="X24" s="160">
        <f>+IF(H24="l",IF(COUNTA(M23:W23)=AK25+0.75,AA23-K23*AK25,AA23-(K23*COUNTA(M23:W23))),IF(H24="s",0,IF(COUNTA(M23:W23)=AK25+0.75,SUMIF($C:$C,B23,$AA:$AA)-K23*AK25,SUMIF($C:$C,B23,$AA:$AA)-K23*COUNTA(M23:W23))))</f>
        <v>0.75</v>
      </c>
      <c r="Y24" s="466"/>
      <c r="Z24" s="534"/>
      <c r="AA24" s="462">
        <f t="shared" ref="AA24:AA25" si="14">+SUM(M24:W24)-U24*0.75</f>
        <v>321.75</v>
      </c>
      <c r="AB24" s="360"/>
      <c r="AC24" s="360"/>
      <c r="AD24" s="362"/>
      <c r="AE24" s="363"/>
      <c r="AF24" s="346"/>
      <c r="AG24" s="347">
        <f t="shared" si="2"/>
        <v>0</v>
      </c>
      <c r="AH24" s="341">
        <f t="shared" si="3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321.75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542" t="str">
        <f t="shared" si="12"/>
        <v>2259-600-730</v>
      </c>
      <c r="H25" s="117"/>
      <c r="I25" s="442"/>
      <c r="J25" s="165">
        <f>+IF(K25="","",IF(K23=0,"",(K23*J23)/(K25*60)))</f>
        <v>0.92168859649122814</v>
      </c>
      <c r="K25" s="118">
        <v>38</v>
      </c>
      <c r="L25" s="104" t="s">
        <v>19</v>
      </c>
      <c r="M25" s="216">
        <v>1</v>
      </c>
      <c r="N25" s="216">
        <v>1</v>
      </c>
      <c r="O25" s="216">
        <v>1</v>
      </c>
      <c r="P25" s="216">
        <v>1</v>
      </c>
      <c r="Q25" s="216">
        <v>1</v>
      </c>
      <c r="R25" s="216">
        <v>1</v>
      </c>
      <c r="S25" s="216">
        <v>1</v>
      </c>
      <c r="T25" s="216">
        <v>1</v>
      </c>
      <c r="U25" s="216">
        <v>1</v>
      </c>
      <c r="V25" s="216"/>
      <c r="W25" s="216"/>
      <c r="X25" s="173"/>
      <c r="Y25" s="467">
        <v>18.90949978982766</v>
      </c>
      <c r="Z25" s="467">
        <v>18.90949978982766</v>
      </c>
      <c r="AA25" s="465">
        <f t="shared" si="14"/>
        <v>8.25</v>
      </c>
      <c r="AB25" s="367"/>
      <c r="AC25" s="367"/>
      <c r="AD25" s="368">
        <f>+IFERROR(AD23/(K23*$AQ$3),"")</f>
        <v>0.3953161592505855</v>
      </c>
      <c r="AE25" s="369"/>
      <c r="AF25" s="347"/>
      <c r="AG25" s="347">
        <f t="shared" si="2"/>
        <v>0</v>
      </c>
      <c r="AH25" s="341">
        <f t="shared" si="3"/>
        <v>0</v>
      </c>
      <c r="AI25" s="341"/>
      <c r="AJ25" s="356"/>
      <c r="AK25" s="370">
        <f>+$AJ$4</f>
        <v>8.25</v>
      </c>
      <c r="AL25" s="349">
        <f>+IF(AK25=7.75,SUM(M25:S25)+T25*0.75,IF(AK25=8,SUM(M25:T25),IF(AK25=7.25,SUM(M25:S25)+T25*0.25,IF(AK25=8.25,SUM(M25:T25)+U25*0.25,IF(AK25=8.75,SUM(M25:T25)+U25*0.75,0)))))</f>
        <v>8.25</v>
      </c>
      <c r="AM25" s="341">
        <f>+AL25-AA25</f>
        <v>0</v>
      </c>
      <c r="AN25" s="341"/>
      <c r="AO25" s="341"/>
      <c r="AP25" s="341"/>
      <c r="AQ25" s="369"/>
      <c r="AR25" s="434"/>
      <c r="AT25" s="390">
        <v>1.3395784543325526</v>
      </c>
      <c r="AV25" s="390"/>
    </row>
    <row r="26" spans="2:58" s="98" customFormat="1" ht="62.25" customHeight="1" thickTop="1" x14ac:dyDescent="0.9">
      <c r="B26" s="342">
        <f>+B27</f>
        <v>4</v>
      </c>
      <c r="C26" s="405"/>
      <c r="D26" s="106"/>
      <c r="E26" s="106"/>
      <c r="F26" s="106"/>
      <c r="G26" s="540" t="s">
        <v>494</v>
      </c>
      <c r="H26" s="106"/>
      <c r="I26" s="106"/>
      <c r="J26" s="107" t="s">
        <v>20</v>
      </c>
      <c r="K26" s="108" t="s">
        <v>23</v>
      </c>
      <c r="L26" s="100" t="s">
        <v>21</v>
      </c>
      <c r="M26" s="448"/>
      <c r="N26" s="448"/>
      <c r="O26" s="448">
        <v>50</v>
      </c>
      <c r="P26" s="448"/>
      <c r="Q26" s="448"/>
      <c r="R26" s="448">
        <v>50</v>
      </c>
      <c r="S26" s="448"/>
      <c r="T26" s="448"/>
      <c r="U26" s="448"/>
      <c r="V26" s="448"/>
      <c r="W26" s="448"/>
      <c r="X26" s="447">
        <f t="shared" si="5"/>
        <v>100</v>
      </c>
      <c r="Y26" s="466">
        <v>0.25</v>
      </c>
      <c r="Z26" s="533">
        <f>+X28</f>
        <v>0</v>
      </c>
      <c r="AA26" s="447">
        <f t="shared" si="1"/>
        <v>100</v>
      </c>
      <c r="AB26" s="343">
        <f>+AC26+AA26</f>
        <v>100</v>
      </c>
      <c r="AC26" s="343"/>
      <c r="AD26" s="344"/>
      <c r="AE26" s="345"/>
      <c r="AF26" s="346"/>
      <c r="AG26" s="347">
        <f t="shared" ref="AG26:AG29" si="15">TRUNC(AF26)+(AF26-TRUNC(AF26))*60/100</f>
        <v>0</v>
      </c>
      <c r="AH26" s="341">
        <f t="shared" ref="AH26:AH29" si="16">+AF26*60</f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1.35">
      <c r="B27" s="351">
        <v>4</v>
      </c>
      <c r="C27" s="406">
        <f>+B27</f>
        <v>4</v>
      </c>
      <c r="D27" s="407" t="s">
        <v>493</v>
      </c>
      <c r="E27" s="111"/>
      <c r="F27" s="111" t="s">
        <v>35</v>
      </c>
      <c r="G27" s="541" t="str">
        <f>+G26</f>
        <v>2395-582-401</v>
      </c>
      <c r="H27" s="111"/>
      <c r="I27" s="111" t="s">
        <v>33</v>
      </c>
      <c r="J27" s="113">
        <v>41.85</v>
      </c>
      <c r="K27" s="130">
        <v>57</v>
      </c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123">
        <f>+IF(H28="s",0,IF(AA27=0,0,IF(COUNTA(M27:W27)=AK29+0.75,SUMIF($C:$C,B27,$AA:$AA)/AK29,SUMIF($C:$C,B27,$AA:$AA)/(COUNTA(M27:W27)))))</f>
        <v>0</v>
      </c>
      <c r="Y27" s="466"/>
      <c r="Z27" s="534"/>
      <c r="AA27" s="134">
        <f t="shared" si="1"/>
        <v>0</v>
      </c>
      <c r="AB27" s="354">
        <f>+AA27+AC27</f>
        <v>0</v>
      </c>
      <c r="AC27" s="354"/>
      <c r="AD27" s="355">
        <f>+AB26-AB27</f>
        <v>100</v>
      </c>
      <c r="AE27" s="131" t="str">
        <f>+IF(((AA28+(AA29/2))*60)=0,"",(J27*AA27)/((AA28+(AA29/2))*60))</f>
        <v/>
      </c>
      <c r="AF27" s="347">
        <f>+AA28+AA29/2</f>
        <v>0</v>
      </c>
      <c r="AG27" s="347">
        <f t="shared" si="15"/>
        <v>0</v>
      </c>
      <c r="AH27" s="341">
        <f t="shared" si="16"/>
        <v>0</v>
      </c>
      <c r="AI27" s="341">
        <f>+AA27*J27</f>
        <v>0</v>
      </c>
      <c r="AJ27" s="356">
        <f>+AA27-(AF27*K27/K29)</f>
        <v>0</v>
      </c>
      <c r="AK27" s="348"/>
      <c r="AL27" s="349"/>
      <c r="AM27" s="341"/>
      <c r="AN27" s="341"/>
      <c r="AO27" s="341"/>
      <c r="AP27" s="341"/>
      <c r="AQ27" s="339">
        <f>-300+AA26</f>
        <v>-200</v>
      </c>
      <c r="AR27" s="434">
        <v>1.5</v>
      </c>
      <c r="AT27" s="390">
        <v>0</v>
      </c>
      <c r="AV27" s="390">
        <f t="shared" ref="AV27" si="17">+AT27-AD27</f>
        <v>-100</v>
      </c>
      <c r="AW27" s="535" t="s">
        <v>484</v>
      </c>
      <c r="AX27" s="535"/>
      <c r="AY27" s="535"/>
      <c r="AZ27" s="535"/>
      <c r="BA27" s="535"/>
      <c r="BB27" s="535"/>
      <c r="BC27" s="535"/>
      <c r="BD27" s="535"/>
      <c r="BE27" s="535"/>
      <c r="BF27" s="535"/>
    </row>
    <row r="28" spans="2:58" s="98" customFormat="1" ht="62.25" customHeight="1" x14ac:dyDescent="0.9">
      <c r="B28" s="357">
        <f>+B27</f>
        <v>4</v>
      </c>
      <c r="C28" s="408"/>
      <c r="D28" s="184"/>
      <c r="E28" s="111">
        <f>+B27</f>
        <v>4</v>
      </c>
      <c r="F28" s="409"/>
      <c r="G28" s="541" t="str">
        <f>+G26</f>
        <v>2395-582-401</v>
      </c>
      <c r="H28" s="411" t="s">
        <v>413</v>
      </c>
      <c r="I28" s="113">
        <f>+IFERROR(IF(K29=0,0,IF((LOOKUP(2,1/(M28:W28&lt;&gt;""),M28:W28)-K29)&lt;0,0,IF(K29=0,"",LOOKUP(2,1/(M28:W28&lt;&gt;""),M28:W28)-K29))),0)</f>
        <v>0</v>
      </c>
      <c r="J28" s="113"/>
      <c r="K28" s="114" t="s">
        <v>22</v>
      </c>
      <c r="L28" s="102" t="s">
        <v>18</v>
      </c>
      <c r="M28" s="448"/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160">
        <f>+IF(H28="l",IF(COUNTA(M27:W27)=AK29+0.75,AA27-K27*AK29,AA27-(K27*COUNTA(M27:W27))),IF(H28="s",0,IF(COUNTA(M27:W27)=AK29+0.75,SUMIF($C:$C,B27,$AA:$AA)-K27*AK29,SUMIF($C:$C,B27,$AA:$AA)-K27*COUNTA(M27:W27))))</f>
        <v>0</v>
      </c>
      <c r="Y28" s="466"/>
      <c r="Z28" s="534"/>
      <c r="AA28" s="462">
        <f t="shared" ref="AA28:AA29" si="18">+SUM(M28:W28)-U28*0.75</f>
        <v>0</v>
      </c>
      <c r="AB28" s="360"/>
      <c r="AC28" s="360"/>
      <c r="AD28" s="362"/>
      <c r="AE28" s="363"/>
      <c r="AF28" s="346"/>
      <c r="AG28" s="347">
        <f t="shared" si="15"/>
        <v>0</v>
      </c>
      <c r="AH28" s="341">
        <f t="shared" si="16"/>
        <v>0</v>
      </c>
      <c r="AI28" s="341"/>
      <c r="AJ28" s="341"/>
      <c r="AK28" s="348"/>
      <c r="AL28" s="349">
        <f>+IF(AK29=7.75,SUM(M28:S28)+T28*0.75,IF(AK29=8,SUM(M28:T28),IF(AK29=7.25,SUM(M28:S28)+T28*0.25,IF(AK29=8.25,SUM(M28:T28)+U28*0.25,IF(AK29=8.75,SUM(M28:T28)+U28*0.75,0)))))</f>
        <v>0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+B27</f>
        <v>4</v>
      </c>
      <c r="C29" s="410"/>
      <c r="D29" s="174" t="s">
        <v>420</v>
      </c>
      <c r="E29" s="175">
        <f>+E28+100</f>
        <v>104</v>
      </c>
      <c r="F29" s="175"/>
      <c r="G29" s="542" t="str">
        <f>+G26</f>
        <v>2395-582-401</v>
      </c>
      <c r="H29" s="117"/>
      <c r="I29" s="442"/>
      <c r="J29" s="165">
        <f>+IF(K29="","",IF(K27=0,"",(K27*J27)/(K29*60)))</f>
        <v>0.84590425531914903</v>
      </c>
      <c r="K29" s="118">
        <v>47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/>
      <c r="Z29" s="371">
        <f>+IF(COUNTA(M27:W27)=$AJ$4+0.25,$AJ$4-(AA27/K27),COUNTA(M27:W27)-(AA27/K27))+Y29</f>
        <v>0</v>
      </c>
      <c r="AA29" s="465">
        <f t="shared" si="18"/>
        <v>0</v>
      </c>
      <c r="AB29" s="367"/>
      <c r="AC29" s="367"/>
      <c r="AD29" s="368">
        <f>+IFERROR(AD27/(K27*$AQ$3),"")</f>
        <v>0.20050125313283207</v>
      </c>
      <c r="AE29" s="369"/>
      <c r="AF29" s="347"/>
      <c r="AG29" s="347">
        <f t="shared" si="15"/>
        <v>0</v>
      </c>
      <c r="AH29" s="341">
        <f t="shared" si="16"/>
        <v>0</v>
      </c>
      <c r="AI29" s="341"/>
      <c r="AJ29" s="356"/>
      <c r="AK29" s="370">
        <f>+$AJ$4</f>
        <v>8.25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0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540" t="s">
        <v>434</v>
      </c>
      <c r="H30" s="106"/>
      <c r="I30" s="111"/>
      <c r="J30" s="107" t="s">
        <v>20</v>
      </c>
      <c r="K30" s="108" t="s">
        <v>23</v>
      </c>
      <c r="L30" s="100" t="s">
        <v>21</v>
      </c>
      <c r="M30" s="448"/>
      <c r="N30" s="448"/>
      <c r="O30" s="448"/>
      <c r="P30" s="448"/>
      <c r="Q30" s="448"/>
      <c r="R30" s="448"/>
      <c r="S30" s="448"/>
      <c r="T30" s="448"/>
      <c r="U30" s="448"/>
      <c r="V30" s="448"/>
      <c r="W30" s="448"/>
      <c r="X30" s="447" t="str">
        <f t="shared" si="5"/>
        <v/>
      </c>
      <c r="Y30" s="466">
        <v>0</v>
      </c>
      <c r="Z30" s="533">
        <f>+X32</f>
        <v>0</v>
      </c>
      <c r="AA30" s="447">
        <f t="shared" si="1"/>
        <v>0</v>
      </c>
      <c r="AB30" s="343">
        <f>+AC30+AA30</f>
        <v>4060</v>
      </c>
      <c r="AC30" s="343">
        <v>4060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433</v>
      </c>
      <c r="E31" s="111"/>
      <c r="F31" s="111" t="s">
        <v>428</v>
      </c>
      <c r="G31" s="541" t="str">
        <f t="shared" ref="G31:G33" si="19">+G30</f>
        <v>ATENAS-203645</v>
      </c>
      <c r="H31" s="111"/>
      <c r="I31" s="111" t="s">
        <v>33</v>
      </c>
      <c r="J31" s="113">
        <v>61</v>
      </c>
      <c r="K31" s="130">
        <v>47</v>
      </c>
      <c r="L31" s="101" t="s">
        <v>17</v>
      </c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123">
        <f>+IF(H32="s",0,IF(AA31=0,0,IF(COUNTA(M31:W31)=AK33+0.75,SUMIF($C:$C,B31,$AA:$AA)/AK33,SUMIF($C:$C,B31,$AA:$AA)/(COUNTA(M31:W31)))))</f>
        <v>0</v>
      </c>
      <c r="Y31" s="466"/>
      <c r="Z31" s="534"/>
      <c r="AA31" s="134">
        <f t="shared" si="1"/>
        <v>0</v>
      </c>
      <c r="AB31" s="354">
        <f>+AA31+AC31</f>
        <v>4042</v>
      </c>
      <c r="AC31" s="354">
        <v>4042</v>
      </c>
      <c r="AD31" s="355">
        <f>+AB30-AB31</f>
        <v>18</v>
      </c>
      <c r="AE31" s="131" t="str">
        <f>+IF(((AA32+(AA33/2))*60)=0,"",(J31*AA31)/((AA32+(AA33/2))*60))</f>
        <v/>
      </c>
      <c r="AF31" s="347">
        <f>+AA32+AA33/2</f>
        <v>0</v>
      </c>
      <c r="AG31" s="347">
        <f t="shared" si="2"/>
        <v>0</v>
      </c>
      <c r="AH31" s="341">
        <f t="shared" si="3"/>
        <v>0</v>
      </c>
      <c r="AI31" s="341">
        <f>+AA31*J31</f>
        <v>0</v>
      </c>
      <c r="AJ31" s="356">
        <f>+AA31-(AF31*K31/K33)</f>
        <v>0</v>
      </c>
      <c r="AK31" s="348"/>
      <c r="AL31" s="349"/>
      <c r="AM31" s="341"/>
      <c r="AN31" s="341"/>
      <c r="AO31" s="341"/>
      <c r="AP31" s="341"/>
      <c r="AQ31" s="339" t="str">
        <f t="shared" si="4"/>
        <v/>
      </c>
      <c r="AR31" s="434"/>
      <c r="AT31" s="390">
        <v>18</v>
      </c>
      <c r="AV31" s="390">
        <f t="shared" ref="AV31" si="20">+AT31-AD31</f>
        <v>0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541" t="str">
        <f t="shared" si="19"/>
        <v>ATENAS-203645</v>
      </c>
      <c r="H32" s="411" t="s">
        <v>414</v>
      </c>
      <c r="I32" s="113">
        <f>+IFERROR(IF(K33=0,0,IF((LOOKUP(2,1/(M32:W32&lt;&gt;""),M32:W32)-K33)&lt;0,0,IF(K33=0,"",LOOKUP(2,1/(M32:W32&lt;&gt;""),M32:W32)-K33))),0)</f>
        <v>0</v>
      </c>
      <c r="J32" s="113">
        <v>0</v>
      </c>
      <c r="K32" s="114" t="s">
        <v>22</v>
      </c>
      <c r="L32" s="102" t="s">
        <v>18</v>
      </c>
      <c r="M32" s="448"/>
      <c r="N32" s="448"/>
      <c r="O32" s="448"/>
      <c r="P32" s="448"/>
      <c r="Q32" s="448"/>
      <c r="R32" s="448"/>
      <c r="S32" s="448"/>
      <c r="T32" s="448"/>
      <c r="U32" s="448"/>
      <c r="V32" s="448"/>
      <c r="W32" s="448"/>
      <c r="X32" s="160">
        <f>+IF(H32="l",IF(COUNTA(M31:W31)=AK33+0.75,AA31-K31*AK33,AA31-(K31*COUNTA(M31:W31))),IF(H32="s",0,IF(COUNTA(M31:W31)=AK33+0.75,SUMIF($C:$C,B31,$AA:$AA)-K31*AK33,SUMIF($C:$C,B31,$AA:$AA)-K31*COUNTA(M31:W31))))</f>
        <v>0</v>
      </c>
      <c r="Y32" s="466"/>
      <c r="Z32" s="534"/>
      <c r="AA32" s="462">
        <f t="shared" ref="AA32:AA33" si="21">+SUM(M32:W32)-U32*0.75</f>
        <v>0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0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542" t="str">
        <f t="shared" si="19"/>
        <v>ATENAS-203645</v>
      </c>
      <c r="H33" s="117"/>
      <c r="I33" s="442"/>
      <c r="J33" s="165">
        <f>+IF(K33="","",IF(K31=0,"",(K31*J31)/(K33*60)))</f>
        <v>0.85327380952380949</v>
      </c>
      <c r="K33" s="118">
        <v>56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70.394680851063825</v>
      </c>
      <c r="Z33" s="371">
        <f>+IF(COUNTA(M31:W31)=$AJ$4+0.25,$AJ$4-(AA31/K31),COUNTA(M31:W31)-(AA31/K31))+Y33</f>
        <v>70.394680851063825</v>
      </c>
      <c r="AA33" s="465">
        <f t="shared" si="21"/>
        <v>0</v>
      </c>
      <c r="AB33" s="367"/>
      <c r="AC33" s="367"/>
      <c r="AD33" s="368">
        <f>+IFERROR(AD31/(K31*$AQ$3),"")</f>
        <v>4.376899696048632E-2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8.25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4.376899696048632E-2</v>
      </c>
      <c r="AV33" s="390"/>
    </row>
    <row r="34" spans="2:58" s="98" customFormat="1" ht="62.25" customHeight="1" thickTop="1" x14ac:dyDescent="0.9">
      <c r="B34" s="342">
        <f>+B35</f>
        <v>5</v>
      </c>
      <c r="C34" s="405"/>
      <c r="D34" s="106"/>
      <c r="E34" s="106"/>
      <c r="F34" s="106"/>
      <c r="G34" s="540" t="s">
        <v>481</v>
      </c>
      <c r="H34" s="106"/>
      <c r="I34" s="111"/>
      <c r="J34" s="107" t="s">
        <v>20</v>
      </c>
      <c r="K34" s="108" t="s">
        <v>23</v>
      </c>
      <c r="L34" s="100" t="s">
        <v>21</v>
      </c>
      <c r="M34" s="448">
        <v>120</v>
      </c>
      <c r="N34" s="448">
        <v>120</v>
      </c>
      <c r="O34" s="448">
        <v>120</v>
      </c>
      <c r="P34" s="448">
        <v>60</v>
      </c>
      <c r="Q34" s="448"/>
      <c r="R34" s="448"/>
      <c r="S34" s="448"/>
      <c r="T34" s="448"/>
      <c r="U34" s="448"/>
      <c r="V34" s="448"/>
      <c r="W34" s="448"/>
      <c r="X34" s="447">
        <f t="shared" si="5"/>
        <v>420</v>
      </c>
      <c r="Y34" s="466">
        <v>0</v>
      </c>
      <c r="Z34" s="533">
        <f>+X36</f>
        <v>0</v>
      </c>
      <c r="AA34" s="447">
        <f t="shared" si="1"/>
        <v>420</v>
      </c>
      <c r="AB34" s="343">
        <f>+AC34+AA34</f>
        <v>2580</v>
      </c>
      <c r="AC34" s="343">
        <v>2160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5</v>
      </c>
      <c r="C35" s="406">
        <f>+B35</f>
        <v>5</v>
      </c>
      <c r="D35" s="407" t="s">
        <v>480</v>
      </c>
      <c r="E35" s="111"/>
      <c r="F35" s="111" t="s">
        <v>35</v>
      </c>
      <c r="G35" s="541" t="str">
        <f t="shared" ref="G35:G37" si="22">+G34</f>
        <v>2396-593-600</v>
      </c>
      <c r="H35" s="111"/>
      <c r="I35" s="111" t="s">
        <v>33</v>
      </c>
      <c r="J35" s="113">
        <v>38.82</v>
      </c>
      <c r="K35" s="130">
        <v>60</v>
      </c>
      <c r="L35" s="101" t="s">
        <v>17</v>
      </c>
      <c r="M35" s="214">
        <v>60</v>
      </c>
      <c r="N35" s="214">
        <v>60</v>
      </c>
      <c r="O35" s="214">
        <v>60</v>
      </c>
      <c r="P35" s="214">
        <v>60</v>
      </c>
      <c r="Q35" s="214">
        <v>60</v>
      </c>
      <c r="R35" s="214">
        <v>60</v>
      </c>
      <c r="S35" s="214">
        <v>60</v>
      </c>
      <c r="T35" s="214">
        <v>60</v>
      </c>
      <c r="U35" s="214">
        <v>15</v>
      </c>
      <c r="V35" s="214"/>
      <c r="W35" s="214"/>
      <c r="X35" s="123">
        <f>+IF(H36="s",0,IF(AA35=0,0,IF(COUNTA(M35:W35)=AK37+0.75,SUMIF($C:$C,B35,$AA:$AA)/AK37,SUMIF($C:$C,B35,$AA:$AA)/(COUNTA(M35:W35)))))</f>
        <v>60</v>
      </c>
      <c r="Y35" s="466"/>
      <c r="Z35" s="534"/>
      <c r="AA35" s="134">
        <f t="shared" si="1"/>
        <v>495</v>
      </c>
      <c r="AB35" s="354">
        <f>+AA35+AC35</f>
        <v>1610</v>
      </c>
      <c r="AC35" s="354">
        <v>1115</v>
      </c>
      <c r="AD35" s="355">
        <f>+AB34-AB35</f>
        <v>970</v>
      </c>
      <c r="AE35" s="131">
        <f>+IF(((AA36+(AA37/2))*60)=0,"",(J35*AA35)/((AA36+(AA37/2))*60))</f>
        <v>0.90279069767441866</v>
      </c>
      <c r="AF35" s="347">
        <f>+AA36+AA37/2</f>
        <v>354.75</v>
      </c>
      <c r="AG35" s="347">
        <f t="shared" si="2"/>
        <v>354.45</v>
      </c>
      <c r="AH35" s="341">
        <f t="shared" si="3"/>
        <v>21285</v>
      </c>
      <c r="AI35" s="341">
        <f>+AA35*J35</f>
        <v>19215.900000000001</v>
      </c>
      <c r="AJ35" s="356">
        <f>+AA35-(AF35*K35/K37)</f>
        <v>0</v>
      </c>
      <c r="AK35" s="348"/>
      <c r="AL35" s="349"/>
      <c r="AM35" s="341"/>
      <c r="AN35" s="341"/>
      <c r="AO35" s="341"/>
      <c r="AP35" s="341"/>
      <c r="AQ35" s="339">
        <f t="shared" si="4"/>
        <v>47.5</v>
      </c>
      <c r="AR35" s="434">
        <v>1.7</v>
      </c>
      <c r="AT35" s="390">
        <v>1045</v>
      </c>
      <c r="AV35" s="390">
        <f t="shared" ref="AV35" si="23">+AT35-AD35</f>
        <v>75</v>
      </c>
    </row>
    <row r="36" spans="2:58" s="98" customFormat="1" ht="62.25" customHeight="1" x14ac:dyDescent="0.9">
      <c r="B36" s="357">
        <f>B35</f>
        <v>5</v>
      </c>
      <c r="C36" s="408"/>
      <c r="D36" s="184"/>
      <c r="E36" s="111">
        <f>+B35</f>
        <v>5</v>
      </c>
      <c r="F36" s="412"/>
      <c r="G36" s="541" t="str">
        <f t="shared" si="22"/>
        <v>2396-593-600</v>
      </c>
      <c r="H36" s="411" t="s">
        <v>412</v>
      </c>
      <c r="I36" s="113">
        <f>+IFERROR(IF(K37=0,0,IF((LOOKUP(2,1/(M36:W36&lt;&gt;""),M36:W36)-K37)&lt;0,0,IF(K37=0,"",LOOKUP(2,1/(M36:W36&lt;&gt;""),M36:W36)-K37))),0)</f>
        <v>0</v>
      </c>
      <c r="J36" s="113">
        <v>1</v>
      </c>
      <c r="K36" s="114" t="s">
        <v>22</v>
      </c>
      <c r="L36" s="102" t="s">
        <v>18</v>
      </c>
      <c r="M36" s="448">
        <v>43</v>
      </c>
      <c r="N36" s="448">
        <v>43</v>
      </c>
      <c r="O36" s="448">
        <v>43</v>
      </c>
      <c r="P36" s="448">
        <v>43</v>
      </c>
      <c r="Q36" s="448">
        <v>43</v>
      </c>
      <c r="R36" s="448">
        <v>43</v>
      </c>
      <c r="S36" s="448">
        <v>43</v>
      </c>
      <c r="T36" s="448">
        <v>43</v>
      </c>
      <c r="U36" s="448">
        <v>43</v>
      </c>
      <c r="V36" s="448"/>
      <c r="W36" s="448"/>
      <c r="X36" s="160">
        <f>+IF(H36="l",IF(COUNTA(M35:W35)=AK37+0.75,AA35-K35*AK37,AA35-(K35*COUNTA(M35:W35))),IF(H36="s",0,IF(COUNTA(M35:W35)=AK37+0.75,SUMIF($C:$C,B35,$AA:$AA)-K35*AK37,SUMIF($C:$C,B35,$AA:$AA)-K35*COUNTA(M35:W35))))</f>
        <v>0</v>
      </c>
      <c r="Y36" s="466"/>
      <c r="Z36" s="534"/>
      <c r="AA36" s="462">
        <f t="shared" ref="AA36:AA37" si="24">+SUM(M36:W36)-U36*0.75</f>
        <v>354.75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354.75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5</v>
      </c>
      <c r="C37" s="410"/>
      <c r="D37" s="174" t="s">
        <v>380</v>
      </c>
      <c r="E37" s="175">
        <f>+E36+100</f>
        <v>105</v>
      </c>
      <c r="F37" s="175"/>
      <c r="G37" s="542" t="str">
        <f t="shared" si="22"/>
        <v>2396-593-600</v>
      </c>
      <c r="H37" s="117"/>
      <c r="I37" s="442"/>
      <c r="J37" s="165">
        <f>+IF(K37="","",IF(K35=0,"",(K35*J35)/(K37*60)))</f>
        <v>0.90279069767441855</v>
      </c>
      <c r="K37" s="118">
        <v>43</v>
      </c>
      <c r="L37" s="104" t="s">
        <v>19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8.0762666666666671</v>
      </c>
      <c r="Z37" s="365">
        <v>8.8262666666666671</v>
      </c>
      <c r="AA37" s="465">
        <f t="shared" si="24"/>
        <v>0</v>
      </c>
      <c r="AB37" s="367"/>
      <c r="AC37" s="367"/>
      <c r="AD37" s="368">
        <f>+IFERROR(AD35/(K35*$AQ$3),"")</f>
        <v>1.8476190476190477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8.25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1.9904761904761905</v>
      </c>
      <c r="AV37" s="390"/>
    </row>
    <row r="38" spans="2:58" s="98" customFormat="1" ht="62.25" customHeight="1" thickTop="1" x14ac:dyDescent="0.9">
      <c r="B38" s="342">
        <f>+B39</f>
        <v>6</v>
      </c>
      <c r="C38" s="405"/>
      <c r="D38" s="106"/>
      <c r="E38" s="106"/>
      <c r="F38" s="106"/>
      <c r="G38" s="540" t="s">
        <v>442</v>
      </c>
      <c r="H38" s="106"/>
      <c r="I38" s="111"/>
      <c r="J38" s="107" t="s">
        <v>20</v>
      </c>
      <c r="K38" s="108">
        <v>0</v>
      </c>
      <c r="L38" s="100" t="s">
        <v>21</v>
      </c>
      <c r="M38" s="448">
        <v>120</v>
      </c>
      <c r="N38" s="448">
        <v>60</v>
      </c>
      <c r="O38" s="448">
        <v>60</v>
      </c>
      <c r="P38" s="448">
        <v>60</v>
      </c>
      <c r="Q38" s="448">
        <v>60</v>
      </c>
      <c r="R38" s="448">
        <v>60</v>
      </c>
      <c r="S38" s="448">
        <v>120</v>
      </c>
      <c r="T38" s="448"/>
      <c r="U38" s="448"/>
      <c r="V38" s="448"/>
      <c r="W38" s="448"/>
      <c r="X38" s="447">
        <f t="shared" si="5"/>
        <v>540</v>
      </c>
      <c r="Y38" s="466">
        <v>-3.75</v>
      </c>
      <c r="Z38" s="533">
        <f>+X40</f>
        <v>0.75</v>
      </c>
      <c r="AA38" s="447">
        <f t="shared" si="1"/>
        <v>540</v>
      </c>
      <c r="AB38" s="343">
        <f>+AC38+AA38</f>
        <v>4684</v>
      </c>
      <c r="AC38" s="343">
        <v>4144</v>
      </c>
      <c r="AD38" s="344"/>
      <c r="AE38" s="345"/>
      <c r="AF38" s="346"/>
      <c r="AG38" s="347">
        <f t="shared" si="2"/>
        <v>0</v>
      </c>
      <c r="AH38" s="341">
        <f t="shared" si="3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6</v>
      </c>
      <c r="C39" s="406">
        <f>+B39</f>
        <v>6</v>
      </c>
      <c r="D39" s="407" t="s">
        <v>441</v>
      </c>
      <c r="E39" s="111"/>
      <c r="F39" s="111" t="s">
        <v>35</v>
      </c>
      <c r="G39" s="541" t="str">
        <f t="shared" ref="G39:G41" si="25">+G38</f>
        <v>2259-600-730</v>
      </c>
      <c r="H39" s="111"/>
      <c r="I39" s="111" t="s">
        <v>33</v>
      </c>
      <c r="J39" s="113">
        <v>34.450000000000003</v>
      </c>
      <c r="K39" s="494">
        <v>61</v>
      </c>
      <c r="L39" s="101" t="s">
        <v>17</v>
      </c>
      <c r="M39" s="214">
        <v>61</v>
      </c>
      <c r="N39" s="214">
        <v>61</v>
      </c>
      <c r="O39" s="214">
        <v>61</v>
      </c>
      <c r="P39" s="214">
        <v>61</v>
      </c>
      <c r="Q39" s="214">
        <v>61</v>
      </c>
      <c r="R39" s="214">
        <v>61</v>
      </c>
      <c r="S39" s="214">
        <v>61</v>
      </c>
      <c r="T39" s="214">
        <v>61</v>
      </c>
      <c r="U39" s="214">
        <v>16</v>
      </c>
      <c r="V39" s="214"/>
      <c r="W39" s="214"/>
      <c r="X39" s="123">
        <f>+IF(H40="s",0,IF(AA39=0,0,IF(COUNTA(M39:W39)=AK41+0.75,SUMIF($C:$C,B39,$AA:$AA)/AK41,SUMIF($C:$C,B39,$AA:$AA)/(COUNTA(M39:W39)))))</f>
        <v>61.090909090909093</v>
      </c>
      <c r="Y39" s="466"/>
      <c r="Z39" s="534"/>
      <c r="AA39" s="134">
        <f t="shared" si="1"/>
        <v>504</v>
      </c>
      <c r="AB39" s="354">
        <f>+AA39+AC39</f>
        <v>3814</v>
      </c>
      <c r="AC39" s="354">
        <v>3310</v>
      </c>
      <c r="AD39" s="355">
        <f>+AB38-AB39</f>
        <v>870</v>
      </c>
      <c r="AE39" s="131">
        <f>+IF(((AA40+(AA41/2))*60)=0,"",(J39*AA39)/((AA40+(AA41/2))*60))</f>
        <v>0.88800920598388966</v>
      </c>
      <c r="AF39" s="347">
        <f>+AA40+AA41/2</f>
        <v>325.875</v>
      </c>
      <c r="AG39" s="347">
        <f t="shared" si="2"/>
        <v>325.52499999999998</v>
      </c>
      <c r="AH39" s="341">
        <f t="shared" si="3"/>
        <v>19552.5</v>
      </c>
      <c r="AI39" s="341">
        <f>+AA39*J39</f>
        <v>17362.800000000003</v>
      </c>
      <c r="AJ39" s="356">
        <f>+AA39-(AF39*K39/K41)</f>
        <v>-19.115131578947398</v>
      </c>
      <c r="AK39" s="348"/>
      <c r="AL39" s="349"/>
      <c r="AM39" s="341"/>
      <c r="AN39" s="341"/>
      <c r="AO39" s="341"/>
      <c r="AP39" s="341"/>
      <c r="AQ39" s="339">
        <f t="shared" si="4"/>
        <v>39.625</v>
      </c>
      <c r="AR39" s="434">
        <v>1.5</v>
      </c>
      <c r="AT39" s="390">
        <v>834</v>
      </c>
      <c r="AV39" s="390">
        <f t="shared" ref="AV39" si="26">+AT39-AD39</f>
        <v>-36</v>
      </c>
    </row>
    <row r="40" spans="2:58" s="98" customFormat="1" ht="62.25" customHeight="1" x14ac:dyDescent="0.9">
      <c r="B40" s="357">
        <f>B39</f>
        <v>6</v>
      </c>
      <c r="C40" s="408"/>
      <c r="D40" s="184"/>
      <c r="E40" s="111">
        <f>+B39</f>
        <v>6</v>
      </c>
      <c r="F40" s="409"/>
      <c r="G40" s="541" t="str">
        <f t="shared" si="25"/>
        <v>2259-600-730</v>
      </c>
      <c r="H40" s="411" t="s">
        <v>413</v>
      </c>
      <c r="I40" s="113">
        <f>+IFERROR(IF(K41=0,0,IF((LOOKUP(2,1/(M40:W40&lt;&gt;""),M40:W40)-K41)&lt;0,0,IF(K41=0,"",LOOKUP(2,1/(M40:W40&lt;&gt;""),M40:W40)-K41))),0)</f>
        <v>1</v>
      </c>
      <c r="J40" s="113">
        <v>0</v>
      </c>
      <c r="K40" s="114" t="s">
        <v>22</v>
      </c>
      <c r="L40" s="102" t="s">
        <v>18</v>
      </c>
      <c r="M40" s="448">
        <v>39</v>
      </c>
      <c r="N40" s="448">
        <v>39</v>
      </c>
      <c r="O40" s="448">
        <v>39</v>
      </c>
      <c r="P40" s="448">
        <v>39</v>
      </c>
      <c r="Q40" s="448">
        <v>39</v>
      </c>
      <c r="R40" s="448">
        <v>39</v>
      </c>
      <c r="S40" s="448">
        <v>39</v>
      </c>
      <c r="T40" s="448">
        <v>39</v>
      </c>
      <c r="U40" s="448">
        <v>39</v>
      </c>
      <c r="V40" s="448"/>
      <c r="W40" s="448"/>
      <c r="X40" s="160">
        <f>+IF(H40="l",IF(COUNTA(M39:W39)=AK41+0.75,AA39-K39*AK41,AA39-(K39*COUNTA(M39:W39))),IF(H40="s",0,IF(COUNTA(M39:W39)=AK41+0.75,SUMIF($C:$C,B39,$AA:$AA)-K39*AK41,SUMIF($C:$C,B39,$AA:$AA)-K39*COUNTA(M39:W39))))</f>
        <v>0.75</v>
      </c>
      <c r="Y40" s="466"/>
      <c r="Z40" s="534"/>
      <c r="AA40" s="462">
        <f t="shared" ref="AA40:AA41" si="27">+SUM(M40:W40)-U40*0.75</f>
        <v>321.75</v>
      </c>
      <c r="AB40" s="360"/>
      <c r="AC40" s="360"/>
      <c r="AD40" s="362"/>
      <c r="AE40" s="363"/>
      <c r="AF40" s="346"/>
      <c r="AG40" s="347">
        <f t="shared" si="2"/>
        <v>0</v>
      </c>
      <c r="AH40" s="341">
        <f t="shared" si="3"/>
        <v>0</v>
      </c>
      <c r="AI40" s="341"/>
      <c r="AJ40" s="356"/>
      <c r="AK40" s="348"/>
      <c r="AL40" s="349">
        <f>+IF(AK41=7.75,SUM(M40:S40)+T40*0.75,IF(AK41=8,SUM(M40:T40),IF(AK41=7.25,SUM(M40:S40)+T40*0.25,IF(AK41=8.25,SUM(M40:T40)+U40*0.25,IF(AK41=8.75,SUM(M40:T40)+U40*0.75,0)))))</f>
        <v>321.75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B39</f>
        <v>6</v>
      </c>
      <c r="C41" s="410"/>
      <c r="D41" s="174" t="s">
        <v>366</v>
      </c>
      <c r="E41" s="175">
        <f>+E40+100</f>
        <v>106</v>
      </c>
      <c r="F41" s="175"/>
      <c r="G41" s="542" t="str">
        <f t="shared" si="25"/>
        <v>2259-600-730</v>
      </c>
      <c r="H41" s="117"/>
      <c r="I41" s="442"/>
      <c r="J41" s="165">
        <f>+IF(K41="","",IF(K39=0,"",(K39*J39)/(K41*60)))</f>
        <v>0.92168859649122814</v>
      </c>
      <c r="K41" s="118">
        <v>38</v>
      </c>
      <c r="L41" s="104" t="s">
        <v>19</v>
      </c>
      <c r="M41" s="216">
        <v>1</v>
      </c>
      <c r="N41" s="216">
        <v>1</v>
      </c>
      <c r="O41" s="216">
        <v>1</v>
      </c>
      <c r="P41" s="216">
        <v>1</v>
      </c>
      <c r="Q41" s="216">
        <v>1</v>
      </c>
      <c r="R41" s="216">
        <v>1</v>
      </c>
      <c r="S41" s="216">
        <v>1</v>
      </c>
      <c r="T41" s="216">
        <v>1</v>
      </c>
      <c r="U41" s="216">
        <v>1</v>
      </c>
      <c r="V41" s="216"/>
      <c r="W41" s="216"/>
      <c r="X41" s="173"/>
      <c r="Y41" s="467">
        <v>14.213333333333335</v>
      </c>
      <c r="Z41" s="365">
        <v>14.213333333333335</v>
      </c>
      <c r="AA41" s="465">
        <f t="shared" si="27"/>
        <v>8.25</v>
      </c>
      <c r="AB41" s="367"/>
      <c r="AC41" s="367"/>
      <c r="AD41" s="368">
        <f>+IFERROR(AD39/(K39*$AQ$3),"")</f>
        <v>1.629976580796253</v>
      </c>
      <c r="AE41" s="369"/>
      <c r="AF41" s="347"/>
      <c r="AG41" s="347">
        <f t="shared" si="2"/>
        <v>0</v>
      </c>
      <c r="AH41" s="341">
        <f t="shared" si="3"/>
        <v>0</v>
      </c>
      <c r="AI41" s="341"/>
      <c r="AJ41" s="356"/>
      <c r="AK41" s="370">
        <f>+$AJ$4</f>
        <v>8.25</v>
      </c>
      <c r="AL41" s="349">
        <f>+IF(AK41=7.75,SUM(M41:S41)+T41*0.75,IF(AK41=8,SUM(M41:T41),IF(AK41=7.25,SUM(M41:S41)+T41*0.25,IF(AK41=8.25,SUM(M41:T41)+U41*0.25,IF(AK41=8.75,SUM(M41:T41)+U41*0.75,0)))))</f>
        <v>8.25</v>
      </c>
      <c r="AM41" s="341">
        <f>+AL41-AA41</f>
        <v>0</v>
      </c>
      <c r="AN41" s="341"/>
      <c r="AO41" s="341"/>
      <c r="AP41" s="341"/>
      <c r="AQ41" s="369"/>
      <c r="AR41" s="434"/>
      <c r="AT41" s="390">
        <v>1.5625292740046839</v>
      </c>
      <c r="AV41" s="390"/>
    </row>
    <row r="42" spans="2:58" s="98" customFormat="1" ht="62.25" customHeight="1" thickTop="1" x14ac:dyDescent="0.9">
      <c r="B42" s="342">
        <f>+B43</f>
        <v>7</v>
      </c>
      <c r="C42" s="405"/>
      <c r="D42" s="106"/>
      <c r="E42" s="106"/>
      <c r="F42" s="106"/>
      <c r="G42" s="540" t="s">
        <v>442</v>
      </c>
      <c r="H42" s="106"/>
      <c r="I42" s="106"/>
      <c r="J42" s="107" t="s">
        <v>20</v>
      </c>
      <c r="K42" s="108" t="s">
        <v>23</v>
      </c>
      <c r="L42" s="100" t="s">
        <v>21</v>
      </c>
      <c r="M42" s="448">
        <v>60</v>
      </c>
      <c r="N42" s="448">
        <v>120</v>
      </c>
      <c r="O42" s="448">
        <v>60</v>
      </c>
      <c r="P42" s="448">
        <v>120</v>
      </c>
      <c r="Q42" s="448">
        <v>60</v>
      </c>
      <c r="R42" s="448">
        <v>60</v>
      </c>
      <c r="S42" s="448"/>
      <c r="T42" s="448"/>
      <c r="U42" s="473"/>
      <c r="V42" s="448"/>
      <c r="W42" s="448"/>
      <c r="X42" s="447">
        <f t="shared" si="5"/>
        <v>480</v>
      </c>
      <c r="Y42" s="466">
        <v>-33.75</v>
      </c>
      <c r="Z42" s="533">
        <f>+X44</f>
        <v>11.75</v>
      </c>
      <c r="AA42" s="447">
        <f t="shared" si="1"/>
        <v>480</v>
      </c>
      <c r="AB42" s="343">
        <f>+AC42+AA42</f>
        <v>3789</v>
      </c>
      <c r="AC42" s="343">
        <v>3309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7</v>
      </c>
      <c r="C43" s="406">
        <f>+B43</f>
        <v>7</v>
      </c>
      <c r="D43" s="407" t="s">
        <v>441</v>
      </c>
      <c r="E43" s="111"/>
      <c r="F43" s="111" t="s">
        <v>35</v>
      </c>
      <c r="G43" s="541" t="str">
        <f t="shared" ref="G43:G45" si="28">+G42</f>
        <v>2259-600-730</v>
      </c>
      <c r="H43" s="111"/>
      <c r="I43" s="111" t="s">
        <v>33</v>
      </c>
      <c r="J43" s="113">
        <v>34.450000000000003</v>
      </c>
      <c r="K43" s="494">
        <v>61</v>
      </c>
      <c r="L43" s="101" t="s">
        <v>17</v>
      </c>
      <c r="M43" s="214">
        <v>68</v>
      </c>
      <c r="N43" s="214">
        <v>63</v>
      </c>
      <c r="O43" s="214">
        <v>62</v>
      </c>
      <c r="P43" s="214">
        <v>65</v>
      </c>
      <c r="Q43" s="214">
        <v>52</v>
      </c>
      <c r="R43" s="214">
        <v>62</v>
      </c>
      <c r="S43" s="214">
        <v>61</v>
      </c>
      <c r="T43" s="214">
        <v>61</v>
      </c>
      <c r="U43" s="214">
        <v>21</v>
      </c>
      <c r="V43" s="214"/>
      <c r="W43" s="214"/>
      <c r="X43" s="123">
        <f>+IF(H44="s",0,IF(AA43=0,0,IF(COUNTA(M43:W43)=AK45+0.75,SUMIF($C:$C,B43,$AA:$AA)/AK45,SUMIF($C:$C,B43,$AA:$AA)/(COUNTA(M43:W43)))))</f>
        <v>62.424242424242422</v>
      </c>
      <c r="Y43" s="466"/>
      <c r="Z43" s="534"/>
      <c r="AA43" s="134">
        <f t="shared" si="1"/>
        <v>515</v>
      </c>
      <c r="AB43" s="354">
        <f>+AA43+AC43</f>
        <v>2931</v>
      </c>
      <c r="AC43" s="354">
        <v>2416</v>
      </c>
      <c r="AD43" s="355">
        <f>+AB42-AB43</f>
        <v>858</v>
      </c>
      <c r="AE43" s="131">
        <f>+IF(((AA44+(AA45/2))*60)=0,"",(J43*AA43)/((AA44+(AA45/2))*60))</f>
        <v>0.91902356902356908</v>
      </c>
      <c r="AF43" s="347">
        <f>+AA44+AA45/2</f>
        <v>321.75</v>
      </c>
      <c r="AG43" s="347">
        <f t="shared" si="2"/>
        <v>321.45</v>
      </c>
      <c r="AH43" s="341">
        <f t="shared" si="3"/>
        <v>19305</v>
      </c>
      <c r="AI43" s="341">
        <f>+AA43*J43</f>
        <v>17741.75</v>
      </c>
      <c r="AJ43" s="356">
        <f>+AA43-(AF43*K43/K45)</f>
        <v>-1.493421052631561</v>
      </c>
      <c r="AK43" s="348"/>
      <c r="AL43" s="349"/>
      <c r="AM43" s="341"/>
      <c r="AN43" s="341"/>
      <c r="AO43" s="341"/>
      <c r="AP43" s="341"/>
      <c r="AQ43" s="339">
        <f t="shared" si="4"/>
        <v>38.625</v>
      </c>
      <c r="AR43" s="434">
        <v>1.5</v>
      </c>
      <c r="AT43" s="390">
        <v>893</v>
      </c>
      <c r="AV43" s="390">
        <f t="shared" ref="AV43" si="29">+AT43-AD43</f>
        <v>35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B43</f>
        <v>7</v>
      </c>
      <c r="C44" s="408"/>
      <c r="D44" s="184"/>
      <c r="E44" s="111">
        <f>+B43</f>
        <v>7</v>
      </c>
      <c r="F44" s="409"/>
      <c r="G44" s="541" t="str">
        <f t="shared" si="28"/>
        <v>2259-600-730</v>
      </c>
      <c r="H44" s="411" t="s">
        <v>413</v>
      </c>
      <c r="I44" s="113">
        <f>+IFERROR(IF(K45=0,0,IF((LOOKUP(2,1/(M44:W44&lt;&gt;""),M44:W44)-K45)&lt;0,0,IF(K45=0,"",LOOKUP(2,1/(M44:W44&lt;&gt;""),M44:W44)-K45))),0)</f>
        <v>1</v>
      </c>
      <c r="J44" s="113">
        <v>1</v>
      </c>
      <c r="K44" s="114" t="s">
        <v>22</v>
      </c>
      <c r="L44" s="102" t="s">
        <v>18</v>
      </c>
      <c r="M44" s="448">
        <v>39</v>
      </c>
      <c r="N44" s="448">
        <v>39</v>
      </c>
      <c r="O44" s="448">
        <v>39</v>
      </c>
      <c r="P44" s="448">
        <v>39</v>
      </c>
      <c r="Q44" s="448">
        <v>39</v>
      </c>
      <c r="R44" s="448">
        <v>39</v>
      </c>
      <c r="S44" s="448">
        <v>39</v>
      </c>
      <c r="T44" s="448">
        <v>39</v>
      </c>
      <c r="U44" s="448">
        <v>39</v>
      </c>
      <c r="V44" s="448"/>
      <c r="W44" s="448"/>
      <c r="X44" s="160">
        <f>+IF(H44="l",IF(COUNTA(M43:W43)=AK45+0.75,AA43-K43*AK45,AA43-(K43*COUNTA(M43:W43))),IF(H44="s",0,IF(COUNTA(M43:W43)=AK45+0.75,SUMIF($C:$C,B43,$AA:$AA)-K43*AK45,SUMIF($C:$C,B43,$AA:$AA)-K43*COUNTA(M43:W43))))</f>
        <v>11.75</v>
      </c>
      <c r="Y44" s="466"/>
      <c r="Z44" s="534"/>
      <c r="AA44" s="462">
        <f t="shared" ref="AA44:AA45" si="30">+SUM(M44:W44)-U44*0.75</f>
        <v>321.75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321.75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72">
        <f>B43</f>
        <v>7</v>
      </c>
      <c r="C45" s="410"/>
      <c r="D45" s="174" t="s">
        <v>93</v>
      </c>
      <c r="E45" s="175">
        <f>+E44+100</f>
        <v>107</v>
      </c>
      <c r="F45" s="175"/>
      <c r="G45" s="542" t="str">
        <f t="shared" si="28"/>
        <v>2259-600-730</v>
      </c>
      <c r="H45" s="117"/>
      <c r="I45" s="442"/>
      <c r="J45" s="165">
        <f>+IF(K45="","",IF(K43=0,"",(K43*J43)/(K45*60)))</f>
        <v>0.92168859649122814</v>
      </c>
      <c r="K45" s="118">
        <v>38</v>
      </c>
      <c r="L45" s="104" t="s">
        <v>19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15.388301092896173</v>
      </c>
      <c r="Z45" s="365">
        <v>15.388301092896173</v>
      </c>
      <c r="AA45" s="465">
        <f t="shared" si="30"/>
        <v>0</v>
      </c>
      <c r="AB45" s="367"/>
      <c r="AC45" s="367"/>
      <c r="AD45" s="368">
        <f>+IFERROR(AD43/(K43*$AQ$3),"")</f>
        <v>1.6074941451990632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8.25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1.6730679156908665</v>
      </c>
      <c r="AV45" s="390"/>
    </row>
    <row r="46" spans="2:58" s="98" customFormat="1" ht="62.25" customHeight="1" thickTop="1" x14ac:dyDescent="0.9">
      <c r="B46" s="342">
        <f>+B47</f>
        <v>8</v>
      </c>
      <c r="C46" s="405"/>
      <c r="D46" s="106"/>
      <c r="E46" s="106"/>
      <c r="F46" s="106"/>
      <c r="G46" s="540" t="s">
        <v>432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120</v>
      </c>
      <c r="N46" s="448">
        <v>120</v>
      </c>
      <c r="O46" s="448">
        <v>120</v>
      </c>
      <c r="P46" s="448">
        <v>82</v>
      </c>
      <c r="Q46" s="448"/>
      <c r="R46" s="448"/>
      <c r="S46" s="448"/>
      <c r="T46" s="448"/>
      <c r="U46" s="448"/>
      <c r="V46" s="448"/>
      <c r="W46" s="448"/>
      <c r="X46" s="447">
        <f t="shared" si="5"/>
        <v>442</v>
      </c>
      <c r="Y46" s="466">
        <v>0.25</v>
      </c>
      <c r="Z46" s="533">
        <f>+X48</f>
        <v>0.75</v>
      </c>
      <c r="AA46" s="447">
        <f t="shared" si="1"/>
        <v>442</v>
      </c>
      <c r="AB46" s="343">
        <f>+AC46+AA46</f>
        <v>6529</v>
      </c>
      <c r="AC46" s="343">
        <v>6087</v>
      </c>
      <c r="AD46" s="344"/>
      <c r="AE46" s="345"/>
      <c r="AF46" s="346"/>
      <c r="AG46" s="347">
        <f t="shared" si="2"/>
        <v>0</v>
      </c>
      <c r="AH46" s="341">
        <f t="shared" si="3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0.9">
      <c r="B47" s="351">
        <v>8</v>
      </c>
      <c r="C47" s="406">
        <f>+B47</f>
        <v>8</v>
      </c>
      <c r="D47" s="407" t="s">
        <v>431</v>
      </c>
      <c r="E47" s="111"/>
      <c r="F47" s="111" t="s">
        <v>35</v>
      </c>
      <c r="G47" s="541" t="str">
        <f t="shared" ref="G47:G49" si="31">+G46</f>
        <v>2158-755-712</v>
      </c>
      <c r="H47" s="111"/>
      <c r="I47" s="111" t="s">
        <v>33</v>
      </c>
      <c r="J47" s="113">
        <v>51.42</v>
      </c>
      <c r="K47" s="494">
        <v>53</v>
      </c>
      <c r="L47" s="101" t="s">
        <v>17</v>
      </c>
      <c r="M47" s="214">
        <v>53</v>
      </c>
      <c r="N47" s="214">
        <v>53</v>
      </c>
      <c r="O47" s="214">
        <v>53</v>
      </c>
      <c r="P47" s="214">
        <v>53</v>
      </c>
      <c r="Q47" s="214">
        <v>53</v>
      </c>
      <c r="R47" s="214">
        <v>53</v>
      </c>
      <c r="S47" s="214">
        <v>53</v>
      </c>
      <c r="T47" s="214">
        <v>53</v>
      </c>
      <c r="U47" s="214">
        <v>14</v>
      </c>
      <c r="V47" s="214"/>
      <c r="W47" s="214"/>
      <c r="X47" s="123">
        <f>+IF(H48="s",0,IF(AA47=0,0,IF(COUNTA(M47:W47)=AK49+0.75,SUMIF($C:$C,B47,$AA:$AA)/AK49,SUMIF($C:$C,B47,$AA:$AA)/(COUNTA(M47:W47)))))</f>
        <v>53.090909090909093</v>
      </c>
      <c r="Y47" s="466"/>
      <c r="Z47" s="534"/>
      <c r="AA47" s="134">
        <f t="shared" si="1"/>
        <v>438</v>
      </c>
      <c r="AB47" s="354">
        <f>+AA47+AC47</f>
        <v>5830</v>
      </c>
      <c r="AC47" s="354">
        <v>5392</v>
      </c>
      <c r="AD47" s="355">
        <f>+AB46-AB47</f>
        <v>699</v>
      </c>
      <c r="AE47" s="131">
        <f>+IF(((AA48+(AA49/2))*60)=0,"",(J47*AA47)/((AA48+(AA49/2))*60))</f>
        <v>0.87497902097902092</v>
      </c>
      <c r="AF47" s="347">
        <f>+AA48+AA49/2</f>
        <v>429</v>
      </c>
      <c r="AG47" s="347">
        <f t="shared" si="2"/>
        <v>429</v>
      </c>
      <c r="AH47" s="341">
        <f t="shared" si="3"/>
        <v>25740</v>
      </c>
      <c r="AI47" s="341">
        <f>+AA47*J47</f>
        <v>22521.96</v>
      </c>
      <c r="AJ47" s="356">
        <f>+AA47-(AF47*K47/K49)</f>
        <v>-7.8235294117646959</v>
      </c>
      <c r="AK47" s="348"/>
      <c r="AL47" s="349"/>
      <c r="AM47" s="341"/>
      <c r="AN47" s="341"/>
      <c r="AO47" s="341"/>
      <c r="AP47" s="341"/>
      <c r="AQ47" s="339">
        <f t="shared" si="4"/>
        <v>0.8125</v>
      </c>
      <c r="AR47" s="434">
        <v>1.45</v>
      </c>
      <c r="AT47" s="390">
        <v>695</v>
      </c>
      <c r="AV47" s="390">
        <f t="shared" ref="AV47" si="32">+AT47-AD47</f>
        <v>-4</v>
      </c>
    </row>
    <row r="48" spans="2:58" s="98" customFormat="1" ht="62.25" customHeight="1" x14ac:dyDescent="0.9">
      <c r="B48" s="357">
        <f>+B47</f>
        <v>8</v>
      </c>
      <c r="C48" s="408"/>
      <c r="D48" s="184"/>
      <c r="E48" s="111">
        <f>+B47</f>
        <v>8</v>
      </c>
      <c r="F48" s="409"/>
      <c r="G48" s="541" t="str">
        <f t="shared" si="31"/>
        <v>2158-755-712</v>
      </c>
      <c r="H48" s="411"/>
      <c r="I48" s="113">
        <f>+IFERROR(IF(K49=0,0,IF((LOOKUP(2,1/(M48:W48&lt;&gt;""),M48:W48)-K49)&lt;0,0,IF(K49=0,"",LOOKUP(2,1/(M48:W48&lt;&gt;""),M48:W48)-K49))),0)</f>
        <v>1</v>
      </c>
      <c r="J48" s="113"/>
      <c r="K48" s="114" t="s">
        <v>22</v>
      </c>
      <c r="L48" s="102" t="s">
        <v>18</v>
      </c>
      <c r="M48" s="448">
        <v>52</v>
      </c>
      <c r="N48" s="448">
        <v>52</v>
      </c>
      <c r="O48" s="448">
        <v>52</v>
      </c>
      <c r="P48" s="448">
        <v>52</v>
      </c>
      <c r="Q48" s="448">
        <v>52</v>
      </c>
      <c r="R48" s="448">
        <v>52</v>
      </c>
      <c r="S48" s="448">
        <v>52</v>
      </c>
      <c r="T48" s="448">
        <v>52</v>
      </c>
      <c r="U48" s="448">
        <v>52</v>
      </c>
      <c r="V48" s="448"/>
      <c r="W48" s="448"/>
      <c r="X48" s="160">
        <f>+IF(H48="l",IF(COUNTA(M47:W47)=AK49+0.75,AA47-K47*AK49,AA47-(K47*COUNTA(M47:W47))),IF(H48="s",0,IF(COUNTA(M47:W47)=AK49+0.75,SUMIF($C:$C,B47,$AA:$AA)-K47*AK49,SUMIF($C:$C,B47,$AA:$AA)-K47*COUNTA(M47:W47))))</f>
        <v>0.75</v>
      </c>
      <c r="Y48" s="466"/>
      <c r="Z48" s="534"/>
      <c r="AA48" s="462">
        <f t="shared" ref="AA48:AA49" si="33">+SUM(M48:W48)-U48*0.75</f>
        <v>429</v>
      </c>
      <c r="AB48" s="360"/>
      <c r="AC48" s="360"/>
      <c r="AD48" s="362"/>
      <c r="AE48" s="363"/>
      <c r="AF48" s="346"/>
      <c r="AG48" s="347">
        <f t="shared" si="2"/>
        <v>0</v>
      </c>
      <c r="AH48" s="341">
        <f t="shared" si="3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429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64">
        <f>+B47</f>
        <v>8</v>
      </c>
      <c r="C49" s="410"/>
      <c r="D49" s="174" t="s">
        <v>373</v>
      </c>
      <c r="E49" s="175">
        <f>+E48+100</f>
        <v>108</v>
      </c>
      <c r="F49" s="175"/>
      <c r="G49" s="542" t="str">
        <f t="shared" si="31"/>
        <v>2158-755-712</v>
      </c>
      <c r="H49" s="117"/>
      <c r="I49" s="442"/>
      <c r="J49" s="165">
        <f>+IF(K49="","",IF(K47=0,"",(K47*J47)/(K49*60)))</f>
        <v>0.89060784313725494</v>
      </c>
      <c r="K49" s="118">
        <v>51</v>
      </c>
      <c r="L49" s="104" t="s">
        <v>422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>
        <v>12.75</v>
      </c>
      <c r="Z49" s="365">
        <v>12.75</v>
      </c>
      <c r="AA49" s="465">
        <f t="shared" si="33"/>
        <v>0</v>
      </c>
      <c r="AB49" s="367"/>
      <c r="AC49" s="367"/>
      <c r="AD49" s="368">
        <f>+IFERROR(AD47/(K47*$AQ$3),"")</f>
        <v>1.507277628032345</v>
      </c>
      <c r="AE49" s="369"/>
      <c r="AF49" s="347"/>
      <c r="AG49" s="347">
        <f t="shared" si="2"/>
        <v>0</v>
      </c>
      <c r="AH49" s="341">
        <f t="shared" si="3"/>
        <v>0</v>
      </c>
      <c r="AI49" s="341"/>
      <c r="AJ49" s="356"/>
      <c r="AK49" s="370">
        <f>+$AJ$4</f>
        <v>8.25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1.4986522911051212</v>
      </c>
      <c r="AV49" s="390"/>
    </row>
    <row r="50" spans="2:58" s="98" customFormat="1" ht="62.25" customHeight="1" thickTop="1" x14ac:dyDescent="0.9">
      <c r="B50" s="342">
        <f>+B51</f>
        <v>11</v>
      </c>
      <c r="C50" s="405"/>
      <c r="D50" s="106"/>
      <c r="E50" s="106"/>
      <c r="F50" s="106"/>
      <c r="G50" s="540" t="s">
        <v>481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60</v>
      </c>
      <c r="N50" s="448">
        <v>120</v>
      </c>
      <c r="O50" s="448">
        <v>60</v>
      </c>
      <c r="P50" s="448">
        <v>60</v>
      </c>
      <c r="Q50" s="448">
        <v>60</v>
      </c>
      <c r="R50" s="448">
        <v>60</v>
      </c>
      <c r="S50" s="448">
        <v>60</v>
      </c>
      <c r="T50" s="448"/>
      <c r="U50" s="448"/>
      <c r="V50" s="448"/>
      <c r="W50" s="448"/>
      <c r="X50" s="447">
        <f t="shared" si="5"/>
        <v>480</v>
      </c>
      <c r="Y50" s="466">
        <v>-27</v>
      </c>
      <c r="Z50" s="533">
        <f>+X52</f>
        <v>-68</v>
      </c>
      <c r="AA50" s="447">
        <f t="shared" si="1"/>
        <v>480</v>
      </c>
      <c r="AB50" s="343">
        <f>+AC50+AA50</f>
        <v>3600</v>
      </c>
      <c r="AC50" s="343">
        <v>3120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1.35">
      <c r="B51" s="351">
        <v>11</v>
      </c>
      <c r="C51" s="406">
        <f>+B51</f>
        <v>11</v>
      </c>
      <c r="D51" s="407" t="s">
        <v>480</v>
      </c>
      <c r="E51" s="111"/>
      <c r="F51" s="111" t="s">
        <v>35</v>
      </c>
      <c r="G51" s="541" t="str">
        <f t="shared" ref="G51:G53" si="34">+G50</f>
        <v>2396-593-600</v>
      </c>
      <c r="H51" s="111"/>
      <c r="I51" s="111" t="s">
        <v>33</v>
      </c>
      <c r="J51" s="113">
        <v>38.82</v>
      </c>
      <c r="K51" s="130">
        <v>60</v>
      </c>
      <c r="L51" s="101" t="s">
        <v>17</v>
      </c>
      <c r="M51" s="214">
        <v>7</v>
      </c>
      <c r="N51" s="214">
        <v>60</v>
      </c>
      <c r="O51" s="214">
        <v>66</v>
      </c>
      <c r="P51" s="214">
        <v>64</v>
      </c>
      <c r="Q51" s="214">
        <v>64</v>
      </c>
      <c r="R51" s="214">
        <v>60</v>
      </c>
      <c r="S51" s="214">
        <v>63</v>
      </c>
      <c r="T51" s="214">
        <v>38</v>
      </c>
      <c r="U51" s="214">
        <v>5</v>
      </c>
      <c r="V51" s="214"/>
      <c r="W51" s="214"/>
      <c r="X51" s="123">
        <f>+IF(H52="s",0,IF(AA51=0,0,IF(COUNTA(M51:W51)=AK53+0.75,SUMIF($C:$C,B51,$AA:$AA)/AK53,SUMIF($C:$C,B51,$AA:$AA)/(COUNTA(M51:W51)))))</f>
        <v>51.757575757575758</v>
      </c>
      <c r="Y51" s="466"/>
      <c r="Z51" s="534"/>
      <c r="AA51" s="134">
        <f t="shared" si="1"/>
        <v>427</v>
      </c>
      <c r="AB51" s="354">
        <f>+AA51+AC51</f>
        <v>2687</v>
      </c>
      <c r="AC51" s="354">
        <v>2260</v>
      </c>
      <c r="AD51" s="355">
        <f>+AB50-AB51</f>
        <v>913</v>
      </c>
      <c r="AE51" s="131">
        <f>+IF(((AA52+(AA53/2))*60)=0,"",(J51*AA51)/((AA52+(AA53/2))*60))</f>
        <v>0.78097243816254414</v>
      </c>
      <c r="AF51" s="347">
        <f>+AA52+AA53/2</f>
        <v>353.75</v>
      </c>
      <c r="AG51" s="347">
        <f t="shared" si="2"/>
        <v>353.45</v>
      </c>
      <c r="AH51" s="341">
        <f t="shared" si="3"/>
        <v>21225</v>
      </c>
      <c r="AI51" s="341">
        <f>+AA51*J51</f>
        <v>16576.14</v>
      </c>
      <c r="AJ51" s="356">
        <f>+AA51-(AF51*K51/K53)</f>
        <v>-66.604651162790674</v>
      </c>
      <c r="AK51" s="348"/>
      <c r="AL51" s="349"/>
      <c r="AM51" s="341"/>
      <c r="AN51" s="341"/>
      <c r="AO51" s="341"/>
      <c r="AP51" s="341"/>
      <c r="AQ51" s="339">
        <f t="shared" si="4"/>
        <v>27.5</v>
      </c>
      <c r="AR51" s="434">
        <v>1.5</v>
      </c>
      <c r="AT51" s="390">
        <v>860</v>
      </c>
      <c r="AV51" s="390">
        <f t="shared" ref="AV51" si="35">+AT51-AD51</f>
        <v>-53</v>
      </c>
      <c r="AW51" s="535"/>
      <c r="AX51" s="535"/>
      <c r="AY51" s="535"/>
      <c r="AZ51" s="535"/>
      <c r="BA51" s="535"/>
      <c r="BB51" s="535"/>
      <c r="BC51" s="535"/>
      <c r="BD51" s="535"/>
      <c r="BE51" s="535"/>
      <c r="BF51" s="535"/>
    </row>
    <row r="52" spans="2:58" s="98" customFormat="1" ht="62.25" customHeight="1" x14ac:dyDescent="0.9">
      <c r="B52" s="357">
        <f>+B51</f>
        <v>11</v>
      </c>
      <c r="C52" s="408"/>
      <c r="D52" s="184"/>
      <c r="E52" s="111">
        <f>+B51</f>
        <v>11</v>
      </c>
      <c r="F52" s="412"/>
      <c r="G52" s="541" t="str">
        <f t="shared" si="34"/>
        <v>2396-593-600</v>
      </c>
      <c r="H52" s="411" t="s">
        <v>412</v>
      </c>
      <c r="I52" s="113">
        <f>+IFERROR(IF(K53=0,0,IF((LOOKUP(2,1/(M52:W52&lt;&gt;""),M52:W52)-K53)&lt;0,0,IF(K53=0,"",LOOKUP(2,1/(M52:W52&lt;&gt;""),M52:W52)-K53))),0)</f>
        <v>0</v>
      </c>
      <c r="J52" s="113">
        <v>2</v>
      </c>
      <c r="K52" s="114" t="s">
        <v>22</v>
      </c>
      <c r="L52" s="102" t="s">
        <v>18</v>
      </c>
      <c r="M52" s="448">
        <v>41</v>
      </c>
      <c r="N52" s="448">
        <v>42</v>
      </c>
      <c r="O52" s="448">
        <v>42</v>
      </c>
      <c r="P52" s="448">
        <v>42</v>
      </c>
      <c r="Q52" s="448">
        <v>42</v>
      </c>
      <c r="R52" s="448">
        <v>42</v>
      </c>
      <c r="S52" s="448">
        <v>42</v>
      </c>
      <c r="T52" s="448">
        <v>42</v>
      </c>
      <c r="U52" s="448">
        <v>42</v>
      </c>
      <c r="V52" s="448"/>
      <c r="W52" s="448"/>
      <c r="X52" s="160">
        <f>+IF(H52="l",IF(COUNTA(M51:W51)=AK53+0.75,AA51-K51*AK53,AA51-(K51*COUNTA(M51:W51))),IF(H52="s",0,IF(COUNTA(M51:W51)=AK53+0.75,SUMIF($C:$C,B51,$AA:$AA)-K51*AK53,SUMIF($C:$C,B51,$AA:$AA)-K51*COUNTA(M51:W51))))</f>
        <v>-68</v>
      </c>
      <c r="Y52" s="466"/>
      <c r="Z52" s="534"/>
      <c r="AA52" s="462">
        <f t="shared" ref="AA52:AA53" si="36">+SUM(M52:W52)-U52*0.75</f>
        <v>345.5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345.5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11</v>
      </c>
      <c r="C53" s="410"/>
      <c r="D53" s="174" t="s">
        <v>418</v>
      </c>
      <c r="E53" s="175">
        <f>+E52+100</f>
        <v>111</v>
      </c>
      <c r="F53" s="175"/>
      <c r="G53" s="542" t="str">
        <f t="shared" si="34"/>
        <v>2396-593-600</v>
      </c>
      <c r="H53" s="117"/>
      <c r="I53" s="442"/>
      <c r="J53" s="165">
        <f>+IF(K53="","",IF(K51=0,"",(K51*J51)/(K53*60)))</f>
        <v>0.90279069767441855</v>
      </c>
      <c r="K53" s="118">
        <v>43</v>
      </c>
      <c r="L53" s="104" t="s">
        <v>422</v>
      </c>
      <c r="M53" s="216">
        <v>2</v>
      </c>
      <c r="N53" s="216">
        <v>2</v>
      </c>
      <c r="O53" s="216">
        <v>2</v>
      </c>
      <c r="P53" s="216">
        <v>2</v>
      </c>
      <c r="Q53" s="216">
        <v>2</v>
      </c>
      <c r="R53" s="216">
        <v>2</v>
      </c>
      <c r="S53" s="216">
        <v>2</v>
      </c>
      <c r="T53" s="216">
        <v>2</v>
      </c>
      <c r="U53" s="216">
        <v>2</v>
      </c>
      <c r="V53" s="216"/>
      <c r="W53" s="216"/>
      <c r="X53" s="173"/>
      <c r="Y53" s="467">
        <v>10.253933333333334</v>
      </c>
      <c r="Z53" s="365">
        <v>10.253933333333334</v>
      </c>
      <c r="AA53" s="465">
        <f t="shared" si="36"/>
        <v>16.5</v>
      </c>
      <c r="AB53" s="367"/>
      <c r="AC53" s="367"/>
      <c r="AD53" s="368">
        <f>+IFERROR(AD51/(K51*$AQ$3),"")</f>
        <v>1.739047619047619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8.25</v>
      </c>
      <c r="AL53" s="349">
        <f>+IF(AK53=7.75,SUM(M53:S53)+T53*0.75,IF(AK53=8,SUM(M53:T53),IF(AK53=7.25,SUM(M53:S53)+T53*0.25,IF(AK53=8.25,SUM(M53:T53)+U53*0.25,IF(AK53=8.75,SUM(M53:T53)+U53*0.75,0)))))</f>
        <v>16.5</v>
      </c>
      <c r="AM53" s="341">
        <f>+AL53-AA53</f>
        <v>0</v>
      </c>
      <c r="AN53" s="341"/>
      <c r="AO53" s="341"/>
      <c r="AP53" s="341"/>
      <c r="AQ53" s="369"/>
      <c r="AR53" s="434"/>
      <c r="AT53" s="390">
        <v>1.638095238095238</v>
      </c>
      <c r="AV53" s="390"/>
    </row>
    <row r="54" spans="2:58" s="98" customFormat="1" ht="62.25" customHeight="1" thickTop="1" x14ac:dyDescent="0.9">
      <c r="B54" s="342">
        <f>+B55</f>
        <v>12</v>
      </c>
      <c r="C54" s="405"/>
      <c r="D54" s="106"/>
      <c r="E54" s="106"/>
      <c r="F54" s="106"/>
      <c r="G54" s="540"/>
      <c r="H54" s="106"/>
      <c r="I54" s="106"/>
      <c r="J54" s="107" t="s">
        <v>20</v>
      </c>
      <c r="K54" s="108" t="s">
        <v>23</v>
      </c>
      <c r="L54" s="100" t="s">
        <v>21</v>
      </c>
      <c r="M54" s="453"/>
      <c r="N54" s="453"/>
      <c r="O54" s="453"/>
      <c r="P54" s="453"/>
      <c r="Q54" s="453"/>
      <c r="R54" s="453"/>
      <c r="S54" s="453"/>
      <c r="T54" s="453"/>
      <c r="U54" s="453"/>
      <c r="V54" s="453"/>
      <c r="W54" s="453"/>
      <c r="X54" s="447" t="str">
        <f t="shared" si="5"/>
        <v/>
      </c>
      <c r="Y54" s="466">
        <v>0</v>
      </c>
      <c r="Z54" s="533">
        <f>+X56</f>
        <v>0</v>
      </c>
      <c r="AA54" s="447">
        <f t="shared" si="1"/>
        <v>0</v>
      </c>
      <c r="AB54" s="343">
        <f>+AC54+AA54</f>
        <v>0</v>
      </c>
      <c r="AC54" s="343">
        <v>0</v>
      </c>
      <c r="AD54" s="344"/>
      <c r="AE54" s="345"/>
      <c r="AF54" s="346"/>
      <c r="AG54" s="347"/>
      <c r="AH54" s="341"/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62.25" customHeight="1" x14ac:dyDescent="0.9">
      <c r="B55" s="351">
        <v>12</v>
      </c>
      <c r="C55" s="406">
        <v>12</v>
      </c>
      <c r="D55" s="407"/>
      <c r="E55" s="111"/>
      <c r="F55" s="111"/>
      <c r="G55" s="541"/>
      <c r="H55" s="111"/>
      <c r="I55" s="111"/>
      <c r="J55" s="113"/>
      <c r="K55" s="130"/>
      <c r="L55" s="101" t="s">
        <v>17</v>
      </c>
      <c r="M55" s="454"/>
      <c r="N55" s="454"/>
      <c r="O55" s="454"/>
      <c r="P55" s="454"/>
      <c r="Q55" s="454"/>
      <c r="R55" s="454"/>
      <c r="S55" s="454"/>
      <c r="T55" s="454"/>
      <c r="U55" s="454"/>
      <c r="V55" s="454"/>
      <c r="W55" s="454"/>
      <c r="X55" s="123">
        <f>+IF(H56="s",0,IF(AA55=0,0,IF(COUNTA(M55:W55)=AK57+0.75,SUMIF($C:$C,B55,$AA:$AA)/AK57,SUMIF($C:$C,B55,$AA:$AA)/(COUNTA(M55:W55)))))</f>
        <v>0</v>
      </c>
      <c r="Y55" s="466"/>
      <c r="Z55" s="534"/>
      <c r="AA55" s="134">
        <f t="shared" si="1"/>
        <v>0</v>
      </c>
      <c r="AB55" s="354">
        <f>+AA55+AC55</f>
        <v>0</v>
      </c>
      <c r="AC55" s="354">
        <v>0</v>
      </c>
      <c r="AD55" s="355">
        <f>+AB54-AB55</f>
        <v>0</v>
      </c>
      <c r="AE55" s="131" t="str">
        <f>+IF(((AA56+(AA57/2))*60)=0,"",(J55*AA55)/((AA56+(AA57/2))*60))</f>
        <v/>
      </c>
      <c r="AF55" s="347"/>
      <c r="AG55" s="347"/>
      <c r="AH55" s="341"/>
      <c r="AI55" s="341"/>
      <c r="AJ55" s="356"/>
      <c r="AK55" s="348"/>
      <c r="AL55" s="349"/>
      <c r="AM55" s="341"/>
      <c r="AN55" s="341"/>
      <c r="AO55" s="341"/>
      <c r="AP55" s="341"/>
      <c r="AQ55" s="339" t="str">
        <f t="shared" si="4"/>
        <v/>
      </c>
      <c r="AR55" s="434"/>
      <c r="AT55" s="390">
        <v>0</v>
      </c>
      <c r="AV55" s="390">
        <f t="shared" ref="AV55" si="37">+AT55-AD55</f>
        <v>0</v>
      </c>
    </row>
    <row r="56" spans="2:58" s="98" customFormat="1" ht="62.25" customHeight="1" x14ac:dyDescent="0.9">
      <c r="B56" s="357">
        <f>+B55</f>
        <v>12</v>
      </c>
      <c r="C56" s="408"/>
      <c r="D56" s="184"/>
      <c r="E56" s="111">
        <f>+B55</f>
        <v>12</v>
      </c>
      <c r="F56" s="409"/>
      <c r="G56" s="541"/>
      <c r="H56" s="411"/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53"/>
      <c r="N56" s="453"/>
      <c r="O56" s="453"/>
      <c r="P56" s="453"/>
      <c r="Q56" s="453"/>
      <c r="R56" s="453"/>
      <c r="S56" s="453"/>
      <c r="T56" s="453"/>
      <c r="U56" s="453"/>
      <c r="V56" s="453"/>
      <c r="W56" s="453"/>
      <c r="X56" s="160">
        <f>+IF(H56="l",IF(COUNTA(M55:W55)=AK57+0.75,AA55-K55*AK57,AA55-(K55*COUNTA(M55:W55))),IF(H56="s",0,IF(COUNTA(M55:W55)=AK57+0.75,SUMIF($C:$C,B55,$AA:$AA)-K55*AK57,SUMIF($C:$C,B55,$AA:$AA)-K55*COUNTA(M55:W55))))</f>
        <v>0</v>
      </c>
      <c r="Y56" s="466"/>
      <c r="Z56" s="534"/>
      <c r="AA56" s="462">
        <f t="shared" ref="AA56:AA57" si="38">+SUM(M56:W56)-U56*0.75</f>
        <v>0</v>
      </c>
      <c r="AB56" s="360"/>
      <c r="AC56" s="360"/>
      <c r="AD56" s="362"/>
      <c r="AE56" s="363"/>
      <c r="AF56" s="346"/>
      <c r="AG56" s="347"/>
      <c r="AH56" s="341"/>
      <c r="AI56" s="341"/>
      <c r="AJ56" s="341"/>
      <c r="AK56" s="348"/>
      <c r="AL56" s="349"/>
      <c r="AM56" s="341"/>
      <c r="AN56" s="341"/>
      <c r="AO56" s="341"/>
      <c r="AP56" s="341"/>
      <c r="AQ56" s="438"/>
      <c r="AR56" s="434"/>
      <c r="AT56" s="390"/>
      <c r="AV56" s="390"/>
    </row>
    <row r="57" spans="2:58" s="98" customFormat="1" ht="62.25" customHeight="1" thickBot="1" x14ac:dyDescent="0.95">
      <c r="B57" s="364">
        <f>+B55</f>
        <v>12</v>
      </c>
      <c r="C57" s="410"/>
      <c r="D57" s="174"/>
      <c r="E57" s="175">
        <f>+E56+100</f>
        <v>112</v>
      </c>
      <c r="F57" s="175"/>
      <c r="G57" s="542"/>
      <c r="H57" s="117"/>
      <c r="I57" s="442"/>
      <c r="J57" s="165" t="str">
        <f>+IF(K57="","",IF(K55=0,"",(K55*J55)/(K57*60)))</f>
        <v/>
      </c>
      <c r="K57" s="118"/>
      <c r="L57" s="104" t="s">
        <v>19</v>
      </c>
      <c r="M57" s="455"/>
      <c r="N57" s="455"/>
      <c r="O57" s="455"/>
      <c r="P57" s="455"/>
      <c r="Q57" s="455"/>
      <c r="R57" s="455"/>
      <c r="S57" s="455"/>
      <c r="T57" s="455"/>
      <c r="U57" s="455"/>
      <c r="V57" s="455"/>
      <c r="W57" s="455"/>
      <c r="X57" s="173"/>
      <c r="Y57" s="467"/>
      <c r="Z57" s="371"/>
      <c r="AA57" s="465">
        <f t="shared" si="38"/>
        <v>0</v>
      </c>
      <c r="AB57" s="367"/>
      <c r="AC57" s="367"/>
      <c r="AD57" s="368" t="str">
        <f>+IFERROR(AD55/(K55*$AQ$3),"")</f>
        <v/>
      </c>
      <c r="AE57" s="369"/>
      <c r="AF57" s="347"/>
      <c r="AG57" s="347"/>
      <c r="AH57" s="341"/>
      <c r="AI57" s="341"/>
      <c r="AJ57" s="356"/>
      <c r="AK57" s="370">
        <f>+$AJ$4</f>
        <v>8.25</v>
      </c>
      <c r="AL57" s="349"/>
      <c r="AM57" s="341"/>
      <c r="AN57" s="341"/>
      <c r="AO57" s="341"/>
      <c r="AP57" s="341"/>
      <c r="AQ57" s="369"/>
      <c r="AR57" s="434"/>
      <c r="AT57" s="390" t="s">
        <v>416</v>
      </c>
      <c r="AV57" s="390"/>
    </row>
    <row r="58" spans="2:58" s="98" customFormat="1" ht="62.25" customHeight="1" thickTop="1" x14ac:dyDescent="0.9">
      <c r="B58" s="342">
        <f>+B59</f>
        <v>13</v>
      </c>
      <c r="C58" s="405"/>
      <c r="D58" s="106"/>
      <c r="E58" s="106"/>
      <c r="F58" s="106"/>
      <c r="G58" s="540" t="s">
        <v>476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120</v>
      </c>
      <c r="N58" s="448">
        <v>60</v>
      </c>
      <c r="O58" s="448"/>
      <c r="P58" s="448"/>
      <c r="Q58" s="448"/>
      <c r="R58" s="448"/>
      <c r="S58" s="448"/>
      <c r="T58" s="448"/>
      <c r="U58" s="448"/>
      <c r="V58" s="448"/>
      <c r="W58" s="448"/>
      <c r="X58" s="447">
        <f t="shared" si="5"/>
        <v>180</v>
      </c>
      <c r="Y58" s="466">
        <v>-725</v>
      </c>
      <c r="Z58" s="533">
        <f>+X60</f>
        <v>-618</v>
      </c>
      <c r="AA58" s="447">
        <f t="shared" si="1"/>
        <v>180</v>
      </c>
      <c r="AB58" s="343">
        <f>+AC58+AA58</f>
        <v>2640</v>
      </c>
      <c r="AC58" s="343">
        <v>2460</v>
      </c>
      <c r="AD58" s="344"/>
      <c r="AE58" s="345"/>
      <c r="AF58" s="346"/>
      <c r="AG58" s="347">
        <f t="shared" si="2"/>
        <v>0</v>
      </c>
      <c r="AH58" s="341">
        <f t="shared" si="3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0.9">
      <c r="B59" s="351">
        <v>13</v>
      </c>
      <c r="C59" s="406">
        <f>+B59</f>
        <v>13</v>
      </c>
      <c r="D59" s="407" t="s">
        <v>474</v>
      </c>
      <c r="E59" s="111"/>
      <c r="F59" s="111" t="s">
        <v>475</v>
      </c>
      <c r="G59" s="541" t="str">
        <f t="shared" ref="G59:G61" si="39">+G58</f>
        <v>Cheristina-blanc</v>
      </c>
      <c r="H59" s="111"/>
      <c r="I59" s="111" t="s">
        <v>477</v>
      </c>
      <c r="J59" s="113">
        <v>22.52</v>
      </c>
      <c r="K59" s="130">
        <v>140</v>
      </c>
      <c r="L59" s="101" t="s">
        <v>17</v>
      </c>
      <c r="M59" s="214">
        <v>90</v>
      </c>
      <c r="N59" s="214">
        <v>90</v>
      </c>
      <c r="O59" s="214">
        <v>90</v>
      </c>
      <c r="P59" s="214">
        <v>90</v>
      </c>
      <c r="Q59" s="214">
        <v>90</v>
      </c>
      <c r="R59" s="214">
        <v>90</v>
      </c>
      <c r="S59" s="214">
        <v>90</v>
      </c>
      <c r="T59" s="214">
        <v>90</v>
      </c>
      <c r="U59" s="214">
        <v>90</v>
      </c>
      <c r="V59" s="214">
        <v>90</v>
      </c>
      <c r="W59" s="214">
        <v>22</v>
      </c>
      <c r="X59" s="123">
        <f>+IF(H60="s",0,IF(AA59=0,0,IF(COUNTA(M59:W59)=AK61+0.75,SUMIF($C:$C,B59,$AA:$AA)/AK61,SUMIF($C:$C,B59,$AA:$AA)/(COUNTA(M59:W59)))))</f>
        <v>83.818181818181813</v>
      </c>
      <c r="Y59" s="466"/>
      <c r="Z59" s="534"/>
      <c r="AA59" s="134">
        <f t="shared" si="1"/>
        <v>922</v>
      </c>
      <c r="AB59" s="354">
        <f>+AA59+AC59</f>
        <v>2162</v>
      </c>
      <c r="AC59" s="354">
        <v>1240</v>
      </c>
      <c r="AD59" s="355">
        <f>+AB58-AB59</f>
        <v>478</v>
      </c>
      <c r="AE59" s="131">
        <f>+IF(((AA60+(AA61/2))*60)=0,"",(J59*AA59)/((AA60+(AA61/2))*60))</f>
        <v>0.59639350854516726</v>
      </c>
      <c r="AF59" s="347">
        <f>+AA60+AA61/2</f>
        <v>580.25</v>
      </c>
      <c r="AG59" s="347">
        <f t="shared" si="2"/>
        <v>580.15</v>
      </c>
      <c r="AH59" s="341">
        <f t="shared" si="3"/>
        <v>34815</v>
      </c>
      <c r="AI59" s="341">
        <f>+AA59*J59</f>
        <v>20763.439999999999</v>
      </c>
      <c r="AJ59" s="356">
        <f>+AA59-(AF59*K59/K61)</f>
        <v>-478.60344827586209</v>
      </c>
      <c r="AK59" s="348"/>
      <c r="AL59" s="349"/>
      <c r="AM59" s="341"/>
      <c r="AN59" s="341"/>
      <c r="AO59" s="341"/>
      <c r="AP59" s="341"/>
      <c r="AQ59" s="339">
        <f>-180+AA58</f>
        <v>0</v>
      </c>
      <c r="AR59" s="434"/>
      <c r="AT59" s="390">
        <v>1220</v>
      </c>
      <c r="AV59" s="390">
        <f t="shared" ref="AV59" si="40">+AT59-AD59</f>
        <v>742</v>
      </c>
    </row>
    <row r="60" spans="2:58" s="98" customFormat="1" ht="62.25" customHeight="1" x14ac:dyDescent="0.9">
      <c r="B60" s="357">
        <f>+B59</f>
        <v>13</v>
      </c>
      <c r="C60" s="408"/>
      <c r="D60" s="184"/>
      <c r="E60" s="111">
        <f>+B59</f>
        <v>13</v>
      </c>
      <c r="F60" s="409"/>
      <c r="G60" s="541" t="str">
        <f t="shared" si="39"/>
        <v>Cheristina-blanc</v>
      </c>
      <c r="H60" s="411" t="s">
        <v>413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48">
        <v>57</v>
      </c>
      <c r="N60" s="448">
        <v>57</v>
      </c>
      <c r="O60" s="448">
        <v>57</v>
      </c>
      <c r="P60" s="448">
        <v>57</v>
      </c>
      <c r="Q60" s="448">
        <v>57</v>
      </c>
      <c r="R60" s="448">
        <v>57</v>
      </c>
      <c r="S60" s="448">
        <v>57</v>
      </c>
      <c r="T60" s="448">
        <v>57</v>
      </c>
      <c r="U60" s="448">
        <v>57</v>
      </c>
      <c r="V60" s="448">
        <v>55</v>
      </c>
      <c r="W60" s="448">
        <v>55</v>
      </c>
      <c r="X60" s="160">
        <f>+IF(H60="l",IF(COUNTA(M59:W59)=AK61+0.75,AA59-K59*AK61,AA59-(K59*COUNTA(M59:W59))),IF(H60="s",0,IF(COUNTA(M59:W59)=AK61+0.75,SUMIF($C:$C,B59,$AA:$AA)-K59*AK61,SUMIF($C:$C,B59,$AA:$AA)-K59*COUNTA(M59:W59))))</f>
        <v>-618</v>
      </c>
      <c r="Y60" s="466"/>
      <c r="Z60" s="534"/>
      <c r="AA60" s="462">
        <f t="shared" ref="AA60:AA61" si="41">+SUM(M60:W60)-U60*0.75</f>
        <v>580.25</v>
      </c>
      <c r="AB60" s="360"/>
      <c r="AC60" s="360"/>
      <c r="AD60" s="362"/>
      <c r="AE60" s="363"/>
      <c r="AF60" s="346"/>
      <c r="AG60" s="347">
        <f t="shared" si="2"/>
        <v>0</v>
      </c>
      <c r="AH60" s="341">
        <f t="shared" si="3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470.25</v>
      </c>
      <c r="AM60" s="341">
        <f>+AL60-AA60</f>
        <v>-110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13</v>
      </c>
      <c r="C61" s="410"/>
      <c r="D61" s="174" t="s">
        <v>379</v>
      </c>
      <c r="E61" s="175">
        <f>+E60+100</f>
        <v>113</v>
      </c>
      <c r="F61" s="175"/>
      <c r="G61" s="542" t="str">
        <f t="shared" si="39"/>
        <v>Cheristina-blanc</v>
      </c>
      <c r="H61" s="117"/>
      <c r="I61" s="442"/>
      <c r="J61" s="165">
        <f>+IF(K61="","",IF(K59=0,"",(K59*J59)/(K61*60)))</f>
        <v>0.9059770114942528</v>
      </c>
      <c r="K61" s="118">
        <v>58</v>
      </c>
      <c r="L61" s="104" t="s">
        <v>19</v>
      </c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173"/>
      <c r="Y61" s="467">
        <v>25.66215714285714</v>
      </c>
      <c r="Z61" s="371">
        <f>+IF(COUNTA(M59:W59)=$AJ$4+0.25,$AJ$4-(AA59/K59),COUNTA(M59:W59)-(AA59/K59))+Y61</f>
        <v>30.076442857142855</v>
      </c>
      <c r="AA61" s="465">
        <f t="shared" si="41"/>
        <v>0</v>
      </c>
      <c r="AB61" s="367"/>
      <c r="AC61" s="367"/>
      <c r="AD61" s="368">
        <f>+IFERROR(AD59/(K59*$AQ$3),"")</f>
        <v>0.39020408163265308</v>
      </c>
      <c r="AE61" s="369"/>
      <c r="AF61" s="347"/>
      <c r="AG61" s="347">
        <f t="shared" si="2"/>
        <v>0</v>
      </c>
      <c r="AH61" s="341">
        <f t="shared" si="3"/>
        <v>0</v>
      </c>
      <c r="AI61" s="341"/>
      <c r="AJ61" s="356"/>
      <c r="AK61" s="370">
        <f>+$AJ$4</f>
        <v>8.25</v>
      </c>
      <c r="AL61" s="349">
        <f>+IF(AK61=7.75,SUM(M61:S61)+T61*0.75,IF(AK61=8,SUM(M61:T61),IF(AK61=7.25,SUM(M61:S61)+T61*0.25,IF(AK61=8.25,SUM(M61:T61)+U61*0.25,IF(AK61=8.75,SUM(M61:T61)+U61*0.75,0)))))</f>
        <v>0</v>
      </c>
      <c r="AM61" s="341">
        <f>+AL61-AA61</f>
        <v>0</v>
      </c>
      <c r="AN61" s="341"/>
      <c r="AO61" s="341"/>
      <c r="AP61" s="341"/>
      <c r="AQ61" s="369"/>
      <c r="AR61" s="434"/>
      <c r="AT61" s="390">
        <v>0.99591836734693873</v>
      </c>
      <c r="AV61" s="390"/>
    </row>
    <row r="62" spans="2:58" s="98" customFormat="1" ht="62.25" customHeight="1" thickTop="1" x14ac:dyDescent="0.9">
      <c r="B62" s="342">
        <f>+B63</f>
        <v>13</v>
      </c>
      <c r="C62" s="405"/>
      <c r="D62" s="106"/>
      <c r="E62" s="106"/>
      <c r="F62" s="106"/>
      <c r="G62" s="539" t="s">
        <v>497</v>
      </c>
      <c r="H62" s="106"/>
      <c r="I62" s="106"/>
      <c r="J62" s="107" t="s">
        <v>20</v>
      </c>
      <c r="K62" s="108" t="s">
        <v>23</v>
      </c>
      <c r="L62" s="100" t="s">
        <v>21</v>
      </c>
      <c r="M62" s="448"/>
      <c r="N62" s="448"/>
      <c r="O62" s="448"/>
      <c r="P62" s="448"/>
      <c r="Q62" s="448"/>
      <c r="R62" s="448">
        <v>47</v>
      </c>
      <c r="S62" s="448"/>
      <c r="T62" s="448"/>
      <c r="U62" s="448"/>
      <c r="V62" s="448"/>
      <c r="W62" s="448"/>
      <c r="X62" s="447">
        <f t="shared" ref="X62" si="42">IF(AQ63="","",SUM(M62:W62)-(-(AQ63-SUM(M62:W62))/$AQ$3)*SUM($M$2:$W$2))</f>
        <v>47</v>
      </c>
      <c r="Y62" s="466">
        <v>-725</v>
      </c>
      <c r="Z62" s="533">
        <f>+X64</f>
        <v>0</v>
      </c>
      <c r="AA62" s="447">
        <f t="shared" ref="AA62:AA63" si="43">+SUM(L62:W62)</f>
        <v>47</v>
      </c>
      <c r="AB62" s="343">
        <f>+AC62+AA62</f>
        <v>47</v>
      </c>
      <c r="AC62" s="343"/>
      <c r="AD62" s="344"/>
      <c r="AE62" s="345"/>
      <c r="AF62" s="346"/>
      <c r="AG62" s="347">
        <f t="shared" ref="AG62:AG65" si="44">TRUNC(AF62)+(AF62-TRUNC(AF62))*60/100</f>
        <v>0</v>
      </c>
      <c r="AH62" s="341">
        <f t="shared" ref="AH62:AH65" si="45">+AF62*60</f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0.9">
      <c r="B63" s="351">
        <v>13</v>
      </c>
      <c r="C63" s="406">
        <f>+B63</f>
        <v>13</v>
      </c>
      <c r="D63" s="407" t="s">
        <v>496</v>
      </c>
      <c r="E63" s="111"/>
      <c r="F63" s="111" t="s">
        <v>35</v>
      </c>
      <c r="G63" s="539" t="str">
        <f>+G62</f>
        <v>2397-582-401</v>
      </c>
      <c r="H63" s="111"/>
      <c r="I63" s="111" t="s">
        <v>41</v>
      </c>
      <c r="J63" s="113"/>
      <c r="K63" s="130"/>
      <c r="L63" s="101" t="s">
        <v>17</v>
      </c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123">
        <f>+IF(H64="s",0,IF(AA63=0,0,IF(COUNTA(M63:W63)=AK65+0.75,SUMIF($C:$C,B63,$AA:$AA)/AK65,SUMIF($C:$C,B63,$AA:$AA)/(COUNTA(M63:W63)))))</f>
        <v>0</v>
      </c>
      <c r="Y63" s="466"/>
      <c r="Z63" s="534"/>
      <c r="AA63" s="134">
        <f t="shared" si="43"/>
        <v>0</v>
      </c>
      <c r="AB63" s="354">
        <f>+AA63+AC63</f>
        <v>0</v>
      </c>
      <c r="AC63" s="354"/>
      <c r="AD63" s="355">
        <f>+AB62-AB63</f>
        <v>47</v>
      </c>
      <c r="AE63" s="131" t="str">
        <f>+IF(((AA64+(AA65/2))*60)=0,"",(J63*AA63)/((AA64+(AA65/2))*60))</f>
        <v/>
      </c>
      <c r="AF63" s="347">
        <f>+AA64+AA65/2</f>
        <v>0</v>
      </c>
      <c r="AG63" s="347">
        <f t="shared" si="44"/>
        <v>0</v>
      </c>
      <c r="AH63" s="341">
        <f t="shared" si="45"/>
        <v>0</v>
      </c>
      <c r="AI63" s="341">
        <f>+AA63*J63</f>
        <v>0</v>
      </c>
      <c r="AJ63" s="356" t="e">
        <f>+AA63-(AF63*K63/K65)</f>
        <v>#DIV/0!</v>
      </c>
      <c r="AK63" s="348"/>
      <c r="AL63" s="349"/>
      <c r="AM63" s="341"/>
      <c r="AN63" s="341"/>
      <c r="AO63" s="341"/>
      <c r="AP63" s="341"/>
      <c r="AQ63" s="339">
        <f>-47+AA62</f>
        <v>0</v>
      </c>
      <c r="AR63" s="434"/>
      <c r="AT63" s="390">
        <v>1220</v>
      </c>
      <c r="AV63" s="390">
        <f t="shared" ref="AV63" si="46">+AT63-AD63</f>
        <v>1173</v>
      </c>
    </row>
    <row r="64" spans="2:58" s="98" customFormat="1" ht="62.25" customHeight="1" x14ac:dyDescent="0.9">
      <c r="B64" s="357">
        <f>+B63</f>
        <v>13</v>
      </c>
      <c r="C64" s="408"/>
      <c r="D64" s="184"/>
      <c r="E64" s="111">
        <f>+B63</f>
        <v>13</v>
      </c>
      <c r="F64" s="409"/>
      <c r="G64" s="539" t="str">
        <f>+G63</f>
        <v>2397-582-401</v>
      </c>
      <c r="H64" s="411" t="s">
        <v>413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48"/>
      <c r="N64" s="448"/>
      <c r="O64" s="448"/>
      <c r="P64" s="448"/>
      <c r="Q64" s="448"/>
      <c r="R64" s="448"/>
      <c r="S64" s="448"/>
      <c r="T64" s="448"/>
      <c r="U64" s="448"/>
      <c r="V64" s="448"/>
      <c r="W64" s="448"/>
      <c r="X64" s="160">
        <f>+IF(H64="l",IF(COUNTA(M63:W63)=AK65+0.75,AA63-K63*AK65,AA63-(K63*COUNTA(M63:W63))),IF(H64="s",0,IF(COUNTA(M63:W63)=AK65+0.75,SUMIF($C:$C,B63,$AA:$AA)-K63*AK65,SUMIF($C:$C,B63,$AA:$AA)-K63*COUNTA(M63:W63))))</f>
        <v>0</v>
      </c>
      <c r="Y64" s="466"/>
      <c r="Z64" s="534"/>
      <c r="AA64" s="462">
        <f t="shared" ref="AA64:AA65" si="47">+SUM(M64:W64)-U64*0.75</f>
        <v>0</v>
      </c>
      <c r="AB64" s="360"/>
      <c r="AC64" s="360"/>
      <c r="AD64" s="362"/>
      <c r="AE64" s="363"/>
      <c r="AF64" s="346"/>
      <c r="AG64" s="347">
        <f t="shared" si="44"/>
        <v>0</v>
      </c>
      <c r="AH64" s="341">
        <f t="shared" si="45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0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9" s="98" customFormat="1" ht="62.25" customHeight="1" thickBot="1" x14ac:dyDescent="0.95">
      <c r="B65" s="364">
        <f>+B63</f>
        <v>13</v>
      </c>
      <c r="C65" s="410"/>
      <c r="D65" s="174" t="s">
        <v>379</v>
      </c>
      <c r="E65" s="175">
        <f>+E64+100</f>
        <v>113</v>
      </c>
      <c r="F65" s="175"/>
      <c r="G65" s="539" t="str">
        <f>+G64</f>
        <v>2397-582-401</v>
      </c>
      <c r="H65" s="117"/>
      <c r="I65" s="442"/>
      <c r="J65" s="165" t="str">
        <f>+IF(K65="","",IF(K63=0,"",(K63*J63)/(K65*60)))</f>
        <v/>
      </c>
      <c r="K65" s="118"/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>
        <v>0</v>
      </c>
      <c r="Z65" s="371" t="e">
        <f>+IF(COUNTA(M63:W63)=$AJ$4+0.25,$AJ$4-(AA63/K63),COUNTA(M63:W63)-(AA63/K63))+Y65</f>
        <v>#DIV/0!</v>
      </c>
      <c r="AA65" s="465">
        <f t="shared" si="47"/>
        <v>0</v>
      </c>
      <c r="AB65" s="367"/>
      <c r="AC65" s="367"/>
      <c r="AD65" s="368" t="str">
        <f>+IFERROR(AD63/(K63*$AQ$3),"")</f>
        <v/>
      </c>
      <c r="AE65" s="369"/>
      <c r="AF65" s="347"/>
      <c r="AG65" s="347">
        <f t="shared" si="44"/>
        <v>0</v>
      </c>
      <c r="AH65" s="341">
        <f t="shared" si="45"/>
        <v>0</v>
      </c>
      <c r="AI65" s="341"/>
      <c r="AJ65" s="356"/>
      <c r="AK65" s="370">
        <f>+$AJ$4</f>
        <v>8.25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>
        <v>0.99591836734693873</v>
      </c>
      <c r="AV65" s="390"/>
    </row>
    <row r="66" spans="2:59" s="98" customFormat="1" ht="58.5" customHeight="1" thickTop="1" x14ac:dyDescent="0.9">
      <c r="B66" s="373">
        <f>+B67</f>
        <v>14</v>
      </c>
      <c r="C66" s="405"/>
      <c r="D66" s="106"/>
      <c r="E66" s="106"/>
      <c r="F66" s="106"/>
      <c r="G66" s="540" t="s">
        <v>481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180</v>
      </c>
      <c r="N66" s="448">
        <v>120</v>
      </c>
      <c r="O66" s="448">
        <v>120</v>
      </c>
      <c r="P66" s="448">
        <v>120</v>
      </c>
      <c r="Q66" s="448"/>
      <c r="R66" s="448"/>
      <c r="S66" s="448"/>
      <c r="T66" s="448"/>
      <c r="U66" s="448"/>
      <c r="V66" s="448"/>
      <c r="W66" s="448"/>
      <c r="X66" s="447">
        <f t="shared" si="5"/>
        <v>540</v>
      </c>
      <c r="Y66" s="466">
        <v>0</v>
      </c>
      <c r="Z66" s="533">
        <f>+X68</f>
        <v>0</v>
      </c>
      <c r="AA66" s="447">
        <f t="shared" si="1"/>
        <v>540</v>
      </c>
      <c r="AB66" s="343">
        <f>+AC66+AA66</f>
        <v>3420</v>
      </c>
      <c r="AC66" s="343">
        <v>2880</v>
      </c>
      <c r="AD66" s="344"/>
      <c r="AE66" s="345"/>
      <c r="AF66" s="346"/>
      <c r="AG66" s="347">
        <f t="shared" si="2"/>
        <v>0</v>
      </c>
      <c r="AH66" s="341">
        <f t="shared" si="3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9" s="98" customFormat="1" ht="58.5" customHeight="1" x14ac:dyDescent="0.9">
      <c r="B67" s="374">
        <v>14</v>
      </c>
      <c r="C67" s="406">
        <f>+B67</f>
        <v>14</v>
      </c>
      <c r="D67" s="407" t="s">
        <v>480</v>
      </c>
      <c r="E67" s="111"/>
      <c r="F67" s="111" t="s">
        <v>35</v>
      </c>
      <c r="G67" s="541" t="str">
        <f t="shared" ref="G67:G69" si="48">+G66</f>
        <v>2396-593-600</v>
      </c>
      <c r="H67" s="111"/>
      <c r="I67" s="111" t="s">
        <v>33</v>
      </c>
      <c r="J67" s="113">
        <v>38.82</v>
      </c>
      <c r="K67" s="130">
        <v>60</v>
      </c>
      <c r="L67" s="101" t="s">
        <v>17</v>
      </c>
      <c r="M67" s="214">
        <v>60</v>
      </c>
      <c r="N67" s="214">
        <v>60</v>
      </c>
      <c r="O67" s="214">
        <v>60</v>
      </c>
      <c r="P67" s="214">
        <v>60</v>
      </c>
      <c r="Q67" s="214">
        <v>60</v>
      </c>
      <c r="R67" s="214">
        <v>60</v>
      </c>
      <c r="S67" s="214">
        <v>60</v>
      </c>
      <c r="T67" s="214">
        <v>60</v>
      </c>
      <c r="U67" s="214">
        <v>15</v>
      </c>
      <c r="V67" s="214"/>
      <c r="W67" s="214"/>
      <c r="X67" s="123">
        <f>+IF(H68="s",0,IF(AA67=0,0,IF(COUNTA(M67:W67)=AK69+0.75,SUMIF($C:$C,B67,$AA:$AA)/AK69,SUMIF($C:$C,B67,$AA:$AA)/(COUNTA(M67:W67)))))</f>
        <v>60</v>
      </c>
      <c r="Y67" s="466"/>
      <c r="Z67" s="534"/>
      <c r="AA67" s="134">
        <f t="shared" si="1"/>
        <v>495</v>
      </c>
      <c r="AB67" s="354">
        <f>+AA67+AC67</f>
        <v>2600</v>
      </c>
      <c r="AC67" s="354">
        <v>2105</v>
      </c>
      <c r="AD67" s="355">
        <f>+AB66-AB67</f>
        <v>820</v>
      </c>
      <c r="AE67" s="131">
        <f>+IF(((AA68+(AA69/2))*60)=0,"",(J67*AA67)/((AA68+(AA69/2))*60))</f>
        <v>0.9015200562983815</v>
      </c>
      <c r="AF67" s="347">
        <f>+AA68+AA69/2</f>
        <v>355.25</v>
      </c>
      <c r="AG67" s="347">
        <f t="shared" si="2"/>
        <v>355.15</v>
      </c>
      <c r="AH67" s="341">
        <f t="shared" si="3"/>
        <v>21315</v>
      </c>
      <c r="AI67" s="341">
        <f>+AA67*J67</f>
        <v>19215.900000000001</v>
      </c>
      <c r="AJ67" s="356">
        <f>+AA67-(AF67*K67/K69)</f>
        <v>-0.69767441860466306</v>
      </c>
      <c r="AK67" s="348"/>
      <c r="AL67" s="349"/>
      <c r="AM67" s="341"/>
      <c r="AN67" s="341"/>
      <c r="AO67" s="341"/>
      <c r="AP67" s="341"/>
      <c r="AQ67" s="339">
        <f t="shared" si="4"/>
        <v>2.5</v>
      </c>
      <c r="AR67" s="434">
        <v>1.5</v>
      </c>
      <c r="AT67" s="390">
        <v>775</v>
      </c>
      <c r="AV67" s="390">
        <f t="shared" ref="AV67" si="49">+AT67-AD67</f>
        <v>-45</v>
      </c>
    </row>
    <row r="68" spans="2:59" s="98" customFormat="1" ht="58.5" customHeight="1" x14ac:dyDescent="0.9">
      <c r="B68" s="357">
        <f>+B67</f>
        <v>14</v>
      </c>
      <c r="C68" s="408"/>
      <c r="D68" s="184"/>
      <c r="E68" s="111">
        <f>+B67</f>
        <v>14</v>
      </c>
      <c r="F68" s="409"/>
      <c r="G68" s="541" t="str">
        <f t="shared" si="48"/>
        <v>2396-593-600</v>
      </c>
      <c r="H68" s="411" t="s">
        <v>413</v>
      </c>
      <c r="I68" s="113">
        <f>+IFERROR(IF(K69=0,0,IF((LOOKUP(2,1/(M68:W68&lt;&gt;""),M68:W68)-K69)&lt;0,0,IF(K69=0,"",LOOKUP(2,1/(M68:W68&lt;&gt;""),M68:W68)-K69))),0)</f>
        <v>0</v>
      </c>
      <c r="J68" s="113">
        <v>2</v>
      </c>
      <c r="K68" s="114" t="s">
        <v>22</v>
      </c>
      <c r="L68" s="102" t="s">
        <v>18</v>
      </c>
      <c r="M68" s="448">
        <v>42</v>
      </c>
      <c r="N68" s="448">
        <v>41</v>
      </c>
      <c r="O68" s="448">
        <v>41</v>
      </c>
      <c r="P68" s="448">
        <v>41</v>
      </c>
      <c r="Q68" s="448">
        <v>41</v>
      </c>
      <c r="R68" s="448">
        <v>41</v>
      </c>
      <c r="S68" s="448">
        <v>41</v>
      </c>
      <c r="T68" s="448">
        <v>41</v>
      </c>
      <c r="U68" s="448">
        <v>41</v>
      </c>
      <c r="V68" s="448"/>
      <c r="W68" s="448"/>
      <c r="X68" s="160">
        <f>+IF(H68="l",IF(COUNTA(M67:W67)=AK69+0.75,AA67-K67*AK69,AA67-(K67*COUNTA(M67:W67))),IF(H68="s",0,IF(COUNTA(M67:W67)=AK69+0.75,SUMIF($C:$C,B67,$AA:$AA)-K67*AK69,SUMIF($C:$C,B67,$AA:$AA)-K67*COUNTA(M67:W67))))</f>
        <v>0</v>
      </c>
      <c r="Y68" s="466"/>
      <c r="Z68" s="534"/>
      <c r="AA68" s="462">
        <f t="shared" ref="AA68:AA69" si="50">+SUM(M68:W68)-U68*0.75</f>
        <v>339.25</v>
      </c>
      <c r="AB68" s="360"/>
      <c r="AC68" s="360"/>
      <c r="AD68" s="362"/>
      <c r="AE68" s="363"/>
      <c r="AF68" s="346"/>
      <c r="AG68" s="347">
        <f t="shared" si="2"/>
        <v>0</v>
      </c>
      <c r="AH68" s="341">
        <f t="shared" si="3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339.25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9" s="98" customFormat="1" ht="58.5" customHeight="1" thickBot="1" x14ac:dyDescent="0.95">
      <c r="B69" s="364">
        <f>+B67</f>
        <v>14</v>
      </c>
      <c r="C69" s="410"/>
      <c r="D69" s="174" t="s">
        <v>112</v>
      </c>
      <c r="E69" s="175">
        <f>+E68+100</f>
        <v>114</v>
      </c>
      <c r="F69" s="175"/>
      <c r="G69" s="542" t="str">
        <f t="shared" si="48"/>
        <v>2396-593-600</v>
      </c>
      <c r="H69" s="117"/>
      <c r="I69" s="442"/>
      <c r="J69" s="165">
        <f>+IF(K69="","",IF(K67=0,"",(K67*J67)/(K69*60)))</f>
        <v>0.90279069767441855</v>
      </c>
      <c r="K69" s="118">
        <v>43</v>
      </c>
      <c r="L69" s="104" t="s">
        <v>19</v>
      </c>
      <c r="M69" s="216">
        <v>3</v>
      </c>
      <c r="N69" s="216">
        <v>4</v>
      </c>
      <c r="O69" s="216">
        <v>4</v>
      </c>
      <c r="P69" s="216">
        <v>4</v>
      </c>
      <c r="Q69" s="216">
        <v>4</v>
      </c>
      <c r="R69" s="216">
        <v>4</v>
      </c>
      <c r="S69" s="216">
        <v>4</v>
      </c>
      <c r="T69" s="216">
        <v>4</v>
      </c>
      <c r="U69" s="216">
        <v>4</v>
      </c>
      <c r="V69" s="216"/>
      <c r="W69" s="216"/>
      <c r="X69" s="173"/>
      <c r="Y69" s="467">
        <v>10.166666666666668</v>
      </c>
      <c r="Z69" s="365">
        <v>10.166666666666668</v>
      </c>
      <c r="AA69" s="465">
        <f t="shared" si="50"/>
        <v>32</v>
      </c>
      <c r="AB69" s="367"/>
      <c r="AC69" s="367"/>
      <c r="AD69" s="368">
        <f>+IFERROR(AD67/(K67*$AQ$3),"")</f>
        <v>1.5619047619047619</v>
      </c>
      <c r="AE69" s="369"/>
      <c r="AF69" s="347"/>
      <c r="AG69" s="347">
        <f t="shared" si="2"/>
        <v>0</v>
      </c>
      <c r="AH69" s="341">
        <f t="shared" si="3"/>
        <v>0</v>
      </c>
      <c r="AI69" s="341"/>
      <c r="AJ69" s="356"/>
      <c r="AK69" s="370">
        <f>+$AJ$4</f>
        <v>8.25</v>
      </c>
      <c r="AL69" s="349">
        <f>+IF(AK69=7.75,SUM(M69:S69)+T69*0.75,IF(AK69=8,SUM(M69:T69),IF(AK69=7.25,SUM(M69:S69)+T69*0.25,IF(AK69=8.25,SUM(M69:T69)+U69*0.25,IF(AK69=8.75,SUM(M69:T69)+U69*0.75,0)))))</f>
        <v>32</v>
      </c>
      <c r="AM69" s="341">
        <f>+AL69-AA69</f>
        <v>0</v>
      </c>
      <c r="AN69" s="341"/>
      <c r="AO69" s="341"/>
      <c r="AP69" s="341"/>
      <c r="AQ69" s="369"/>
      <c r="AR69" s="434"/>
      <c r="AT69" s="390">
        <v>1.4761904761904763</v>
      </c>
      <c r="AV69" s="390"/>
    </row>
    <row r="70" spans="2:59" s="98" customFormat="1" ht="62.25" customHeight="1" thickTop="1" x14ac:dyDescent="0.9">
      <c r="B70" s="342">
        <f>+B71</f>
        <v>15</v>
      </c>
      <c r="C70" s="405"/>
      <c r="D70" s="106"/>
      <c r="E70" s="106"/>
      <c r="F70" s="106"/>
      <c r="G70" s="540" t="s">
        <v>486</v>
      </c>
      <c r="H70" s="106"/>
      <c r="I70" s="106"/>
      <c r="J70" s="107" t="s">
        <v>20</v>
      </c>
      <c r="K70" s="108" t="s">
        <v>23</v>
      </c>
      <c r="L70" s="100" t="s">
        <v>21</v>
      </c>
      <c r="M70" s="448">
        <v>140</v>
      </c>
      <c r="N70" s="448">
        <v>140</v>
      </c>
      <c r="O70" s="448">
        <v>70</v>
      </c>
      <c r="P70" s="448">
        <v>70</v>
      </c>
      <c r="Q70" s="448">
        <v>70</v>
      </c>
      <c r="R70" s="448">
        <v>70</v>
      </c>
      <c r="S70" s="448"/>
      <c r="T70" s="448"/>
      <c r="U70" s="448"/>
      <c r="V70" s="448"/>
      <c r="W70" s="448"/>
      <c r="X70" s="447">
        <f t="shared" si="5"/>
        <v>560</v>
      </c>
      <c r="Y70" s="466">
        <v>-280</v>
      </c>
      <c r="Z70" s="533">
        <f>+X72</f>
        <v>-204</v>
      </c>
      <c r="AA70" s="447">
        <f t="shared" si="1"/>
        <v>560</v>
      </c>
      <c r="AB70" s="343">
        <f>+AC70+AA70</f>
        <v>3073</v>
      </c>
      <c r="AC70" s="343">
        <v>2513</v>
      </c>
      <c r="AD70" s="344"/>
      <c r="AE70" s="345"/>
      <c r="AF70" s="346"/>
      <c r="AG70" s="347">
        <f t="shared" si="2"/>
        <v>0</v>
      </c>
      <c r="AH70" s="341">
        <f t="shared" si="3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9" s="98" customFormat="1" ht="62.25" customHeight="1" x14ac:dyDescent="1.35">
      <c r="B71" s="351">
        <v>15</v>
      </c>
      <c r="C71" s="406">
        <f>+B71</f>
        <v>15</v>
      </c>
      <c r="D71" s="407" t="s">
        <v>485</v>
      </c>
      <c r="E71" s="111"/>
      <c r="F71" s="111" t="s">
        <v>475</v>
      </c>
      <c r="G71" s="541" t="str">
        <f>+G70</f>
        <v>SARAH</v>
      </c>
      <c r="H71" s="111"/>
      <c r="I71" s="111" t="s">
        <v>487</v>
      </c>
      <c r="J71" s="113">
        <v>27.55</v>
      </c>
      <c r="K71" s="130">
        <v>100</v>
      </c>
      <c r="L71" s="101" t="s">
        <v>17</v>
      </c>
      <c r="M71" s="214">
        <v>50</v>
      </c>
      <c r="N71" s="214">
        <v>70</v>
      </c>
      <c r="O71" s="214">
        <v>80</v>
      </c>
      <c r="P71" s="214">
        <v>80</v>
      </c>
      <c r="Q71" s="214">
        <v>80</v>
      </c>
      <c r="R71" s="214">
        <v>80</v>
      </c>
      <c r="S71" s="214">
        <v>80</v>
      </c>
      <c r="T71" s="214">
        <v>80</v>
      </c>
      <c r="U71" s="214">
        <v>21</v>
      </c>
      <c r="V71" s="214"/>
      <c r="W71" s="214"/>
      <c r="X71" s="123">
        <f>+IF(H72="s",0,IF(AA71=0,0,IF(COUNTA(M71:W71)=AK73+0.75,SUMIF($C:$C,B71,$AA:$AA)/AK73,SUMIF($C:$C,B71,$AA:$AA)/(COUNTA(M71:W71)))))</f>
        <v>75.272727272727266</v>
      </c>
      <c r="Y71" s="466"/>
      <c r="Z71" s="534"/>
      <c r="AA71" s="134">
        <f t="shared" si="1"/>
        <v>621</v>
      </c>
      <c r="AB71" s="354">
        <f>+AA71+AC71</f>
        <v>1521</v>
      </c>
      <c r="AC71" s="354">
        <v>900</v>
      </c>
      <c r="AD71" s="355">
        <f>+AB70-AB71</f>
        <v>1552</v>
      </c>
      <c r="AE71" s="131">
        <f>+IF(((AA72+(AA73/2))*60)=0,"",(J71*AA71)/((AA72+(AA73/2))*60))</f>
        <v>0.61719155844155837</v>
      </c>
      <c r="AF71" s="347">
        <f>+AA72+AA73/2</f>
        <v>462</v>
      </c>
      <c r="AG71" s="347">
        <f t="shared" si="2"/>
        <v>462</v>
      </c>
      <c r="AH71" s="341">
        <f t="shared" si="3"/>
        <v>27720</v>
      </c>
      <c r="AI71" s="341">
        <f>+AA71*J71</f>
        <v>17108.55</v>
      </c>
      <c r="AJ71" s="356">
        <f>+AA71-(AF71*K71/K73)</f>
        <v>-204</v>
      </c>
      <c r="AK71" s="348"/>
      <c r="AL71" s="349"/>
      <c r="AM71" s="341"/>
      <c r="AN71" s="341"/>
      <c r="AO71" s="341"/>
      <c r="AP71" s="341"/>
      <c r="AQ71" s="339">
        <f t="shared" si="4"/>
        <v>3</v>
      </c>
      <c r="AR71" s="434">
        <v>1.48</v>
      </c>
      <c r="AT71" s="390">
        <v>1613</v>
      </c>
      <c r="AV71" s="390">
        <f t="shared" ref="AV71" si="51">+AT71-AD71</f>
        <v>61</v>
      </c>
      <c r="AW71" s="535"/>
      <c r="AX71" s="535"/>
      <c r="AY71" s="535"/>
      <c r="AZ71" s="535"/>
      <c r="BA71" s="535"/>
      <c r="BB71" s="535"/>
      <c r="BC71" s="535"/>
      <c r="BD71" s="535"/>
      <c r="BE71" s="535"/>
      <c r="BF71" s="535"/>
    </row>
    <row r="72" spans="2:59" s="98" customFormat="1" ht="62.25" customHeight="1" x14ac:dyDescent="0.9">
      <c r="B72" s="357">
        <f>+B71</f>
        <v>15</v>
      </c>
      <c r="C72" s="408"/>
      <c r="D72" s="184"/>
      <c r="E72" s="111">
        <f>+B71</f>
        <v>15</v>
      </c>
      <c r="F72" s="412"/>
      <c r="G72" s="541" t="str">
        <f>+G70</f>
        <v>SARAH</v>
      </c>
      <c r="H72" s="411" t="s">
        <v>412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48">
        <v>55</v>
      </c>
      <c r="N72" s="448">
        <v>55</v>
      </c>
      <c r="O72" s="448">
        <v>55</v>
      </c>
      <c r="P72" s="448">
        <v>55</v>
      </c>
      <c r="Q72" s="448">
        <v>55</v>
      </c>
      <c r="R72" s="448">
        <v>55</v>
      </c>
      <c r="S72" s="448">
        <v>55</v>
      </c>
      <c r="T72" s="448">
        <v>55</v>
      </c>
      <c r="U72" s="448">
        <v>55</v>
      </c>
      <c r="V72" s="448"/>
      <c r="W72" s="448"/>
      <c r="X72" s="160">
        <f>+IF(H72="l",IF(COUNTA(M71:W71)=AK73+0.75,AA71-K71*AK73,AA71-(K71*COUNTA(M71:W71))),IF(H72="s",0,IF(COUNTA(M71:W71)=AK73+0.75,SUMIF($C:$C,B71,$AA:$AA)-K71*AK73,SUMIF($C:$C,B71,$AA:$AA)-K71*COUNTA(M71:W71))))</f>
        <v>-204</v>
      </c>
      <c r="Y72" s="466"/>
      <c r="Z72" s="534"/>
      <c r="AA72" s="462">
        <f t="shared" ref="AA72:AA73" si="52">+SUM(M72:W72)-U72*0.75</f>
        <v>453.75</v>
      </c>
      <c r="AB72" s="360"/>
      <c r="AC72" s="360"/>
      <c r="AD72" s="362"/>
      <c r="AE72" s="363"/>
      <c r="AF72" s="346"/>
      <c r="AG72" s="347">
        <f t="shared" si="2"/>
        <v>0</v>
      </c>
      <c r="AH72" s="341">
        <f t="shared" si="3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453.75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9" s="98" customFormat="1" ht="62.25" customHeight="1" thickBot="1" x14ac:dyDescent="0.95">
      <c r="B73" s="364">
        <f>+B71</f>
        <v>15</v>
      </c>
      <c r="C73" s="410"/>
      <c r="D73" s="174" t="s">
        <v>93</v>
      </c>
      <c r="E73" s="175">
        <f>+E72+100</f>
        <v>115</v>
      </c>
      <c r="F73" s="175"/>
      <c r="G73" s="542" t="str">
        <f>+G70</f>
        <v>SARAH</v>
      </c>
      <c r="H73" s="117"/>
      <c r="I73" s="442"/>
      <c r="J73" s="165">
        <f>+IF(K73="","",IF(K71=0,"",(K71*J71)/(K73*60)))</f>
        <v>0.81994047619047616</v>
      </c>
      <c r="K73" s="118">
        <v>56</v>
      </c>
      <c r="L73" s="104" t="s">
        <v>19</v>
      </c>
      <c r="M73" s="216">
        <v>2</v>
      </c>
      <c r="N73" s="216">
        <v>2</v>
      </c>
      <c r="O73" s="216">
        <v>2</v>
      </c>
      <c r="P73" s="216">
        <v>2</v>
      </c>
      <c r="Q73" s="216">
        <v>2</v>
      </c>
      <c r="R73" s="216">
        <v>2</v>
      </c>
      <c r="S73" s="216">
        <v>2</v>
      </c>
      <c r="T73" s="216">
        <v>2</v>
      </c>
      <c r="U73" s="216">
        <v>2</v>
      </c>
      <c r="V73" s="216"/>
      <c r="W73" s="216"/>
      <c r="X73" s="173"/>
      <c r="Y73" s="467">
        <v>20.982800000000001</v>
      </c>
      <c r="Z73" s="371">
        <f>+IF(COUNTA(M71:W71)=$AJ$4+0.25,$AJ$4-(AA71/K71),COUNTA(M71:W71)-(AA71/K71))+Y73</f>
        <v>23.7728</v>
      </c>
      <c r="AA73" s="465">
        <f t="shared" si="52"/>
        <v>16.5</v>
      </c>
      <c r="AB73" s="367"/>
      <c r="AC73" s="367"/>
      <c r="AD73" s="368">
        <f>+IFERROR(AD71/(K71*$AQ$3),"")</f>
        <v>1.7737142857142858</v>
      </c>
      <c r="AE73" s="369"/>
      <c r="AF73" s="347"/>
      <c r="AG73" s="347">
        <f t="shared" si="2"/>
        <v>0</v>
      </c>
      <c r="AH73" s="341">
        <f t="shared" si="3"/>
        <v>0</v>
      </c>
      <c r="AI73" s="341"/>
      <c r="AJ73" s="356"/>
      <c r="AK73" s="370">
        <f>+$AJ$4</f>
        <v>8.25</v>
      </c>
      <c r="AL73" s="349">
        <f>+IF(AK73=7.75,SUM(M73:S73)+T73*0.75,IF(AK73=8,SUM(M73:T73),IF(AK73=7.25,SUM(M73:S73)+T73*0.25,IF(AK73=8.25,SUM(M73:T73)+U73*0.25,IF(AK73=8.75,SUM(M73:T73)+U73*0.75,0)))))</f>
        <v>16.5</v>
      </c>
      <c r="AM73" s="341">
        <f>+AL73-AA73</f>
        <v>0</v>
      </c>
      <c r="AN73" s="341"/>
      <c r="AO73" s="341"/>
      <c r="AP73" s="341"/>
      <c r="AQ73" s="369"/>
      <c r="AR73" s="434"/>
      <c r="AT73" s="390">
        <v>1.8434285714285714</v>
      </c>
      <c r="AV73" s="390"/>
    </row>
    <row r="74" spans="2:59" s="98" customFormat="1" ht="62.25" customHeight="1" thickTop="1" x14ac:dyDescent="0.9">
      <c r="B74" s="373">
        <f>+B75</f>
        <v>16</v>
      </c>
      <c r="C74" s="405"/>
      <c r="D74" s="106"/>
      <c r="E74" s="106"/>
      <c r="F74" s="106"/>
      <c r="G74" s="540" t="s">
        <v>476</v>
      </c>
      <c r="H74" s="106"/>
      <c r="I74" s="106"/>
      <c r="J74" s="107" t="s">
        <v>20</v>
      </c>
      <c r="K74" s="108" t="s">
        <v>23</v>
      </c>
      <c r="L74" s="100" t="s">
        <v>21</v>
      </c>
      <c r="M74" s="448"/>
      <c r="N74" s="448"/>
      <c r="O74" s="448"/>
      <c r="P74" s="448"/>
      <c r="Q74" s="448"/>
      <c r="R74" s="448"/>
      <c r="S74" s="448"/>
      <c r="T74" s="448"/>
      <c r="U74" s="448"/>
      <c r="V74" s="448"/>
      <c r="W74" s="448"/>
      <c r="X74" s="447" t="str">
        <f t="shared" si="5"/>
        <v/>
      </c>
      <c r="Y74" s="466">
        <v>-559</v>
      </c>
      <c r="Z74" s="533">
        <f>+X76</f>
        <v>-473</v>
      </c>
      <c r="AA74" s="447">
        <f t="shared" ref="AA74:AA87" si="53">+SUM(L74:W74)</f>
        <v>0</v>
      </c>
      <c r="AB74" s="343">
        <f>+AC74+AA74</f>
        <v>6180</v>
      </c>
      <c r="AC74" s="343">
        <v>6180</v>
      </c>
      <c r="AD74" s="344"/>
      <c r="AE74" s="345"/>
      <c r="AF74" s="346"/>
      <c r="AG74" s="347">
        <f t="shared" si="2"/>
        <v>0</v>
      </c>
      <c r="AH74" s="341">
        <f t="shared" si="3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9" s="98" customFormat="1" ht="62.25" customHeight="1" x14ac:dyDescent="0.9">
      <c r="B75" s="374">
        <v>16</v>
      </c>
      <c r="C75" s="406">
        <f>+B75</f>
        <v>16</v>
      </c>
      <c r="D75" s="407" t="s">
        <v>474</v>
      </c>
      <c r="E75" s="111"/>
      <c r="F75" s="111" t="s">
        <v>475</v>
      </c>
      <c r="G75" s="541" t="str">
        <f t="shared" ref="G75:G77" si="54">+G74</f>
        <v>Cheristina-blanc</v>
      </c>
      <c r="H75" s="111"/>
      <c r="I75" s="111" t="s">
        <v>477</v>
      </c>
      <c r="J75" s="113">
        <v>22.52</v>
      </c>
      <c r="K75" s="130">
        <v>140</v>
      </c>
      <c r="L75" s="101" t="s">
        <v>17</v>
      </c>
      <c r="M75" s="214">
        <v>100</v>
      </c>
      <c r="N75" s="214">
        <v>100</v>
      </c>
      <c r="O75" s="214">
        <v>67</v>
      </c>
      <c r="P75" s="214">
        <v>110</v>
      </c>
      <c r="Q75" s="214">
        <v>110</v>
      </c>
      <c r="R75" s="214">
        <v>110</v>
      </c>
      <c r="S75" s="214">
        <v>110</v>
      </c>
      <c r="T75" s="214">
        <v>110</v>
      </c>
      <c r="U75" s="214">
        <v>110</v>
      </c>
      <c r="V75" s="214">
        <v>110</v>
      </c>
      <c r="W75" s="214">
        <v>30</v>
      </c>
      <c r="X75" s="123">
        <f>+IF(H76="s",0,IF(AA75=0,0,IF(COUNTA(M75:W75)=AK77+0.75,SUMIF($C:$C,B75,$AA:$AA)/AK77,SUMIF($C:$C,B75,$AA:$AA)/(COUNTA(M75:W75)))))</f>
        <v>97</v>
      </c>
      <c r="Y75" s="466"/>
      <c r="Z75" s="534"/>
      <c r="AA75" s="134">
        <f t="shared" si="53"/>
        <v>1067</v>
      </c>
      <c r="AB75" s="354">
        <f>+AA75+AC75</f>
        <v>5696</v>
      </c>
      <c r="AC75" s="354">
        <v>4629</v>
      </c>
      <c r="AD75" s="355">
        <f>+AB74-AB75</f>
        <v>484</v>
      </c>
      <c r="AE75" s="131">
        <f>+IF(((AA76+(AA77/2))*60)=0,"",(J75*AA75)/((AA76+(AA77/2))*60))</f>
        <v>0.66788520603154755</v>
      </c>
      <c r="AF75" s="347">
        <f>+AA76+AA77/2</f>
        <v>599.625</v>
      </c>
      <c r="AG75" s="347">
        <f t="shared" si="2"/>
        <v>599.375</v>
      </c>
      <c r="AH75" s="341">
        <f t="shared" si="3"/>
        <v>35977.5</v>
      </c>
      <c r="AI75" s="341">
        <f>+AA75*J75</f>
        <v>24028.84</v>
      </c>
      <c r="AJ75" s="356">
        <f>+AA75-(AF75*K75/K77)</f>
        <v>-380.37068965517233</v>
      </c>
      <c r="AK75" s="348"/>
      <c r="AL75" s="349"/>
      <c r="AM75" s="341"/>
      <c r="AN75" s="341"/>
      <c r="AO75" s="341"/>
      <c r="AP75" s="341"/>
      <c r="AQ75" s="339"/>
      <c r="AR75" s="434"/>
      <c r="AT75" s="390">
        <v>1551</v>
      </c>
      <c r="AV75" s="390">
        <f t="shared" ref="AV75" si="55">+AT75-AD75</f>
        <v>1067</v>
      </c>
      <c r="AW75" s="536"/>
      <c r="AX75" s="536"/>
      <c r="AY75" s="536"/>
      <c r="AZ75" s="536"/>
      <c r="BA75" s="536"/>
      <c r="BB75" s="536"/>
      <c r="BC75" s="536"/>
      <c r="BD75" s="536"/>
      <c r="BE75" s="536"/>
      <c r="BF75" s="536"/>
      <c r="BG75" s="536"/>
    </row>
    <row r="76" spans="2:59" s="98" customFormat="1" ht="62.25" customHeight="1" x14ac:dyDescent="0.9">
      <c r="B76" s="357">
        <f>+B75</f>
        <v>16</v>
      </c>
      <c r="C76" s="408"/>
      <c r="D76" s="184"/>
      <c r="E76" s="111">
        <f>+B75</f>
        <v>16</v>
      </c>
      <c r="F76" s="409"/>
      <c r="G76" s="541" t="str">
        <f t="shared" si="54"/>
        <v>Cheristina-blanc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48">
        <v>58</v>
      </c>
      <c r="N76" s="448">
        <v>58</v>
      </c>
      <c r="O76" s="448">
        <v>58</v>
      </c>
      <c r="P76" s="448">
        <v>58</v>
      </c>
      <c r="Q76" s="448">
        <v>58</v>
      </c>
      <c r="R76" s="448">
        <v>58</v>
      </c>
      <c r="S76" s="448">
        <v>58</v>
      </c>
      <c r="T76" s="448">
        <v>58</v>
      </c>
      <c r="U76" s="448">
        <v>58</v>
      </c>
      <c r="V76" s="448">
        <v>58</v>
      </c>
      <c r="W76" s="448">
        <v>58</v>
      </c>
      <c r="X76" s="160">
        <f>+IF(H76="l",IF(COUNTA(M75:W75)=AK77+0.75,AA75-K75*AK77,AA75-(K75*COUNTA(M75:W75))),IF(H76="s",0,IF(COUNTA(M75:W75)=AK77+0.75,SUMIF($C:$C,B75,$AA:$AA)-K75*AK77,SUMIF($C:$C,B75,$AA:$AA)-K75*COUNTA(M75:W75))))</f>
        <v>-473</v>
      </c>
      <c r="Y76" s="466"/>
      <c r="Z76" s="534"/>
      <c r="AA76" s="462">
        <f t="shared" ref="AA76:AA77" si="56">+SUM(M76:W76)-U76*0.75</f>
        <v>594.5</v>
      </c>
      <c r="AB76" s="360"/>
      <c r="AC76" s="360"/>
      <c r="AD76" s="362"/>
      <c r="AE76" s="363"/>
      <c r="AF76" s="346"/>
      <c r="AG76" s="347">
        <f t="shared" si="2"/>
        <v>0</v>
      </c>
      <c r="AH76" s="341">
        <f t="shared" si="3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478.5</v>
      </c>
      <c r="AM76" s="341">
        <f>+AL76-AA76</f>
        <v>-116</v>
      </c>
      <c r="AN76" s="341"/>
      <c r="AO76" s="341"/>
      <c r="AP76" s="341"/>
      <c r="AQ76" s="438"/>
      <c r="AR76" s="434"/>
      <c r="AT76" s="390"/>
      <c r="AV76" s="390"/>
    </row>
    <row r="77" spans="2:59" s="98" customFormat="1" ht="62.25" customHeight="1" thickBot="1" x14ac:dyDescent="0.95">
      <c r="B77" s="375">
        <f>+B75</f>
        <v>16</v>
      </c>
      <c r="C77" s="410"/>
      <c r="D77" s="413" t="s">
        <v>152</v>
      </c>
      <c r="E77" s="175">
        <f>+E76+100</f>
        <v>116</v>
      </c>
      <c r="F77" s="175"/>
      <c r="G77" s="542" t="str">
        <f t="shared" si="54"/>
        <v>Cheristina-blanc</v>
      </c>
      <c r="H77" s="117"/>
      <c r="I77" s="442"/>
      <c r="J77" s="165">
        <f>+IF(K77="","",IF(K75=0,"",(K75*J75)/(K77*60)))</f>
        <v>0.9059770114942528</v>
      </c>
      <c r="K77" s="118">
        <v>58</v>
      </c>
      <c r="L77" s="104" t="s">
        <v>19</v>
      </c>
      <c r="M77" s="216">
        <v>1</v>
      </c>
      <c r="N77" s="216">
        <v>1</v>
      </c>
      <c r="O77" s="216">
        <v>1</v>
      </c>
      <c r="P77" s="216">
        <v>1</v>
      </c>
      <c r="Q77" s="216">
        <v>1</v>
      </c>
      <c r="R77" s="216">
        <v>1</v>
      </c>
      <c r="S77" s="216">
        <v>1</v>
      </c>
      <c r="T77" s="216">
        <v>1</v>
      </c>
      <c r="U77" s="216">
        <v>1</v>
      </c>
      <c r="V77" s="216">
        <v>1</v>
      </c>
      <c r="W77" s="216">
        <v>1</v>
      </c>
      <c r="X77" s="173"/>
      <c r="Y77" s="467">
        <v>48.688571428571422</v>
      </c>
      <c r="Z77" s="371">
        <f>+IF(COUNTA(M75:W75)=$AJ$4+0.25,$AJ$4-(AA75/K75),COUNTA(M75:W75)-(AA75/K75))+Y77</f>
        <v>52.067142857142848</v>
      </c>
      <c r="AA77" s="465">
        <f t="shared" si="56"/>
        <v>10.25</v>
      </c>
      <c r="AB77" s="367"/>
      <c r="AC77" s="367"/>
      <c r="AD77" s="368">
        <f>+IFERROR(AD75/(K75*$AQ$3),"")</f>
        <v>0.39510204081632655</v>
      </c>
      <c r="AE77" s="369"/>
      <c r="AF77" s="347"/>
      <c r="AG77" s="347">
        <f t="shared" si="2"/>
        <v>0</v>
      </c>
      <c r="AH77" s="341">
        <f t="shared" si="3"/>
        <v>0</v>
      </c>
      <c r="AI77" s="341"/>
      <c r="AJ77" s="356"/>
      <c r="AK77" s="370">
        <f>+$AJ$4</f>
        <v>8.25</v>
      </c>
      <c r="AL77" s="349">
        <f>+IF(AK77=7.75,SUM(M77:S77)+T77*0.75,IF(AK77=8,SUM(M77:T77),IF(AK77=7.25,SUM(M77:S77)+T77*0.25,IF(AK77=8.25,SUM(M77:T77)+U77*0.25,IF(AK77=8.75,SUM(M77:T77)+U77*0.75,0)))))</f>
        <v>8.25</v>
      </c>
      <c r="AM77" s="341">
        <f>+AL77-AA77</f>
        <v>-2</v>
      </c>
      <c r="AN77" s="341"/>
      <c r="AO77" s="341"/>
      <c r="AP77" s="341"/>
      <c r="AQ77" s="369"/>
      <c r="AR77" s="434"/>
      <c r="AT77" s="390">
        <v>1.2661224489795919</v>
      </c>
      <c r="AV77" s="390"/>
    </row>
    <row r="78" spans="2:59" s="98" customFormat="1" ht="62.25" customHeight="1" thickTop="1" x14ac:dyDescent="0.9">
      <c r="B78" s="373">
        <f>+B79</f>
        <v>16</v>
      </c>
      <c r="C78" s="405"/>
      <c r="D78" s="106"/>
      <c r="E78" s="106"/>
      <c r="F78" s="106"/>
      <c r="G78" s="540" t="s">
        <v>499</v>
      </c>
      <c r="H78" s="106"/>
      <c r="I78" s="106"/>
      <c r="J78" s="107" t="s">
        <v>20</v>
      </c>
      <c r="K78" s="108" t="s">
        <v>23</v>
      </c>
      <c r="L78" s="100" t="s">
        <v>21</v>
      </c>
      <c r="M78" s="448"/>
      <c r="N78" s="448"/>
      <c r="O78" s="448"/>
      <c r="P78" s="448"/>
      <c r="Q78" s="448"/>
      <c r="R78" s="448">
        <v>70</v>
      </c>
      <c r="S78" s="448">
        <v>70</v>
      </c>
      <c r="T78" s="448"/>
      <c r="U78" s="448"/>
      <c r="V78" s="448"/>
      <c r="W78" s="448"/>
      <c r="X78" s="447" t="str">
        <f t="shared" ref="X78" si="57">IF(AQ79="","",SUM(M78:W78)-(-(AQ79-SUM(M78:W78))/$AQ$3)*SUM($M$2:$W$2))</f>
        <v/>
      </c>
      <c r="Y78" s="466">
        <v>-559</v>
      </c>
      <c r="Z78" s="533">
        <f>+X80</f>
        <v>0</v>
      </c>
      <c r="AA78" s="447">
        <f t="shared" ref="AA78:AA79" si="58">+SUM(L78:W78)</f>
        <v>140</v>
      </c>
      <c r="AB78" s="343">
        <f>+AC78+AA78</f>
        <v>140</v>
      </c>
      <c r="AC78" s="343"/>
      <c r="AD78" s="344"/>
      <c r="AE78" s="345"/>
      <c r="AF78" s="346"/>
      <c r="AG78" s="347">
        <f t="shared" ref="AG78:AG81" si="59">TRUNC(AF78)+(AF78-TRUNC(AF78))*60/100</f>
        <v>0</v>
      </c>
      <c r="AH78" s="341">
        <f t="shared" ref="AH78:AH81" si="60">+AF78*60</f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9" s="98" customFormat="1" ht="62.25" customHeight="1" x14ac:dyDescent="0.9">
      <c r="B79" s="374">
        <v>16</v>
      </c>
      <c r="C79" s="406">
        <f>+B79</f>
        <v>16</v>
      </c>
      <c r="D79" s="407" t="s">
        <v>498</v>
      </c>
      <c r="E79" s="111"/>
      <c r="F79" s="111" t="s">
        <v>475</v>
      </c>
      <c r="G79" s="541"/>
      <c r="H79" s="111"/>
      <c r="I79" s="111" t="s">
        <v>41</v>
      </c>
      <c r="J79" s="113"/>
      <c r="K79" s="130"/>
      <c r="L79" s="101" t="s">
        <v>17</v>
      </c>
      <c r="M79" s="214"/>
      <c r="N79" s="214"/>
      <c r="O79" s="214"/>
      <c r="P79" s="214"/>
      <c r="Q79" s="214"/>
      <c r="R79" s="214"/>
      <c r="S79" s="214"/>
      <c r="T79" s="214"/>
      <c r="U79" s="214"/>
      <c r="V79" s="214"/>
      <c r="W79" s="214"/>
      <c r="X79" s="123">
        <f>+IF(H80="s",0,IF(AA79=0,0,IF(COUNTA(M79:W79)=AK81+0.75,SUMIF($C:$C,B79,$AA:$AA)/AK81,SUMIF($C:$C,B79,$AA:$AA)/(COUNTA(M79:W79)))))</f>
        <v>0</v>
      </c>
      <c r="Y79" s="466"/>
      <c r="Z79" s="534"/>
      <c r="AA79" s="134">
        <f t="shared" si="58"/>
        <v>0</v>
      </c>
      <c r="AB79" s="354">
        <f>+AA79+AC79</f>
        <v>0</v>
      </c>
      <c r="AC79" s="354"/>
      <c r="AD79" s="355">
        <f>+AB78-AB79</f>
        <v>140</v>
      </c>
      <c r="AE79" s="131" t="str">
        <f>+IF(((AA80+(AA81/2))*60)=0,"",(J79*AA79)/((AA80+(AA81/2))*60))</f>
        <v/>
      </c>
      <c r="AF79" s="347">
        <f>+AA80+AA81/2</f>
        <v>0</v>
      </c>
      <c r="AG79" s="347">
        <f t="shared" si="59"/>
        <v>0</v>
      </c>
      <c r="AH79" s="341">
        <f t="shared" si="60"/>
        <v>0</v>
      </c>
      <c r="AI79" s="341">
        <f>+AA79*J79</f>
        <v>0</v>
      </c>
      <c r="AJ79" s="356" t="e">
        <f>+AA79-(AF79*K79/K81)</f>
        <v>#DIV/0!</v>
      </c>
      <c r="AK79" s="348"/>
      <c r="AL79" s="349"/>
      <c r="AM79" s="341"/>
      <c r="AN79" s="341"/>
      <c r="AO79" s="341"/>
      <c r="AP79" s="341"/>
      <c r="AQ79" s="339"/>
      <c r="AR79" s="434"/>
      <c r="AT79" s="390">
        <v>1551</v>
      </c>
      <c r="AV79" s="390">
        <f t="shared" ref="AV79" si="61">+AT79-AD79</f>
        <v>1411</v>
      </c>
      <c r="AW79" s="536"/>
      <c r="AX79" s="536"/>
      <c r="AY79" s="536"/>
      <c r="AZ79" s="536"/>
      <c r="BA79" s="536"/>
      <c r="BB79" s="536"/>
      <c r="BC79" s="536"/>
      <c r="BD79" s="536"/>
      <c r="BE79" s="536"/>
      <c r="BF79" s="536"/>
      <c r="BG79" s="536"/>
    </row>
    <row r="80" spans="2:59" s="98" customFormat="1" ht="62.25" customHeight="1" x14ac:dyDescent="0.9">
      <c r="B80" s="357">
        <f>+B79</f>
        <v>16</v>
      </c>
      <c r="C80" s="408"/>
      <c r="D80" s="184"/>
      <c r="E80" s="111">
        <f>+B79</f>
        <v>16</v>
      </c>
      <c r="F80" s="409"/>
      <c r="G80" s="541"/>
      <c r="H80" s="411" t="s">
        <v>413</v>
      </c>
      <c r="I80" s="113">
        <f>+IFERROR(IF(K81=0,0,IF((LOOKUP(2,1/(M80:W80&lt;&gt;""),M80:W80)-K81)&lt;0,0,IF(K81=0,"",LOOKUP(2,1/(M80:W80&lt;&gt;""),M80:W80)-K81))),0)</f>
        <v>0</v>
      </c>
      <c r="J80" s="113"/>
      <c r="K80" s="114" t="s">
        <v>22</v>
      </c>
      <c r="L80" s="102" t="s">
        <v>18</v>
      </c>
      <c r="M80" s="448"/>
      <c r="N80" s="448"/>
      <c r="O80" s="448"/>
      <c r="P80" s="448"/>
      <c r="Q80" s="448"/>
      <c r="R80" s="448"/>
      <c r="S80" s="448"/>
      <c r="T80" s="448"/>
      <c r="U80" s="448"/>
      <c r="V80" s="448"/>
      <c r="W80" s="448"/>
      <c r="X80" s="160">
        <f>+IF(H80="l",IF(COUNTA(M79:W79)=AK81+0.75,AA79-K79*AK81,AA79-(K79*COUNTA(M79:W79))),IF(H80="s",0,IF(COUNTA(M79:W79)=AK81+0.75,SUMIF($C:$C,B79,$AA:$AA)-K79*AK81,SUMIF($C:$C,B79,$AA:$AA)-K79*COUNTA(M79:W79))))</f>
        <v>0</v>
      </c>
      <c r="Y80" s="466"/>
      <c r="Z80" s="534"/>
      <c r="AA80" s="462">
        <f t="shared" ref="AA80:AA81" si="62">+SUM(M80:W80)-U80*0.75</f>
        <v>0</v>
      </c>
      <c r="AB80" s="360"/>
      <c r="AC80" s="360"/>
      <c r="AD80" s="362"/>
      <c r="AE80" s="363"/>
      <c r="AF80" s="346"/>
      <c r="AG80" s="347">
        <f t="shared" si="59"/>
        <v>0</v>
      </c>
      <c r="AH80" s="341">
        <f t="shared" si="60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0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48" s="98" customFormat="1" ht="62.25" customHeight="1" thickBot="1" x14ac:dyDescent="0.95">
      <c r="B81" s="375">
        <f>+B79</f>
        <v>16</v>
      </c>
      <c r="C81" s="410"/>
      <c r="D81" s="413" t="s">
        <v>152</v>
      </c>
      <c r="E81" s="175">
        <f>+E80+100</f>
        <v>116</v>
      </c>
      <c r="F81" s="175"/>
      <c r="G81" s="542"/>
      <c r="H81" s="117"/>
      <c r="I81" s="442"/>
      <c r="J81" s="165" t="str">
        <f>+IF(K81="","",IF(K79=0,"",(K79*J79)/(K81*60)))</f>
        <v/>
      </c>
      <c r="K81" s="118"/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>
        <v>0</v>
      </c>
      <c r="Z81" s="371" t="e">
        <f>+IF(COUNTA(M79:W79)=$AJ$4+0.25,$AJ$4-(AA79/K79),COUNTA(M79:W79)-(AA79/K79))+Y81</f>
        <v>#DIV/0!</v>
      </c>
      <c r="AA81" s="465">
        <f t="shared" si="62"/>
        <v>0</v>
      </c>
      <c r="AB81" s="367"/>
      <c r="AC81" s="367"/>
      <c r="AD81" s="368" t="str">
        <f>+IFERROR(AD79/(K79*$AQ$3),"")</f>
        <v/>
      </c>
      <c r="AE81" s="369"/>
      <c r="AF81" s="347"/>
      <c r="AG81" s="347">
        <f t="shared" si="59"/>
        <v>0</v>
      </c>
      <c r="AH81" s="341">
        <f t="shared" si="60"/>
        <v>0</v>
      </c>
      <c r="AI81" s="341"/>
      <c r="AJ81" s="356"/>
      <c r="AK81" s="370">
        <f>+$AJ$4</f>
        <v>8.25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1.2661224489795919</v>
      </c>
      <c r="AV81" s="390"/>
    </row>
    <row r="82" spans="2:48" s="98" customFormat="1" ht="62.25" customHeight="1" thickTop="1" x14ac:dyDescent="0.9">
      <c r="B82" s="342">
        <f>+B83</f>
        <v>17</v>
      </c>
      <c r="C82" s="405"/>
      <c r="D82" s="106"/>
      <c r="E82" s="106"/>
      <c r="F82" s="106"/>
      <c r="G82" s="540" t="s">
        <v>442</v>
      </c>
      <c r="H82" s="106"/>
      <c r="I82" s="111"/>
      <c r="J82" s="107" t="s">
        <v>20</v>
      </c>
      <c r="K82" s="108" t="s">
        <v>23</v>
      </c>
      <c r="L82" s="100" t="s">
        <v>21</v>
      </c>
      <c r="M82" s="448">
        <v>120</v>
      </c>
      <c r="N82" s="448">
        <v>60</v>
      </c>
      <c r="O82" s="448">
        <v>120</v>
      </c>
      <c r="P82" s="448">
        <v>60</v>
      </c>
      <c r="Q82" s="448"/>
      <c r="R82" s="448"/>
      <c r="S82" s="448"/>
      <c r="T82" s="448"/>
      <c r="U82" s="448"/>
      <c r="V82" s="448"/>
      <c r="W82" s="448"/>
      <c r="X82" s="447">
        <f t="shared" ref="X82:X86" si="63">IF(AQ83="","",SUM(M82:W82)-(-(AQ83-SUM(M82:W82))/$AQ$3)*SUM($M$2:$W$2))</f>
        <v>360</v>
      </c>
      <c r="Y82" s="466">
        <v>-139.75</v>
      </c>
      <c r="Z82" s="533">
        <f>+X84</f>
        <v>0.75</v>
      </c>
      <c r="AA82" s="447">
        <f t="shared" si="53"/>
        <v>360</v>
      </c>
      <c r="AB82" s="343">
        <f>+AC82+AA82</f>
        <v>4500</v>
      </c>
      <c r="AC82" s="343">
        <v>4140</v>
      </c>
      <c r="AD82" s="344"/>
      <c r="AE82" s="345"/>
      <c r="AF82" s="346"/>
      <c r="AG82" s="347">
        <f t="shared" ref="AG82:AG89" si="64">TRUNC(AF82)+(AF82-TRUNC(AF82))*60/100</f>
        <v>0</v>
      </c>
      <c r="AH82" s="341">
        <f t="shared" ref="AH82:AH89" si="65">+AF82*60</f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48" s="98" customFormat="1" ht="62.25" customHeight="1" x14ac:dyDescent="0.9">
      <c r="B83" s="351">
        <v>17</v>
      </c>
      <c r="C83" s="406">
        <f>+B83</f>
        <v>17</v>
      </c>
      <c r="D83" s="407" t="s">
        <v>441</v>
      </c>
      <c r="E83" s="111"/>
      <c r="F83" s="111" t="s">
        <v>35</v>
      </c>
      <c r="G83" s="541" t="str">
        <f t="shared" ref="G83:G85" si="66">+G82</f>
        <v>2259-600-730</v>
      </c>
      <c r="H83" s="111"/>
      <c r="I83" s="111" t="s">
        <v>33</v>
      </c>
      <c r="J83" s="113">
        <v>34.450000000000003</v>
      </c>
      <c r="K83" s="130">
        <v>61</v>
      </c>
      <c r="L83" s="101" t="s">
        <v>17</v>
      </c>
      <c r="M83" s="214">
        <v>56</v>
      </c>
      <c r="N83" s="214">
        <v>50</v>
      </c>
      <c r="O83" s="214">
        <v>33</v>
      </c>
      <c r="P83" s="214">
        <v>71</v>
      </c>
      <c r="Q83" s="214">
        <v>71</v>
      </c>
      <c r="R83" s="214">
        <v>71</v>
      </c>
      <c r="S83" s="214">
        <v>61</v>
      </c>
      <c r="T83" s="214">
        <v>61</v>
      </c>
      <c r="U83" s="214">
        <v>30</v>
      </c>
      <c r="V83" s="214"/>
      <c r="W83" s="214"/>
      <c r="X83" s="123">
        <f>+IF(H84="s",0,IF(AA83=0,0,IF(COUNTA(M83:W83)=AK85+0.75,SUMIF($C:$C,B83,$AA:$AA)/AK85,SUMIF($C:$C,B83,$AA:$AA)/(COUNTA(M83:W83)))))</f>
        <v>61.090909090909093</v>
      </c>
      <c r="Y83" s="466"/>
      <c r="Z83" s="534"/>
      <c r="AA83" s="134">
        <f t="shared" si="53"/>
        <v>504</v>
      </c>
      <c r="AB83" s="354">
        <f>+AA83+AC83</f>
        <v>3674</v>
      </c>
      <c r="AC83" s="354">
        <v>3170</v>
      </c>
      <c r="AD83" s="355">
        <f>+AB82-AB83</f>
        <v>826</v>
      </c>
      <c r="AE83" s="131">
        <f>+IF(((AA84+(AA85/2))*60)=0,"",(J83*AA83)/((AA84+(AA85/2))*60))</f>
        <v>0.89939393939393952</v>
      </c>
      <c r="AF83" s="347">
        <f>+AA84+AA85/2</f>
        <v>321.75</v>
      </c>
      <c r="AG83" s="347">
        <f t="shared" si="64"/>
        <v>321.45</v>
      </c>
      <c r="AH83" s="341">
        <f t="shared" si="65"/>
        <v>19305</v>
      </c>
      <c r="AI83" s="341">
        <f>+AA83*J83</f>
        <v>17362.800000000003</v>
      </c>
      <c r="AJ83" s="356">
        <f>+AA83-(AF83*K83/K85)</f>
        <v>-12.493421052631561</v>
      </c>
      <c r="AK83" s="348"/>
      <c r="AL83" s="349"/>
      <c r="AM83" s="341"/>
      <c r="AN83" s="341"/>
      <c r="AO83" s="341"/>
      <c r="AP83" s="341"/>
      <c r="AQ83" s="339">
        <f t="shared" ref="AQ83:AQ87" si="67">IF(AR83=0,"",AT83-(($AQ$3*K83)+($AQ$3*K83)*AR83)+AA82)</f>
        <v>0.96250000000009095</v>
      </c>
      <c r="AR83" s="434">
        <v>1.49</v>
      </c>
      <c r="AT83" s="390">
        <v>970</v>
      </c>
      <c r="AV83" s="390">
        <f t="shared" ref="AV83" si="68">+AT83-AD83</f>
        <v>144</v>
      </c>
    </row>
    <row r="84" spans="2:48" s="98" customFormat="1" ht="62.25" customHeight="1" x14ac:dyDescent="0.9">
      <c r="B84" s="357">
        <f>+B83</f>
        <v>17</v>
      </c>
      <c r="C84" s="408"/>
      <c r="D84" s="184"/>
      <c r="E84" s="111">
        <f>+B83</f>
        <v>17</v>
      </c>
      <c r="F84" s="409"/>
      <c r="G84" s="541" t="str">
        <f t="shared" si="66"/>
        <v>2259-600-730</v>
      </c>
      <c r="H84" s="411" t="s">
        <v>413</v>
      </c>
      <c r="I84" s="113">
        <f>+IFERROR(IF(K85=0,0,IF((LOOKUP(2,1/(M84:W84&lt;&gt;""),M84:W84)-K85)&lt;0,0,IF(K85=0,"",LOOKUP(2,1/(M84:W84&lt;&gt;""),M84:W84)-K85))),0)</f>
        <v>1</v>
      </c>
      <c r="J84" s="113">
        <v>0</v>
      </c>
      <c r="K84" s="114" t="s">
        <v>22</v>
      </c>
      <c r="L84" s="102" t="s">
        <v>18</v>
      </c>
      <c r="M84" s="448">
        <v>39</v>
      </c>
      <c r="N84" s="448">
        <v>39</v>
      </c>
      <c r="O84" s="448">
        <v>39</v>
      </c>
      <c r="P84" s="448">
        <v>39</v>
      </c>
      <c r="Q84" s="448">
        <v>39</v>
      </c>
      <c r="R84" s="448">
        <v>39</v>
      </c>
      <c r="S84" s="448">
        <v>39</v>
      </c>
      <c r="T84" s="448">
        <v>39</v>
      </c>
      <c r="U84" s="448">
        <v>39</v>
      </c>
      <c r="V84" s="448"/>
      <c r="W84" s="448"/>
      <c r="X84" s="160">
        <f>+IF(H84="l",IF(COUNTA(M83:W83)=AK85+0.75,AA83-K83*AK85,AA83-(K83*COUNTA(M83:W83))),IF(H84="s",0,IF(COUNTA(M83:W83)=AK85+0.75,SUMIF($C:$C,B83,$AA:$AA)-K83*AK85,SUMIF($C:$C,B83,$AA:$AA)-K83*COUNTA(M83:W83))))</f>
        <v>0.75</v>
      </c>
      <c r="Y84" s="466"/>
      <c r="Z84" s="534"/>
      <c r="AA84" s="462">
        <f t="shared" ref="AA84:AA85" si="69">+SUM(M84:W84)-U84*0.75</f>
        <v>321.75</v>
      </c>
      <c r="AB84" s="360"/>
      <c r="AC84" s="360"/>
      <c r="AD84" s="362"/>
      <c r="AE84" s="363"/>
      <c r="AF84" s="346"/>
      <c r="AG84" s="347">
        <f t="shared" si="64"/>
        <v>0</v>
      </c>
      <c r="AH84" s="341">
        <f t="shared" si="65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321.75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48" s="98" customFormat="1" ht="62.25" customHeight="1" thickBot="1" x14ac:dyDescent="0.95">
      <c r="B85" s="364">
        <f>+B83</f>
        <v>17</v>
      </c>
      <c r="C85" s="410"/>
      <c r="D85" s="174" t="s">
        <v>379</v>
      </c>
      <c r="E85" s="175">
        <f>+E84+100</f>
        <v>117</v>
      </c>
      <c r="F85" s="175"/>
      <c r="G85" s="542" t="str">
        <f t="shared" si="66"/>
        <v>2259-600-730</v>
      </c>
      <c r="H85" s="117"/>
      <c r="I85" s="442"/>
      <c r="J85" s="165">
        <f>+IF(K85="","",IF(K83=0,"",(K83*J83)/(K85*60)))</f>
        <v>0.92168859649122814</v>
      </c>
      <c r="K85" s="118">
        <v>38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>
        <v>69.216101639344259</v>
      </c>
      <c r="Z85" s="365">
        <v>69.216101639344259</v>
      </c>
      <c r="AA85" s="465">
        <f t="shared" si="69"/>
        <v>0</v>
      </c>
      <c r="AB85" s="367"/>
      <c r="AC85" s="367"/>
      <c r="AD85" s="368">
        <f>+IFERROR(AD83/(K83*$AQ$3),"")</f>
        <v>1.5475409836065575</v>
      </c>
      <c r="AE85" s="369"/>
      <c r="AF85" s="347"/>
      <c r="AG85" s="347">
        <f t="shared" si="64"/>
        <v>0</v>
      </c>
      <c r="AH85" s="341">
        <f t="shared" si="65"/>
        <v>0</v>
      </c>
      <c r="AI85" s="341"/>
      <c r="AJ85" s="356"/>
      <c r="AK85" s="370">
        <f>+$AJ$4</f>
        <v>8.25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1.8173302107728337</v>
      </c>
      <c r="AV85" s="390"/>
    </row>
    <row r="86" spans="2:48" s="98" customFormat="1" ht="62.25" customHeight="1" thickTop="1" x14ac:dyDescent="0.9">
      <c r="B86" s="373">
        <f>+B87</f>
        <v>18</v>
      </c>
      <c r="C86" s="405"/>
      <c r="D86" s="106"/>
      <c r="E86" s="106"/>
      <c r="F86" s="106"/>
      <c r="G86" s="540" t="s">
        <v>481</v>
      </c>
      <c r="H86" s="106"/>
      <c r="I86" s="106"/>
      <c r="J86" s="107" t="s">
        <v>20</v>
      </c>
      <c r="K86" s="108" t="s">
        <v>23</v>
      </c>
      <c r="L86" s="100" t="s">
        <v>21</v>
      </c>
      <c r="M86" s="448">
        <v>120</v>
      </c>
      <c r="N86" s="448">
        <v>120</v>
      </c>
      <c r="O86" s="448">
        <v>120</v>
      </c>
      <c r="P86" s="448">
        <v>60</v>
      </c>
      <c r="Q86" s="448"/>
      <c r="R86" s="448"/>
      <c r="S86" s="448">
        <v>60</v>
      </c>
      <c r="T86" s="448"/>
      <c r="U86" s="448"/>
      <c r="V86" s="448"/>
      <c r="W86" s="448"/>
      <c r="X86" s="447">
        <f t="shared" si="63"/>
        <v>480</v>
      </c>
      <c r="Y86" s="466">
        <v>-63</v>
      </c>
      <c r="Z86" s="533">
        <f>+X88</f>
        <v>38</v>
      </c>
      <c r="AA86" s="447">
        <f t="shared" si="53"/>
        <v>480</v>
      </c>
      <c r="AB86" s="343">
        <f>+AC86+AA86</f>
        <v>3390</v>
      </c>
      <c r="AC86" s="343">
        <v>2910</v>
      </c>
      <c r="AD86" s="344"/>
      <c r="AE86" s="345"/>
      <c r="AF86" s="346"/>
      <c r="AG86" s="347">
        <f t="shared" si="64"/>
        <v>0</v>
      </c>
      <c r="AH86" s="341">
        <f t="shared" si="65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48" s="98" customFormat="1" ht="62.25" customHeight="1" x14ac:dyDescent="0.9">
      <c r="B87" s="374">
        <v>18</v>
      </c>
      <c r="C87" s="406">
        <f>+B87</f>
        <v>18</v>
      </c>
      <c r="D87" s="407" t="s">
        <v>480</v>
      </c>
      <c r="E87" s="111"/>
      <c r="F87" s="111" t="s">
        <v>35</v>
      </c>
      <c r="G87" s="541" t="str">
        <f t="shared" ref="G87:G89" si="70">+G86</f>
        <v>2396-593-600</v>
      </c>
      <c r="H87" s="111"/>
      <c r="I87" s="111" t="s">
        <v>33</v>
      </c>
      <c r="J87" s="113">
        <v>38.82</v>
      </c>
      <c r="K87" s="130">
        <v>60</v>
      </c>
      <c r="L87" s="101" t="s">
        <v>17</v>
      </c>
      <c r="M87" s="214">
        <v>60</v>
      </c>
      <c r="N87" s="214">
        <v>62</v>
      </c>
      <c r="O87" s="214">
        <v>61</v>
      </c>
      <c r="P87" s="214">
        <v>61</v>
      </c>
      <c r="Q87" s="214">
        <v>61</v>
      </c>
      <c r="R87" s="214">
        <v>61</v>
      </c>
      <c r="S87" s="214">
        <v>61</v>
      </c>
      <c r="T87" s="214">
        <v>61</v>
      </c>
      <c r="U87" s="214">
        <v>45</v>
      </c>
      <c r="V87" s="214"/>
      <c r="W87" s="214"/>
      <c r="X87" s="123">
        <f>+IF(H88="s",0,IF(AA87=0,0,IF(COUNTA(M87:W87)=AK89+0.75,SUMIF($C:$C,B87,$AA:$AA)/AK89,SUMIF($C:$C,B87,$AA:$AA)/(COUNTA(M87:W87)))))</f>
        <v>64.606060606060609</v>
      </c>
      <c r="Y87" s="466"/>
      <c r="Z87" s="534"/>
      <c r="AA87" s="134">
        <f t="shared" si="53"/>
        <v>533</v>
      </c>
      <c r="AB87" s="354">
        <f>+AA87+AC87</f>
        <v>2572</v>
      </c>
      <c r="AC87" s="354">
        <v>2039</v>
      </c>
      <c r="AD87" s="355">
        <f>+AB86-AB87</f>
        <v>818</v>
      </c>
      <c r="AE87" s="131">
        <f>+IF(((AA88+(AA89/2))*60)=0,"",(J87*AA87)/((AA88+(AA89/2))*60))</f>
        <v>0.97209584214235378</v>
      </c>
      <c r="AF87" s="347">
        <f>+AA88+AA89/2</f>
        <v>354.75</v>
      </c>
      <c r="AG87" s="347">
        <f t="shared" si="64"/>
        <v>354.45</v>
      </c>
      <c r="AH87" s="341">
        <f t="shared" si="65"/>
        <v>21285</v>
      </c>
      <c r="AI87" s="341">
        <f>+AA87*J87</f>
        <v>20691.060000000001</v>
      </c>
      <c r="AJ87" s="356">
        <f>+AA87-(AF87*K87/K89)</f>
        <v>38</v>
      </c>
      <c r="AK87" s="348"/>
      <c r="AL87" s="349"/>
      <c r="AM87" s="341"/>
      <c r="AN87" s="341"/>
      <c r="AO87" s="341"/>
      <c r="AP87" s="341"/>
      <c r="AQ87" s="339">
        <f t="shared" si="67"/>
        <v>38.5</v>
      </c>
      <c r="AR87" s="434">
        <v>1.5</v>
      </c>
      <c r="AT87" s="390">
        <v>871</v>
      </c>
      <c r="AV87" s="390">
        <f t="shared" ref="AV87" si="71">+AT87-AD87</f>
        <v>53</v>
      </c>
    </row>
    <row r="88" spans="2:48" s="98" customFormat="1" ht="62.25" customHeight="1" x14ac:dyDescent="0.9">
      <c r="B88" s="357">
        <f>+B87</f>
        <v>18</v>
      </c>
      <c r="C88" s="408"/>
      <c r="D88" s="184"/>
      <c r="E88" s="111">
        <f>+B87</f>
        <v>18</v>
      </c>
      <c r="F88" s="409"/>
      <c r="G88" s="541" t="str">
        <f t="shared" si="70"/>
        <v>2396-593-600</v>
      </c>
      <c r="H88" s="411" t="s">
        <v>413</v>
      </c>
      <c r="I88" s="113">
        <f>+IFERROR(IF(K89=0,0,IF((LOOKUP(2,1/(M88:W88&lt;&gt;""),M88:W88)-K89)&lt;0,0,IF(K89=0,"",LOOKUP(2,1/(M88:W88&lt;&gt;""),M88:W88)-K89))),0)</f>
        <v>0</v>
      </c>
      <c r="J88" s="113">
        <v>1</v>
      </c>
      <c r="K88" s="114" t="s">
        <v>22</v>
      </c>
      <c r="L88" s="102" t="s">
        <v>18</v>
      </c>
      <c r="M88" s="448">
        <v>43</v>
      </c>
      <c r="N88" s="448">
        <v>43</v>
      </c>
      <c r="O88" s="448">
        <v>43</v>
      </c>
      <c r="P88" s="448">
        <v>43</v>
      </c>
      <c r="Q88" s="448">
        <v>43</v>
      </c>
      <c r="R88" s="448">
        <v>43</v>
      </c>
      <c r="S88" s="448">
        <v>43</v>
      </c>
      <c r="T88" s="448">
        <v>43</v>
      </c>
      <c r="U88" s="448">
        <v>43</v>
      </c>
      <c r="V88" s="448"/>
      <c r="W88" s="448"/>
      <c r="X88" s="160">
        <f>+IF(H88="l",IF(COUNTA(M87:W87)=AK89+0.75,AA87-K87*AK89,AA87-(K87*COUNTA(M87:W87))),IF(H88="s",0,IF(COUNTA(M87:W87)=AK89+0.75,SUMIF($C:$C,B87,$AA:$AA)-K87*AK89,SUMIF($C:$C,B87,$AA:$AA)-K87*COUNTA(M87:W87))))</f>
        <v>38</v>
      </c>
      <c r="Y88" s="466"/>
      <c r="Z88" s="534"/>
      <c r="AA88" s="462">
        <f t="shared" ref="AA88:AA89" si="72">+SUM(M88:W88)-U88*0.75</f>
        <v>354.75</v>
      </c>
      <c r="AB88" s="361"/>
      <c r="AC88" s="361"/>
      <c r="AD88" s="362"/>
      <c r="AE88" s="363"/>
      <c r="AF88" s="346"/>
      <c r="AG88" s="347">
        <f t="shared" si="64"/>
        <v>0</v>
      </c>
      <c r="AH88" s="341">
        <f t="shared" si="65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354.75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48" s="98" customFormat="1" ht="62.25" customHeight="1" thickBot="1" x14ac:dyDescent="0.95">
      <c r="B89" s="375">
        <f>+B87</f>
        <v>18</v>
      </c>
      <c r="C89" s="410"/>
      <c r="D89" s="413" t="s">
        <v>308</v>
      </c>
      <c r="E89" s="175">
        <f>+E88+100</f>
        <v>118</v>
      </c>
      <c r="F89" s="175"/>
      <c r="G89" s="542" t="str">
        <f t="shared" si="70"/>
        <v>2396-593-600</v>
      </c>
      <c r="H89" s="117"/>
      <c r="I89" s="442"/>
      <c r="J89" s="165">
        <f>+IF(K89="","",IF(K87=0,"",(K87*J87)/(K89*60)))</f>
        <v>0.90279069767441855</v>
      </c>
      <c r="K89" s="118">
        <v>43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12.46</v>
      </c>
      <c r="Z89" s="365">
        <v>12.46</v>
      </c>
      <c r="AA89" s="465">
        <f t="shared" si="72"/>
        <v>0</v>
      </c>
      <c r="AB89" s="367"/>
      <c r="AC89" s="367"/>
      <c r="AD89" s="368">
        <f>+IFERROR(AD87/(K87*$AQ$3),"")</f>
        <v>1.5580952380952382</v>
      </c>
      <c r="AE89" s="369"/>
      <c r="AF89" s="347"/>
      <c r="AG89" s="347">
        <f t="shared" si="64"/>
        <v>0</v>
      </c>
      <c r="AH89" s="341">
        <f t="shared" si="65"/>
        <v>0</v>
      </c>
      <c r="AI89" s="341"/>
      <c r="AJ89" s="356"/>
      <c r="AK89" s="370">
        <f>+$AJ$4</f>
        <v>8.25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1.6590476190476191</v>
      </c>
      <c r="AV89" s="390"/>
    </row>
    <row r="90" spans="2:48" s="419" customFormat="1" ht="91.5" customHeight="1" thickTop="1" thickBot="1" x14ac:dyDescent="0.95">
      <c r="B90" s="414"/>
      <c r="C90" s="414"/>
      <c r="D90" s="415"/>
      <c r="E90" s="415"/>
      <c r="F90" s="415"/>
      <c r="G90" s="415"/>
      <c r="H90" s="415"/>
      <c r="I90" s="415"/>
      <c r="J90" s="415"/>
      <c r="K90" s="415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  <c r="W90" s="416"/>
      <c r="X90" s="415"/>
      <c r="Y90" s="415"/>
      <c r="Z90" s="415"/>
      <c r="AA90" s="415"/>
      <c r="AB90" s="415"/>
      <c r="AC90" s="415"/>
      <c r="AD90" s="415"/>
      <c r="AE90" s="417"/>
      <c r="AF90" s="418"/>
      <c r="AG90" s="418"/>
      <c r="AK90" s="420"/>
      <c r="AL90" s="421"/>
      <c r="AR90" s="435"/>
    </row>
    <row r="91" spans="2:48" s="419" customFormat="1" ht="91.5" customHeight="1" thickTop="1" thickBot="1" x14ac:dyDescent="0.95">
      <c r="B91" s="414"/>
      <c r="C91" s="414"/>
      <c r="D91" s="415"/>
      <c r="E91" s="415"/>
      <c r="F91" s="415"/>
      <c r="G91" s="415"/>
      <c r="H91" s="415"/>
      <c r="I91" s="415"/>
      <c r="J91" s="415"/>
      <c r="K91" s="415"/>
      <c r="L91" s="378" t="s">
        <v>21</v>
      </c>
      <c r="M91" s="379">
        <f t="shared" ref="M91:W91" si="73">+SUMIF($L$6:$L$90,$L$91,M6:M90)</f>
        <v>1290</v>
      </c>
      <c r="N91" s="379">
        <f t="shared" si="73"/>
        <v>1280</v>
      </c>
      <c r="O91" s="379">
        <f t="shared" si="73"/>
        <v>1080</v>
      </c>
      <c r="P91" s="379">
        <f t="shared" si="73"/>
        <v>912</v>
      </c>
      <c r="Q91" s="379">
        <f t="shared" si="73"/>
        <v>430</v>
      </c>
      <c r="R91" s="379">
        <f>+SUMIF($L$6:$L$90,$L$91,R6:R90)</f>
        <v>647</v>
      </c>
      <c r="S91" s="379">
        <f t="shared" si="73"/>
        <v>470</v>
      </c>
      <c r="T91" s="379">
        <f t="shared" si="73"/>
        <v>0</v>
      </c>
      <c r="U91" s="379">
        <f t="shared" si="73"/>
        <v>0</v>
      </c>
      <c r="V91" s="379">
        <f t="shared" si="73"/>
        <v>0</v>
      </c>
      <c r="W91" s="379">
        <f t="shared" si="73"/>
        <v>0</v>
      </c>
      <c r="X91" s="332"/>
      <c r="Y91" s="332"/>
      <c r="Z91" s="537">
        <f>+SUM(M91:W91)</f>
        <v>6109</v>
      </c>
      <c r="AA91" s="538"/>
      <c r="AB91" s="415"/>
      <c r="AC91" s="415"/>
      <c r="AD91" s="415"/>
      <c r="AE91" s="417"/>
      <c r="AF91" s="418"/>
      <c r="AG91" s="418"/>
      <c r="AK91" s="420"/>
      <c r="AR91" s="435"/>
    </row>
    <row r="92" spans="2:48" s="419" customFormat="1" ht="91.5" customHeight="1" thickTop="1" thickBot="1" x14ac:dyDescent="0.95">
      <c r="B92" s="414"/>
      <c r="C92" s="414"/>
      <c r="D92" s="415"/>
      <c r="E92" s="415"/>
      <c r="F92" s="415"/>
      <c r="G92" s="415"/>
      <c r="H92" s="415"/>
      <c r="I92" s="415"/>
      <c r="J92" s="415"/>
      <c r="K92" s="415"/>
      <c r="L92" s="380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32"/>
      <c r="Y92" s="332"/>
      <c r="Z92" s="332"/>
      <c r="AA92" s="332"/>
      <c r="AB92" s="415"/>
      <c r="AC92" s="415"/>
      <c r="AD92" s="415"/>
      <c r="AE92" s="417"/>
      <c r="AF92" s="418"/>
      <c r="AG92" s="418"/>
      <c r="AK92" s="420"/>
      <c r="AR92" s="435"/>
    </row>
    <row r="93" spans="2:48" s="419" customFormat="1" ht="91.5" customHeight="1" thickTop="1" thickBot="1" x14ac:dyDescent="0.95">
      <c r="B93" s="414"/>
      <c r="C93" s="414"/>
      <c r="D93" s="415"/>
      <c r="E93" s="415"/>
      <c r="F93" s="415"/>
      <c r="G93" s="415"/>
      <c r="H93" s="415"/>
      <c r="I93" s="415"/>
      <c r="J93" s="415"/>
      <c r="K93" s="415"/>
      <c r="L93" s="378" t="s">
        <v>17</v>
      </c>
      <c r="M93" s="379">
        <f t="shared" ref="M93:W93" si="74">+SUMIF($L$6:$L$90,$L$93,M6:M90)</f>
        <v>801</v>
      </c>
      <c r="N93" s="379">
        <f t="shared" si="74"/>
        <v>911</v>
      </c>
      <c r="O93" s="379">
        <f t="shared" si="74"/>
        <v>862</v>
      </c>
      <c r="P93" s="379">
        <f t="shared" si="74"/>
        <v>917</v>
      </c>
      <c r="Q93" s="379">
        <f t="shared" si="74"/>
        <v>935</v>
      </c>
      <c r="R93" s="379">
        <f>+SUMIF($L$6:$L$90,$L$93,R6:R90)</f>
        <v>924</v>
      </c>
      <c r="S93" s="379">
        <f t="shared" si="74"/>
        <v>962</v>
      </c>
      <c r="T93" s="379">
        <f t="shared" si="74"/>
        <v>951</v>
      </c>
      <c r="U93" s="379">
        <f t="shared" si="74"/>
        <v>516</v>
      </c>
      <c r="V93" s="379">
        <f t="shared" si="74"/>
        <v>270</v>
      </c>
      <c r="W93" s="379">
        <f t="shared" si="74"/>
        <v>60</v>
      </c>
      <c r="X93" s="332"/>
      <c r="Y93" s="332"/>
      <c r="Z93" s="537">
        <f>+SUM(M93:W93)</f>
        <v>8109</v>
      </c>
      <c r="AA93" s="538"/>
      <c r="AB93" s="415"/>
      <c r="AC93" s="415"/>
      <c r="AD93" s="415"/>
      <c r="AE93" s="417"/>
      <c r="AF93" s="418"/>
      <c r="AG93" s="418"/>
      <c r="AK93" s="420"/>
      <c r="AR93" s="435"/>
    </row>
    <row r="94" spans="2:48" s="419" customFormat="1" ht="91.5" customHeight="1" thickTop="1" thickBot="1" x14ac:dyDescent="0.95">
      <c r="B94" s="414"/>
      <c r="C94" s="414"/>
      <c r="D94" s="415"/>
      <c r="E94" s="415"/>
      <c r="F94" s="415"/>
      <c r="G94" s="415"/>
      <c r="H94" s="415"/>
      <c r="I94" s="415"/>
      <c r="J94" s="415"/>
      <c r="K94" s="415"/>
      <c r="L94" s="380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32"/>
      <c r="Y94" s="332"/>
      <c r="Z94" s="332"/>
      <c r="AA94" s="332"/>
      <c r="AB94" s="415"/>
      <c r="AC94" s="415"/>
      <c r="AD94" s="415"/>
      <c r="AE94" s="417"/>
      <c r="AF94" s="418"/>
      <c r="AG94" s="418"/>
      <c r="AK94" s="420"/>
      <c r="AR94" s="435"/>
    </row>
    <row r="95" spans="2:48" s="419" customFormat="1" ht="91.5" customHeight="1" thickTop="1" thickBot="1" x14ac:dyDescent="0.95">
      <c r="B95" s="414"/>
      <c r="C95" s="414"/>
      <c r="D95" s="422"/>
      <c r="E95" s="422"/>
      <c r="F95" s="422"/>
      <c r="G95" s="422"/>
      <c r="H95" s="422"/>
      <c r="I95" s="422"/>
      <c r="J95" s="423"/>
      <c r="K95" s="422"/>
      <c r="L95" s="378" t="s">
        <v>19</v>
      </c>
      <c r="M95" s="379">
        <f t="shared" ref="M95:W95" si="75">+SUMIF($L$6:$L$90,$L$95,M6:M90)</f>
        <v>9</v>
      </c>
      <c r="N95" s="379">
        <f t="shared" si="75"/>
        <v>10</v>
      </c>
      <c r="O95" s="379">
        <f t="shared" si="75"/>
        <v>10</v>
      </c>
      <c r="P95" s="379">
        <f t="shared" si="75"/>
        <v>10</v>
      </c>
      <c r="Q95" s="379">
        <f t="shared" si="75"/>
        <v>10</v>
      </c>
      <c r="R95" s="379">
        <f>+SUMIF($L$6:$L$90,$L$95,R6:R90)</f>
        <v>10</v>
      </c>
      <c r="S95" s="379">
        <f t="shared" si="75"/>
        <v>10</v>
      </c>
      <c r="T95" s="379">
        <f t="shared" si="75"/>
        <v>10</v>
      </c>
      <c r="U95" s="379">
        <f t="shared" si="75"/>
        <v>10</v>
      </c>
      <c r="V95" s="379">
        <f t="shared" si="75"/>
        <v>1</v>
      </c>
      <c r="W95" s="379">
        <f t="shared" si="75"/>
        <v>1</v>
      </c>
      <c r="X95" s="381"/>
      <c r="Y95" s="381"/>
      <c r="Z95" s="332"/>
      <c r="AA95" s="332"/>
      <c r="AB95" s="415"/>
      <c r="AC95" s="415"/>
      <c r="AD95" s="415"/>
      <c r="AE95" s="417"/>
      <c r="AF95" s="418"/>
      <c r="AG95" s="418"/>
      <c r="AK95" s="420"/>
      <c r="AR95" s="435"/>
    </row>
    <row r="96" spans="2:48" s="419" customFormat="1" ht="62.25" customHeight="1" thickTop="1" x14ac:dyDescent="0.9">
      <c r="B96" s="414"/>
      <c r="C96" s="414"/>
      <c r="D96" s="422"/>
      <c r="E96" s="422"/>
      <c r="F96" s="422"/>
      <c r="G96" s="422"/>
      <c r="H96" s="422"/>
      <c r="I96" s="424"/>
      <c r="J96" s="423"/>
      <c r="K96" s="422"/>
      <c r="L96" s="380"/>
      <c r="M96" s="382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32"/>
      <c r="Y96" s="332"/>
      <c r="Z96" s="332"/>
      <c r="AA96" s="332"/>
      <c r="AB96" s="415"/>
      <c r="AC96" s="415"/>
      <c r="AD96" s="425"/>
      <c r="AE96" s="417"/>
      <c r="AF96" s="418"/>
      <c r="AG96" s="418"/>
      <c r="AK96" s="420"/>
      <c r="AR96" s="435"/>
    </row>
    <row r="97" spans="2:44" s="98" customFormat="1" ht="62.25" customHeight="1" thickBot="1" x14ac:dyDescent="0.95">
      <c r="B97" s="94"/>
      <c r="C97" s="94"/>
      <c r="D97" s="92"/>
      <c r="E97" s="92"/>
      <c r="F97" s="92"/>
      <c r="G97" s="92"/>
      <c r="H97" s="92"/>
      <c r="I97" s="91"/>
      <c r="J97" s="93"/>
      <c r="K97" s="92"/>
      <c r="L97" s="384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91"/>
      <c r="AC97" s="91"/>
      <c r="AD97" s="91"/>
      <c r="AE97" s="95"/>
      <c r="AF97" s="158"/>
      <c r="AG97" s="158"/>
      <c r="AK97" s="183"/>
      <c r="AR97" s="434"/>
    </row>
    <row r="98" spans="2:44" s="98" customFormat="1" ht="88.5" customHeight="1" thickTop="1" thickBot="1" x14ac:dyDescent="0.95">
      <c r="B98" s="94"/>
      <c r="C98" s="94"/>
      <c r="D98" s="92"/>
      <c r="E98" s="92"/>
      <c r="F98" s="92"/>
      <c r="G98" s="92"/>
      <c r="H98" s="92"/>
      <c r="I98" s="91"/>
      <c r="J98" s="93"/>
      <c r="K98" s="212" t="s">
        <v>18</v>
      </c>
      <c r="L98" s="385" t="s">
        <v>180</v>
      </c>
      <c r="M98" s="379">
        <f t="shared" ref="M98:W98" si="76">+IF(M101=0,0,SUMIFS($J$6:$J$90,$L$6:$L$90,$K$98))</f>
        <v>10</v>
      </c>
      <c r="N98" s="379">
        <f t="shared" si="76"/>
        <v>10</v>
      </c>
      <c r="O98" s="379">
        <f t="shared" si="76"/>
        <v>10</v>
      </c>
      <c r="P98" s="379">
        <f t="shared" si="76"/>
        <v>10</v>
      </c>
      <c r="Q98" s="379">
        <f t="shared" si="76"/>
        <v>10</v>
      </c>
      <c r="R98" s="379">
        <f t="shared" si="76"/>
        <v>10</v>
      </c>
      <c r="S98" s="379">
        <f t="shared" si="76"/>
        <v>10</v>
      </c>
      <c r="T98" s="379">
        <f t="shared" si="76"/>
        <v>10</v>
      </c>
      <c r="U98" s="379">
        <f t="shared" si="76"/>
        <v>10</v>
      </c>
      <c r="V98" s="379">
        <f t="shared" si="76"/>
        <v>10</v>
      </c>
      <c r="W98" s="379">
        <f t="shared" si="76"/>
        <v>10</v>
      </c>
      <c r="X98" s="383"/>
      <c r="Y98" s="383"/>
      <c r="Z98" s="340"/>
      <c r="AA98" s="340"/>
      <c r="AB98" s="91"/>
      <c r="AC98" s="91"/>
      <c r="AD98" s="91"/>
      <c r="AE98" s="95"/>
      <c r="AF98" s="158"/>
      <c r="AG98" s="158"/>
      <c r="AK98" s="183"/>
      <c r="AR98" s="434"/>
    </row>
    <row r="99" spans="2:44" s="98" customFormat="1" ht="62.25" customHeight="1" thickTop="1" x14ac:dyDescent="0.9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84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40"/>
      <c r="Y99" s="340"/>
      <c r="Z99" s="340"/>
      <c r="AA99" s="340"/>
      <c r="AB99" s="91"/>
      <c r="AC99" s="91"/>
      <c r="AD99" s="91"/>
      <c r="AE99" s="95"/>
      <c r="AF99" s="158"/>
      <c r="AG99" s="158"/>
      <c r="AK99" s="183"/>
      <c r="AR99" s="434"/>
    </row>
    <row r="100" spans="2:44" s="98" customFormat="1" ht="62.25" customHeight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212"/>
      <c r="L100" s="384"/>
      <c r="M100" s="340"/>
      <c r="N100" s="340"/>
      <c r="O100" s="340"/>
      <c r="P100" s="340"/>
      <c r="Q100" s="387"/>
      <c r="R100" s="387"/>
      <c r="S100" s="387"/>
      <c r="T100" s="387"/>
      <c r="U100" s="387"/>
      <c r="V100" s="387"/>
      <c r="W100" s="387"/>
      <c r="X100" s="340"/>
      <c r="Y100" s="340"/>
      <c r="Z100" s="340"/>
      <c r="AA100" s="340"/>
      <c r="AB100" s="91"/>
      <c r="AC100" s="91"/>
      <c r="AD100" s="91"/>
      <c r="AE100" s="95"/>
      <c r="AF100" s="158"/>
      <c r="AG100" s="158"/>
      <c r="AK100" s="183"/>
      <c r="AR100" s="434"/>
    </row>
    <row r="101" spans="2:44" s="98" customFormat="1" ht="98.25" customHeight="1" thickTop="1" thickBot="1" x14ac:dyDescent="0.95">
      <c r="B101" s="94"/>
      <c r="C101" s="94"/>
      <c r="D101" s="92"/>
      <c r="E101" s="92"/>
      <c r="F101" s="92"/>
      <c r="G101" s="92"/>
      <c r="H101" s="92"/>
      <c r="I101" s="92"/>
      <c r="J101" s="93"/>
      <c r="K101" s="212"/>
      <c r="L101" s="385" t="s">
        <v>18</v>
      </c>
      <c r="M101" s="379">
        <f t="shared" ref="M101:W101" si="77">+SUMIF($L$6:$L$90,$L$101,M6:M90)</f>
        <v>641</v>
      </c>
      <c r="N101" s="379">
        <f t="shared" si="77"/>
        <v>641</v>
      </c>
      <c r="O101" s="379">
        <f t="shared" si="77"/>
        <v>641</v>
      </c>
      <c r="P101" s="379">
        <f t="shared" si="77"/>
        <v>641</v>
      </c>
      <c r="Q101" s="379">
        <f t="shared" si="77"/>
        <v>641</v>
      </c>
      <c r="R101" s="379">
        <f>+SUMIF($L$6:$L$90,$L$101,R6:R90)</f>
        <v>641</v>
      </c>
      <c r="S101" s="379">
        <f t="shared" si="77"/>
        <v>641</v>
      </c>
      <c r="T101" s="379">
        <f t="shared" si="77"/>
        <v>641</v>
      </c>
      <c r="U101" s="379">
        <f t="shared" si="77"/>
        <v>641</v>
      </c>
      <c r="V101" s="379">
        <f t="shared" si="77"/>
        <v>113</v>
      </c>
      <c r="W101" s="379">
        <f t="shared" si="77"/>
        <v>113</v>
      </c>
      <c r="X101" s="340"/>
      <c r="Y101" s="340"/>
      <c r="Z101" s="340"/>
      <c r="AA101" s="340"/>
      <c r="AB101" s="91"/>
      <c r="AC101" s="91"/>
      <c r="AD101" s="91"/>
      <c r="AE101" s="95"/>
      <c r="AF101" s="158"/>
      <c r="AG101" s="158"/>
      <c r="AK101" s="183"/>
      <c r="AR101" s="434"/>
    </row>
    <row r="102" spans="2:44" s="98" customFormat="1" ht="62.25" customHeight="1" thickTop="1" x14ac:dyDescent="0.9">
      <c r="B102" s="94"/>
      <c r="C102" s="94"/>
      <c r="D102" s="92"/>
      <c r="E102" s="92"/>
      <c r="F102" s="92"/>
      <c r="G102" s="92"/>
      <c r="H102" s="92"/>
      <c r="I102" s="92"/>
      <c r="J102" s="93"/>
      <c r="K102" s="212"/>
      <c r="L102" s="384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40"/>
      <c r="Y102" s="340"/>
      <c r="Z102" s="340"/>
      <c r="AA102" s="340"/>
      <c r="AB102" s="91"/>
      <c r="AC102" s="91"/>
      <c r="AD102" s="91"/>
      <c r="AE102" s="95"/>
      <c r="AF102" s="158"/>
      <c r="AG102" s="158"/>
      <c r="AK102" s="183"/>
      <c r="AR102" s="434"/>
    </row>
    <row r="103" spans="2:44" s="98" customFormat="1" ht="62.25" customHeight="1" thickBot="1" x14ac:dyDescent="0.95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84"/>
      <c r="M103" s="340"/>
      <c r="N103" s="340"/>
      <c r="O103" s="340"/>
      <c r="P103" s="340"/>
      <c r="Q103" s="387"/>
      <c r="R103" s="387"/>
      <c r="S103" s="387"/>
      <c r="T103" s="387"/>
      <c r="U103" s="387"/>
      <c r="V103" s="387"/>
      <c r="W103" s="387"/>
      <c r="X103" s="340"/>
      <c r="Y103" s="340"/>
      <c r="Z103" s="340"/>
      <c r="AA103" s="340"/>
      <c r="AB103" s="91"/>
      <c r="AC103" s="91"/>
      <c r="AD103" s="91"/>
      <c r="AE103" s="95"/>
      <c r="AF103" s="158"/>
      <c r="AG103" s="158"/>
      <c r="AK103" s="183"/>
      <c r="AR103" s="434"/>
    </row>
    <row r="104" spans="2:44" s="98" customFormat="1" ht="94.5" customHeight="1" thickTop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385" t="s">
        <v>13</v>
      </c>
      <c r="M104" s="379">
        <f>+M101+M98+M95</f>
        <v>660</v>
      </c>
      <c r="N104" s="379">
        <f t="shared" ref="N104:W104" si="78">+N101+N98+N95</f>
        <v>661</v>
      </c>
      <c r="O104" s="379">
        <f t="shared" si="78"/>
        <v>661</v>
      </c>
      <c r="P104" s="379">
        <f t="shared" si="78"/>
        <v>661</v>
      </c>
      <c r="Q104" s="379">
        <f t="shared" si="78"/>
        <v>661</v>
      </c>
      <c r="R104" s="379">
        <f t="shared" si="78"/>
        <v>661</v>
      </c>
      <c r="S104" s="379">
        <f t="shared" si="78"/>
        <v>661</v>
      </c>
      <c r="T104" s="379">
        <f t="shared" si="78"/>
        <v>661</v>
      </c>
      <c r="U104" s="379">
        <f t="shared" si="78"/>
        <v>661</v>
      </c>
      <c r="V104" s="379">
        <f t="shared" si="78"/>
        <v>124</v>
      </c>
      <c r="W104" s="379">
        <f t="shared" si="78"/>
        <v>124</v>
      </c>
      <c r="X104" s="340"/>
      <c r="Y104" s="340"/>
      <c r="Z104" s="340"/>
      <c r="AA104" s="340"/>
      <c r="AB104" s="91"/>
      <c r="AC104" s="91"/>
      <c r="AD104" s="91"/>
      <c r="AE104" s="95"/>
      <c r="AF104" s="155"/>
      <c r="AG104" s="155"/>
      <c r="AK104" s="183"/>
      <c r="AR104" s="434"/>
    </row>
    <row r="105" spans="2:44" s="98" customFormat="1" ht="62.25" thickTop="1" x14ac:dyDescent="0.9">
      <c r="B105" s="94"/>
      <c r="C105" s="94"/>
      <c r="D105" s="92"/>
      <c r="E105" s="92"/>
      <c r="F105" s="92"/>
      <c r="G105" s="92"/>
      <c r="H105" s="92"/>
      <c r="I105" s="92"/>
      <c r="J105" s="93"/>
      <c r="K105" s="92"/>
      <c r="L105" s="389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91"/>
      <c r="AC105" s="91"/>
      <c r="AD105" s="91"/>
      <c r="AE105" s="95"/>
      <c r="AF105" s="158"/>
      <c r="AG105" s="158"/>
      <c r="AK105" s="183"/>
      <c r="AR105" s="434"/>
    </row>
    <row r="106" spans="2:44" x14ac:dyDescent="0.9">
      <c r="J106" s="91"/>
      <c r="K106" s="91"/>
      <c r="T106" s="515"/>
      <c r="U106" s="515"/>
      <c r="V106" s="515"/>
      <c r="AF106" s="158"/>
      <c r="AG106" s="158"/>
    </row>
    <row r="107" spans="2:44" ht="105" customHeight="1" x14ac:dyDescent="0.9">
      <c r="B107" s="426"/>
      <c r="AF107" s="158"/>
      <c r="AG107" s="158"/>
    </row>
    <row r="108" spans="2:44" s="98" customFormat="1" x14ac:dyDescent="0.9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5"/>
      <c r="AF108" s="158"/>
      <c r="AG108" s="158"/>
      <c r="AK108" s="183"/>
      <c r="AR108" s="434"/>
    </row>
    <row r="109" spans="2:44" s="98" customFormat="1" x14ac:dyDescent="0.9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5"/>
      <c r="AF109" s="158"/>
      <c r="AG109" s="158"/>
      <c r="AK109" s="183"/>
      <c r="AR109" s="434"/>
    </row>
    <row r="110" spans="2:44" s="98" customFormat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92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5"/>
      <c r="AF110" s="158"/>
      <c r="AG110" s="158"/>
      <c r="AK110" s="183"/>
      <c r="AR110" s="434"/>
    </row>
    <row r="111" spans="2:44" s="98" customFormat="1" ht="66" customHeight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92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5"/>
      <c r="AF111" s="158"/>
      <c r="AG111" s="158"/>
      <c r="AK111" s="183"/>
      <c r="AR111" s="434"/>
    </row>
    <row r="113" spans="2:44" s="92" customFormat="1" x14ac:dyDescent="0.7">
      <c r="B113" s="94"/>
      <c r="C113" s="94"/>
      <c r="D113" s="92">
        <v>2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/>
      <c r="AF113" s="155"/>
      <c r="AG113" s="155"/>
      <c r="AH113" s="98"/>
      <c r="AI113" s="98"/>
      <c r="AJ113" s="98"/>
      <c r="AK113" s="183"/>
      <c r="AL113" s="91"/>
      <c r="AM113" s="91"/>
      <c r="AR113" s="243"/>
    </row>
    <row r="114" spans="2:44" s="92" customFormat="1" x14ac:dyDescent="0.7">
      <c r="B114" s="94"/>
      <c r="C114" s="94"/>
      <c r="H114" s="92">
        <v>1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/>
      <c r="AF114" s="155"/>
      <c r="AG114" s="155"/>
      <c r="AH114" s="98"/>
      <c r="AI114" s="98"/>
      <c r="AJ114" s="98"/>
      <c r="AK114" s="183"/>
      <c r="AL114" s="91"/>
      <c r="AM114" s="91"/>
      <c r="AR114" s="243"/>
    </row>
    <row r="115" spans="2:44" s="92" customFormat="1" x14ac:dyDescent="0.7">
      <c r="B115" s="94"/>
      <c r="C115" s="94"/>
      <c r="H115" s="92">
        <v>2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/>
      <c r="AF115" s="155"/>
      <c r="AG115" s="155"/>
      <c r="AH115" s="98"/>
      <c r="AI115" s="98"/>
      <c r="AJ115" s="98"/>
      <c r="AK115" s="183"/>
      <c r="AL115" s="91"/>
      <c r="AM115" s="91"/>
      <c r="AR115" s="243"/>
    </row>
    <row r="116" spans="2:44" s="92" customFormat="1" x14ac:dyDescent="0.7">
      <c r="B116" s="94"/>
      <c r="C116" s="94"/>
      <c r="H116" s="92">
        <v>3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/>
      <c r="AF116" s="155"/>
      <c r="AG116" s="155"/>
      <c r="AH116" s="98"/>
      <c r="AI116" s="98"/>
      <c r="AJ116" s="98"/>
      <c r="AK116" s="183"/>
      <c r="AL116" s="91"/>
      <c r="AM116" s="91"/>
      <c r="AR116" s="243"/>
    </row>
    <row r="117" spans="2:44" s="92" customFormat="1" x14ac:dyDescent="0.7">
      <c r="B117" s="94"/>
      <c r="C117" s="94"/>
      <c r="H117" s="92">
        <v>4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5"/>
      <c r="AG117" s="155"/>
      <c r="AH117" s="98"/>
      <c r="AI117" s="98"/>
      <c r="AJ117" s="98"/>
      <c r="AK117" s="183"/>
      <c r="AL117" s="91"/>
      <c r="AM117" s="91"/>
      <c r="AR117" s="243"/>
    </row>
    <row r="118" spans="2:44" s="92" customFormat="1" x14ac:dyDescent="0.7">
      <c r="B118" s="94"/>
      <c r="C118" s="94"/>
      <c r="H118" s="92">
        <v>5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5"/>
      <c r="AG118" s="155"/>
      <c r="AH118" s="98"/>
      <c r="AI118" s="98"/>
      <c r="AJ118" s="98"/>
      <c r="AK118" s="183"/>
      <c r="AL118" s="91"/>
      <c r="AM118" s="91"/>
      <c r="AR118" s="243"/>
    </row>
    <row r="119" spans="2:44" s="92" customFormat="1" x14ac:dyDescent="0.7">
      <c r="B119" s="94"/>
      <c r="C119" s="94"/>
      <c r="H119" s="92">
        <v>6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5"/>
      <c r="AG119" s="155"/>
      <c r="AH119" s="98"/>
      <c r="AI119" s="98"/>
      <c r="AJ119" s="98"/>
      <c r="AK119" s="183"/>
      <c r="AL119" s="91"/>
      <c r="AM119" s="91"/>
      <c r="AR119" s="243"/>
    </row>
    <row r="120" spans="2:44" s="92" customFormat="1" x14ac:dyDescent="0.7">
      <c r="B120" s="94"/>
      <c r="C120" s="94"/>
      <c r="H120" s="92">
        <v>7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5"/>
      <c r="AG120" s="155"/>
      <c r="AH120" s="98"/>
      <c r="AI120" s="98"/>
      <c r="AJ120" s="98"/>
      <c r="AK120" s="183"/>
      <c r="AL120" s="91"/>
      <c r="AM120" s="91"/>
      <c r="AR120" s="243"/>
    </row>
    <row r="121" spans="2:44" s="92" customFormat="1" x14ac:dyDescent="0.7">
      <c r="B121" s="94"/>
      <c r="C121" s="94"/>
      <c r="H121" s="92">
        <v>8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22" spans="2:44" s="92" customFormat="1" x14ac:dyDescent="0.7">
      <c r="B122" s="94"/>
      <c r="C122" s="94"/>
      <c r="H122" s="92">
        <v>11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5"/>
      <c r="AG122" s="155"/>
      <c r="AH122" s="98"/>
      <c r="AI122" s="98"/>
      <c r="AJ122" s="98"/>
      <c r="AK122" s="183"/>
      <c r="AL122" s="91"/>
      <c r="AM122" s="91"/>
      <c r="AR122" s="243"/>
    </row>
    <row r="123" spans="2:44" s="92" customFormat="1" x14ac:dyDescent="0.7">
      <c r="B123" s="94"/>
      <c r="C123" s="94"/>
      <c r="H123" s="92">
        <v>12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5"/>
      <c r="AG123" s="155"/>
      <c r="AH123" s="98"/>
      <c r="AI123" s="98"/>
      <c r="AJ123" s="98"/>
      <c r="AK123" s="183"/>
      <c r="AL123" s="91"/>
      <c r="AM123" s="91"/>
      <c r="AR123" s="243"/>
    </row>
    <row r="124" spans="2:44" s="92" customFormat="1" x14ac:dyDescent="0.7">
      <c r="B124" s="94"/>
      <c r="C124" s="94"/>
      <c r="H124" s="92">
        <v>13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/>
      <c r="AF124" s="155"/>
      <c r="AG124" s="155"/>
      <c r="AH124" s="98"/>
      <c r="AI124" s="98"/>
      <c r="AJ124" s="98"/>
      <c r="AK124" s="183"/>
      <c r="AL124" s="91"/>
      <c r="AM124" s="91"/>
      <c r="AR124" s="243"/>
    </row>
    <row r="125" spans="2:44" s="92" customFormat="1" x14ac:dyDescent="0.7">
      <c r="B125" s="94"/>
      <c r="C125" s="94"/>
      <c r="H125" s="92">
        <v>14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15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17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18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19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85" spans="2:44" s="92" customFormat="1" x14ac:dyDescent="0.7">
      <c r="B185" s="94"/>
      <c r="C185" s="94"/>
      <c r="G185" s="92">
        <v>1</v>
      </c>
      <c r="J185" s="93"/>
      <c r="L185" s="99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5"/>
      <c r="AF185" s="155"/>
      <c r="AG185" s="155"/>
      <c r="AH185" s="98"/>
      <c r="AI185" s="98"/>
      <c r="AJ185" s="98"/>
      <c r="AK185" s="183"/>
      <c r="AL185" s="91"/>
      <c r="AM185" s="91"/>
      <c r="AR185" s="243"/>
    </row>
  </sheetData>
  <sheetProtection autoFilter="0"/>
  <autoFilter ref="A5:CR89">
    <filterColumn colId="9" showButton="0"/>
  </autoFilter>
  <mergeCells count="63">
    <mergeCell ref="AW27:BF27"/>
    <mergeCell ref="G78:G81"/>
    <mergeCell ref="Z78:Z80"/>
    <mergeCell ref="AW79:BG79"/>
    <mergeCell ref="T106:V106"/>
    <mergeCell ref="G26:G29"/>
    <mergeCell ref="Z26:Z28"/>
    <mergeCell ref="G54:G57"/>
    <mergeCell ref="G82:G85"/>
    <mergeCell ref="Z82:Z84"/>
    <mergeCell ref="G86:G89"/>
    <mergeCell ref="Z86:Z88"/>
    <mergeCell ref="Z91:AA91"/>
    <mergeCell ref="Z93:AA93"/>
    <mergeCell ref="G70:G73"/>
    <mergeCell ref="Z70:Z72"/>
    <mergeCell ref="G30:G33"/>
    <mergeCell ref="Z30:Z32"/>
    <mergeCell ref="AW71:BF71"/>
    <mergeCell ref="G74:G77"/>
    <mergeCell ref="Z74:Z76"/>
    <mergeCell ref="AW75:BG75"/>
    <mergeCell ref="Z54:Z56"/>
    <mergeCell ref="G58:G61"/>
    <mergeCell ref="Z58:Z60"/>
    <mergeCell ref="G66:G69"/>
    <mergeCell ref="Z66:Z68"/>
    <mergeCell ref="G62:G65"/>
    <mergeCell ref="Z62:Z64"/>
    <mergeCell ref="AW43:BF43"/>
    <mergeCell ref="G46:G49"/>
    <mergeCell ref="Z46:Z48"/>
    <mergeCell ref="G50:G53"/>
    <mergeCell ref="Z50:Z52"/>
    <mergeCell ref="AW51:BF51"/>
    <mergeCell ref="G34:G37"/>
    <mergeCell ref="Z34:Z36"/>
    <mergeCell ref="G38:G41"/>
    <mergeCell ref="Z38:Z40"/>
    <mergeCell ref="Z42:Z44"/>
    <mergeCell ref="G42:G45"/>
    <mergeCell ref="G18:G21"/>
    <mergeCell ref="Z18:Z20"/>
    <mergeCell ref="AW19:BF19"/>
    <mergeCell ref="G22:G25"/>
    <mergeCell ref="Z22:Z24"/>
    <mergeCell ref="G14:G17"/>
    <mergeCell ref="Z14:Z16"/>
    <mergeCell ref="AW15:BF15"/>
    <mergeCell ref="J5:K5"/>
    <mergeCell ref="G6:G9"/>
    <mergeCell ref="Z6:Z8"/>
    <mergeCell ref="AW7:BF7"/>
    <mergeCell ref="G10:G13"/>
    <mergeCell ref="Z10:Z12"/>
    <mergeCell ref="AW11:BF11"/>
    <mergeCell ref="AD1:AE1"/>
    <mergeCell ref="AD2:AE3"/>
    <mergeCell ref="H3:I3"/>
    <mergeCell ref="K3:L3"/>
    <mergeCell ref="B4:G4"/>
    <mergeCell ref="K4:L4"/>
    <mergeCell ref="AD4:AE4"/>
  </mergeCells>
  <conditionalFormatting sqref="AD2:AE3">
    <cfRule type="cellIs" dxfId="7352" priority="1341" operator="lessThan">
      <formula>0.85</formula>
    </cfRule>
  </conditionalFormatting>
  <conditionalFormatting sqref="AM1:AM5 AM90:AM1048576">
    <cfRule type="cellIs" dxfId="7351" priority="1340" operator="notEqual">
      <formula>0</formula>
    </cfRule>
  </conditionalFormatting>
  <conditionalFormatting sqref="AQ90:AQ92 AQ6 AQ10 AQ14 AQ18 AQ22 AQ26 AQ30 AQ34 AQ38 AQ42 AQ46 AQ50 AQ54 AQ58 AQ66 AQ70 AQ74 AQ82 AQ86">
    <cfRule type="cellIs" dxfId="7350" priority="1339" operator="lessThan">
      <formula>0</formula>
    </cfRule>
  </conditionalFormatting>
  <conditionalFormatting sqref="X90:Y90">
    <cfRule type="cellIs" dxfId="7349" priority="1338" operator="lessThan">
      <formula>0</formula>
    </cfRule>
  </conditionalFormatting>
  <conditionalFormatting sqref="AM18:AM21">
    <cfRule type="cellIs" dxfId="7348" priority="1329" operator="notEqual">
      <formula>0</formula>
    </cfRule>
  </conditionalFormatting>
  <conditionalFormatting sqref="I20">
    <cfRule type="cellIs" dxfId="7347" priority="1328" operator="greaterThan">
      <formula>0</formula>
    </cfRule>
  </conditionalFormatting>
  <conditionalFormatting sqref="J20">
    <cfRule type="cellIs" dxfId="7346" priority="1327" operator="greaterThan">
      <formula>0</formula>
    </cfRule>
  </conditionalFormatting>
  <conditionalFormatting sqref="AM54:AM57">
    <cfRule type="cellIs" dxfId="7345" priority="1322" operator="notEqual">
      <formula>0</formula>
    </cfRule>
  </conditionalFormatting>
  <conditionalFormatting sqref="I56">
    <cfRule type="cellIs" dxfId="7344" priority="1321" operator="greaterThan">
      <formula>0</formula>
    </cfRule>
  </conditionalFormatting>
  <conditionalFormatting sqref="J56">
    <cfRule type="cellIs" dxfId="7343" priority="1320" operator="greaterThan">
      <formula>0</formula>
    </cfRule>
  </conditionalFormatting>
  <conditionalFormatting sqref="AM30:AM33">
    <cfRule type="cellIs" dxfId="7342" priority="1318" operator="notEqual">
      <formula>0</formula>
    </cfRule>
  </conditionalFormatting>
  <conditionalFormatting sqref="I32">
    <cfRule type="cellIs" dxfId="7341" priority="1317" operator="greaterThan">
      <formula>0</formula>
    </cfRule>
  </conditionalFormatting>
  <conditionalFormatting sqref="J32">
    <cfRule type="cellIs" dxfId="7340" priority="1316" operator="greaterThan">
      <formula>0</formula>
    </cfRule>
  </conditionalFormatting>
  <conditionalFormatting sqref="AM46:AM49">
    <cfRule type="cellIs" dxfId="7339" priority="1312" operator="notEqual">
      <formula>0</formula>
    </cfRule>
  </conditionalFormatting>
  <conditionalFormatting sqref="I48">
    <cfRule type="cellIs" dxfId="7338" priority="1311" operator="greaterThan">
      <formula>0</formula>
    </cfRule>
  </conditionalFormatting>
  <conditionalFormatting sqref="J48">
    <cfRule type="cellIs" dxfId="7337" priority="1310" operator="greaterThan">
      <formula>0</formula>
    </cfRule>
  </conditionalFormatting>
  <conditionalFormatting sqref="AM22:AM25">
    <cfRule type="cellIs" dxfId="7336" priority="1308" operator="notEqual">
      <formula>0</formula>
    </cfRule>
  </conditionalFormatting>
  <conditionalFormatting sqref="I24">
    <cfRule type="cellIs" dxfId="7335" priority="1307" operator="greaterThan">
      <formula>0</formula>
    </cfRule>
  </conditionalFormatting>
  <conditionalFormatting sqref="J24">
    <cfRule type="cellIs" dxfId="7334" priority="1306" operator="greaterThan">
      <formula>0</formula>
    </cfRule>
  </conditionalFormatting>
  <conditionalFormatting sqref="AM82:AM85">
    <cfRule type="cellIs" dxfId="7333" priority="1304" operator="notEqual">
      <formula>0</formula>
    </cfRule>
  </conditionalFormatting>
  <conditionalFormatting sqref="I84">
    <cfRule type="cellIs" dxfId="7332" priority="1303" operator="greaterThan">
      <formula>0</formula>
    </cfRule>
  </conditionalFormatting>
  <conditionalFormatting sqref="AM74:AM77">
    <cfRule type="cellIs" dxfId="7331" priority="1301" operator="notEqual">
      <formula>0</formula>
    </cfRule>
  </conditionalFormatting>
  <conditionalFormatting sqref="I76">
    <cfRule type="cellIs" dxfId="7330" priority="1300" operator="greaterThan">
      <formula>0</formula>
    </cfRule>
  </conditionalFormatting>
  <conditionalFormatting sqref="J76">
    <cfRule type="cellIs" dxfId="7329" priority="1299" operator="greaterThan">
      <formula>0</formula>
    </cfRule>
  </conditionalFormatting>
  <conditionalFormatting sqref="Y20 Y24 Y32 Y48 Y56 Y76 Y84">
    <cfRule type="cellIs" dxfId="7328" priority="1298" operator="lessThan">
      <formula>0</formula>
    </cfRule>
  </conditionalFormatting>
  <conditionalFormatting sqref="Y18:Y20 Y22:Y24 Y30:Y32 Y46:Y48 Y54:Y56 Y74:Y76 Y82:Y84">
    <cfRule type="cellIs" dxfId="7327" priority="1297" operator="lessThan">
      <formula>0</formula>
    </cfRule>
  </conditionalFormatting>
  <conditionalFormatting sqref="Y21 Y25 Y33 Y49 Y57 Y77 Y85">
    <cfRule type="cellIs" dxfId="7326" priority="1296" operator="lessThan">
      <formula>0</formula>
    </cfRule>
  </conditionalFormatting>
  <conditionalFormatting sqref="AM38:AM41">
    <cfRule type="cellIs" dxfId="7325" priority="1294" operator="notEqual">
      <formula>0</formula>
    </cfRule>
  </conditionalFormatting>
  <conditionalFormatting sqref="I40">
    <cfRule type="cellIs" dxfId="7324" priority="1293" operator="greaterThan">
      <formula>0</formula>
    </cfRule>
  </conditionalFormatting>
  <conditionalFormatting sqref="Y39">
    <cfRule type="iconSet" priority="1292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7323" priority="1291" operator="lessThan">
      <formula>0</formula>
    </cfRule>
  </conditionalFormatting>
  <conditionalFormatting sqref="Y38:Y40">
    <cfRule type="cellIs" dxfId="7322" priority="1290" operator="lessThan">
      <formula>0</formula>
    </cfRule>
  </conditionalFormatting>
  <conditionalFormatting sqref="Y41">
    <cfRule type="cellIs" dxfId="7321" priority="1289" operator="lessThan">
      <formula>0</formula>
    </cfRule>
  </conditionalFormatting>
  <conditionalFormatting sqref="AM42:AM45">
    <cfRule type="cellIs" dxfId="7320" priority="1287" operator="notEqual">
      <formula>0</formula>
    </cfRule>
  </conditionalFormatting>
  <conditionalFormatting sqref="I44">
    <cfRule type="cellIs" dxfId="7319" priority="1286" operator="greaterThan">
      <formula>0</formula>
    </cfRule>
  </conditionalFormatting>
  <conditionalFormatting sqref="Y43">
    <cfRule type="iconSet" priority="1285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7318" priority="1284" operator="lessThan">
      <formula>0</formula>
    </cfRule>
  </conditionalFormatting>
  <conditionalFormatting sqref="Y42:Y44">
    <cfRule type="cellIs" dxfId="7317" priority="1283" operator="lessThan">
      <formula>0</formula>
    </cfRule>
  </conditionalFormatting>
  <conditionalFormatting sqref="Y45">
    <cfRule type="cellIs" dxfId="7316" priority="1282" operator="lessThan">
      <formula>0</formula>
    </cfRule>
  </conditionalFormatting>
  <conditionalFormatting sqref="AM66:AM69">
    <cfRule type="cellIs" dxfId="7315" priority="1280" operator="notEqual">
      <formula>0</formula>
    </cfRule>
  </conditionalFormatting>
  <conditionalFormatting sqref="I68">
    <cfRule type="cellIs" dxfId="7314" priority="1279" operator="greaterThan">
      <formula>0</formula>
    </cfRule>
  </conditionalFormatting>
  <conditionalFormatting sqref="Y67">
    <cfRule type="iconSet" priority="1278">
      <iconSet>
        <cfvo type="percent" val="0"/>
        <cfvo type="percent" val="&quot;$I$6&quot;"/>
        <cfvo type="percent" val="#REF!"/>
      </iconSet>
    </cfRule>
  </conditionalFormatting>
  <conditionalFormatting sqref="Y68">
    <cfRule type="cellIs" dxfId="7313" priority="1277" operator="lessThan">
      <formula>0</formula>
    </cfRule>
  </conditionalFormatting>
  <conditionalFormatting sqref="Y66:Y68">
    <cfRule type="cellIs" dxfId="7312" priority="1276" operator="lessThan">
      <formula>0</formula>
    </cfRule>
  </conditionalFormatting>
  <conditionalFormatting sqref="Y69">
    <cfRule type="cellIs" dxfId="7311" priority="1275" operator="lessThan">
      <formula>0</formula>
    </cfRule>
  </conditionalFormatting>
  <conditionalFormatting sqref="AM14:AM17">
    <cfRule type="cellIs" dxfId="7310" priority="1273" operator="notEqual">
      <formula>0</formula>
    </cfRule>
  </conditionalFormatting>
  <conditionalFormatting sqref="Y15">
    <cfRule type="iconSet" priority="1272">
      <iconSet>
        <cfvo type="percent" val="0"/>
        <cfvo type="percent" val="&quot;$I$6&quot;"/>
        <cfvo type="percent" val="#REF!"/>
      </iconSet>
    </cfRule>
  </conditionalFormatting>
  <conditionalFormatting sqref="Y16">
    <cfRule type="cellIs" dxfId="7309" priority="1271" operator="lessThan">
      <formula>0</formula>
    </cfRule>
  </conditionalFormatting>
  <conditionalFormatting sqref="Y14:Y16">
    <cfRule type="cellIs" dxfId="7308" priority="1270" operator="lessThan">
      <formula>0</formula>
    </cfRule>
  </conditionalFormatting>
  <conditionalFormatting sqref="Y17">
    <cfRule type="cellIs" dxfId="7307" priority="1269" operator="lessThan">
      <formula>0</formula>
    </cfRule>
  </conditionalFormatting>
  <conditionalFormatting sqref="AM86:AM87">
    <cfRule type="cellIs" dxfId="7306" priority="1267" operator="notEqual">
      <formula>0</formula>
    </cfRule>
  </conditionalFormatting>
  <conditionalFormatting sqref="I88">
    <cfRule type="cellIs" dxfId="7305" priority="1266" operator="greaterThan">
      <formula>0</formula>
    </cfRule>
  </conditionalFormatting>
  <conditionalFormatting sqref="Y87">
    <cfRule type="iconSet" priority="1265">
      <iconSet>
        <cfvo type="percent" val="0"/>
        <cfvo type="percent" val="&quot;$I$6&quot;"/>
        <cfvo type="percent" val="#REF!"/>
      </iconSet>
    </cfRule>
  </conditionalFormatting>
  <conditionalFormatting sqref="Y88">
    <cfRule type="cellIs" dxfId="7304" priority="1264" operator="lessThan">
      <formula>0</formula>
    </cfRule>
  </conditionalFormatting>
  <conditionalFormatting sqref="Y86:Y88">
    <cfRule type="cellIs" dxfId="7303" priority="1263" operator="lessThan">
      <formula>0</formula>
    </cfRule>
  </conditionalFormatting>
  <conditionalFormatting sqref="Y89">
    <cfRule type="cellIs" dxfId="7302" priority="1262" operator="lessThan">
      <formula>0</formula>
    </cfRule>
  </conditionalFormatting>
  <conditionalFormatting sqref="AM50:AM53">
    <cfRule type="cellIs" dxfId="7301" priority="1260" operator="notEqual">
      <formula>0</formula>
    </cfRule>
  </conditionalFormatting>
  <conditionalFormatting sqref="I52">
    <cfRule type="cellIs" dxfId="7300" priority="1259" operator="greaterThan">
      <formula>0</formula>
    </cfRule>
  </conditionalFormatting>
  <conditionalFormatting sqref="Y51">
    <cfRule type="iconSet" priority="1258">
      <iconSet>
        <cfvo type="percent" val="0"/>
        <cfvo type="percent" val="&quot;$I$6&quot;"/>
        <cfvo type="percent" val="#REF!"/>
      </iconSet>
    </cfRule>
  </conditionalFormatting>
  <conditionalFormatting sqref="Y52">
    <cfRule type="cellIs" dxfId="7299" priority="1257" operator="lessThan">
      <formula>0</formula>
    </cfRule>
  </conditionalFormatting>
  <conditionalFormatting sqref="Y50:Y52">
    <cfRule type="cellIs" dxfId="7298" priority="1256" operator="lessThan">
      <formula>0</formula>
    </cfRule>
  </conditionalFormatting>
  <conditionalFormatting sqref="Y53">
    <cfRule type="cellIs" dxfId="7297" priority="1255" operator="lessThan">
      <formula>0</formula>
    </cfRule>
  </conditionalFormatting>
  <conditionalFormatting sqref="AQ6">
    <cfRule type="cellIs" dxfId="7296" priority="1254" operator="lessThan">
      <formula>0</formula>
    </cfRule>
  </conditionalFormatting>
  <conditionalFormatting sqref="AQ6">
    <cfRule type="cellIs" dxfId="7295" priority="1253" operator="lessThan">
      <formula>0</formula>
    </cfRule>
  </conditionalFormatting>
  <conditionalFormatting sqref="AQ8:AQ9">
    <cfRule type="cellIs" dxfId="7294" priority="1252" operator="lessThan">
      <formula>0</formula>
    </cfRule>
  </conditionalFormatting>
  <conditionalFormatting sqref="AQ8:AQ9">
    <cfRule type="cellIs" dxfId="7293" priority="1251" operator="lessThan">
      <formula>0</formula>
    </cfRule>
  </conditionalFormatting>
  <conditionalFormatting sqref="AQ8:AQ9">
    <cfRule type="cellIs" dxfId="7292" priority="1250" operator="lessThan">
      <formula>0</formula>
    </cfRule>
  </conditionalFormatting>
  <conditionalFormatting sqref="AQ8:AQ9">
    <cfRule type="cellIs" dxfId="7291" priority="1249" operator="lessThan">
      <formula>0</formula>
    </cfRule>
  </conditionalFormatting>
  <conditionalFormatting sqref="AQ8:AQ9">
    <cfRule type="cellIs" dxfId="7290" priority="1248" operator="lessThan">
      <formula>0</formula>
    </cfRule>
  </conditionalFormatting>
  <conditionalFormatting sqref="AQ8:AQ9">
    <cfRule type="cellIs" dxfId="7289" priority="1247" operator="lessThan">
      <formula>0</formula>
    </cfRule>
  </conditionalFormatting>
  <conditionalFormatting sqref="AQ8:AQ9">
    <cfRule type="cellIs" dxfId="7288" priority="1246" operator="lessThan">
      <formula>0</formula>
    </cfRule>
  </conditionalFormatting>
  <conditionalFormatting sqref="AQ8:AQ9">
    <cfRule type="cellIs" dxfId="7287" priority="1245" operator="lessThan">
      <formula>0</formula>
    </cfRule>
  </conditionalFormatting>
  <conditionalFormatting sqref="AQ6">
    <cfRule type="cellIs" dxfId="7286" priority="1244" operator="lessThan">
      <formula>0</formula>
    </cfRule>
  </conditionalFormatting>
  <conditionalFormatting sqref="AQ6 AQ8:AQ9">
    <cfRule type="cellIs" dxfId="7285" priority="1243" operator="lessThan">
      <formula>0</formula>
    </cfRule>
  </conditionalFormatting>
  <conditionalFormatting sqref="AM6:AM9">
    <cfRule type="cellIs" dxfId="7284" priority="1242" operator="notEqual">
      <formula>0</formula>
    </cfRule>
  </conditionalFormatting>
  <conditionalFormatting sqref="I8">
    <cfRule type="cellIs" dxfId="7283" priority="1241" operator="greaterThan">
      <formula>0</formula>
    </cfRule>
  </conditionalFormatting>
  <conditionalFormatting sqref="AQ6 AQ8:AQ9">
    <cfRule type="cellIs" dxfId="7282" priority="1240" operator="lessThan">
      <formula>0</formula>
    </cfRule>
  </conditionalFormatting>
  <conditionalFormatting sqref="AQ6 AQ8:AQ9">
    <cfRule type="cellIs" dxfId="7281" priority="1239" operator="lessThan">
      <formula>0</formula>
    </cfRule>
  </conditionalFormatting>
  <conditionalFormatting sqref="AQ6 AQ8:AQ9">
    <cfRule type="cellIs" dxfId="7280" priority="1238" operator="lessThan">
      <formula>0</formula>
    </cfRule>
  </conditionalFormatting>
  <conditionalFormatting sqref="J8">
    <cfRule type="cellIs" dxfId="7279" priority="1237" operator="greaterThan">
      <formula>0</formula>
    </cfRule>
  </conditionalFormatting>
  <conditionalFormatting sqref="AQ8:AQ9">
    <cfRule type="cellIs" dxfId="7278" priority="1236" operator="lessThan">
      <formula>0</formula>
    </cfRule>
  </conditionalFormatting>
  <conditionalFormatting sqref="AQ8:AQ9">
    <cfRule type="cellIs" dxfId="7277" priority="1235" operator="lessThan">
      <formula>0</formula>
    </cfRule>
  </conditionalFormatting>
  <conditionalFormatting sqref="AQ8:AQ9">
    <cfRule type="cellIs" dxfId="7276" priority="1234" operator="lessThan">
      <formula>0</formula>
    </cfRule>
  </conditionalFormatting>
  <conditionalFormatting sqref="AQ8:AQ9">
    <cfRule type="cellIs" dxfId="7275" priority="1233" operator="lessThan">
      <formula>0</formula>
    </cfRule>
  </conditionalFormatting>
  <conditionalFormatting sqref="Y7">
    <cfRule type="iconSet" priority="1231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7274" priority="1230" operator="lessThan">
      <formula>0</formula>
    </cfRule>
  </conditionalFormatting>
  <conditionalFormatting sqref="Y6:Y8">
    <cfRule type="cellIs" dxfId="7273" priority="1229" operator="lessThan">
      <formula>0</formula>
    </cfRule>
  </conditionalFormatting>
  <conditionalFormatting sqref="Y9">
    <cfRule type="cellIs" dxfId="7272" priority="1228" operator="lessThan">
      <formula>0</formula>
    </cfRule>
  </conditionalFormatting>
  <conditionalFormatting sqref="J40">
    <cfRule type="cellIs" dxfId="7271" priority="1227" operator="greaterThan">
      <formula>0</formula>
    </cfRule>
  </conditionalFormatting>
  <conditionalFormatting sqref="J44">
    <cfRule type="cellIs" dxfId="7270" priority="1226" operator="greaterThan">
      <formula>0</formula>
    </cfRule>
  </conditionalFormatting>
  <conditionalFormatting sqref="J84">
    <cfRule type="cellIs" dxfId="7269" priority="1225" operator="greaterThan">
      <formula>0</formula>
    </cfRule>
  </conditionalFormatting>
  <conditionalFormatting sqref="AM58:AM61">
    <cfRule type="cellIs" dxfId="7268" priority="1223" operator="notEqual">
      <formula>0</formula>
    </cfRule>
  </conditionalFormatting>
  <conditionalFormatting sqref="Y59">
    <cfRule type="iconSet" priority="1222">
      <iconSet>
        <cfvo type="percent" val="0"/>
        <cfvo type="percent" val="&quot;$I$6&quot;"/>
        <cfvo type="percent" val="#REF!"/>
      </iconSet>
    </cfRule>
  </conditionalFormatting>
  <conditionalFormatting sqref="Y60">
    <cfRule type="cellIs" dxfId="7267" priority="1221" operator="lessThan">
      <formula>0</formula>
    </cfRule>
  </conditionalFormatting>
  <conditionalFormatting sqref="Y58:Y60">
    <cfRule type="cellIs" dxfId="7266" priority="1220" operator="lessThan">
      <formula>0</formula>
    </cfRule>
  </conditionalFormatting>
  <conditionalFormatting sqref="Y61">
    <cfRule type="cellIs" dxfId="7265" priority="1219" operator="lessThan">
      <formula>0</formula>
    </cfRule>
  </conditionalFormatting>
  <conditionalFormatting sqref="I60">
    <cfRule type="cellIs" dxfId="7264" priority="1218" operator="greaterThan">
      <formula>0</formula>
    </cfRule>
  </conditionalFormatting>
  <conditionalFormatting sqref="AM34:AM37">
    <cfRule type="cellIs" dxfId="7263" priority="1216" operator="notEqual">
      <formula>0</formula>
    </cfRule>
  </conditionalFormatting>
  <conditionalFormatting sqref="I36">
    <cfRule type="cellIs" dxfId="7262" priority="1215" operator="greaterThan">
      <formula>0</formula>
    </cfRule>
  </conditionalFormatting>
  <conditionalFormatting sqref="Y35">
    <cfRule type="iconSet" priority="1214">
      <iconSet>
        <cfvo type="percent" val="0"/>
        <cfvo type="percent" val="&quot;$I$6&quot;"/>
        <cfvo type="percent" val="#REF!"/>
      </iconSet>
    </cfRule>
  </conditionalFormatting>
  <conditionalFormatting sqref="Y36">
    <cfRule type="cellIs" dxfId="7261" priority="1213" operator="lessThan">
      <formula>0</formula>
    </cfRule>
  </conditionalFormatting>
  <conditionalFormatting sqref="Y34:Y36">
    <cfRule type="cellIs" dxfId="7260" priority="1212" operator="lessThan">
      <formula>0</formula>
    </cfRule>
  </conditionalFormatting>
  <conditionalFormatting sqref="Y37">
    <cfRule type="cellIs" dxfId="7259" priority="1211" operator="lessThan">
      <formula>0</formula>
    </cfRule>
  </conditionalFormatting>
  <conditionalFormatting sqref="J52">
    <cfRule type="cellIs" dxfId="7258" priority="1209" operator="greaterThan">
      <formula>0</formula>
    </cfRule>
  </conditionalFormatting>
  <conditionalFormatting sqref="Z25">
    <cfRule type="cellIs" dxfId="7257" priority="1208" operator="lessThan">
      <formula>0</formula>
    </cfRule>
  </conditionalFormatting>
  <conditionalFormatting sqref="Y83 Y19 Y23 Y31 Y47 Y55 Y75">
    <cfRule type="iconSet" priority="1342">
      <iconSet>
        <cfvo type="percent" val="0"/>
        <cfvo type="percent" val="&quot;$I$6&quot;"/>
        <cfvo type="percent" val="#REF!"/>
      </iconSet>
    </cfRule>
  </conditionalFormatting>
  <conditionalFormatting sqref="AQ7">
    <cfRule type="cellIs" dxfId="7256" priority="1207" operator="lessThan">
      <formula>0</formula>
    </cfRule>
  </conditionalFormatting>
  <conditionalFormatting sqref="AQ7">
    <cfRule type="cellIs" dxfId="7255" priority="1206" operator="lessThan">
      <formula>0</formula>
    </cfRule>
  </conditionalFormatting>
  <conditionalFormatting sqref="AQ7">
    <cfRule type="cellIs" dxfId="7254" priority="1205" operator="lessThan">
      <formula>0</formula>
    </cfRule>
  </conditionalFormatting>
  <conditionalFormatting sqref="AQ7">
    <cfRule type="cellIs" dxfId="7253" priority="1204" operator="lessThan">
      <formula>0</formula>
    </cfRule>
  </conditionalFormatting>
  <conditionalFormatting sqref="AQ7">
    <cfRule type="cellIs" dxfId="7252" priority="1203" operator="lessThan">
      <formula>0</formula>
    </cfRule>
  </conditionalFormatting>
  <conditionalFormatting sqref="AQ7">
    <cfRule type="cellIs" dxfId="7251" priority="1202" operator="lessThan">
      <formula>0</formula>
    </cfRule>
  </conditionalFormatting>
  <conditionalFormatting sqref="AQ7">
    <cfRule type="cellIs" dxfId="7250" priority="1201" operator="lessThan">
      <formula>0</formula>
    </cfRule>
  </conditionalFormatting>
  <conditionalFormatting sqref="AQ7">
    <cfRule type="cellIs" dxfId="7249" priority="1200" operator="lessThan">
      <formula>0</formula>
    </cfRule>
  </conditionalFormatting>
  <conditionalFormatting sqref="AQ7">
    <cfRule type="cellIs" dxfId="7248" priority="1199" operator="lessThan">
      <formula>0</formula>
    </cfRule>
  </conditionalFormatting>
  <conditionalFormatting sqref="AQ7">
    <cfRule type="cellIs" dxfId="7247" priority="1198" operator="lessThan">
      <formula>0</formula>
    </cfRule>
  </conditionalFormatting>
  <conditionalFormatting sqref="AQ7">
    <cfRule type="cellIs" dxfId="7246" priority="1197" operator="lessThan">
      <formula>0</formula>
    </cfRule>
  </conditionalFormatting>
  <conditionalFormatting sqref="AQ7">
    <cfRule type="cellIs" dxfId="7245" priority="1196" operator="lessThan">
      <formula>0</formula>
    </cfRule>
  </conditionalFormatting>
  <conditionalFormatting sqref="AQ7">
    <cfRule type="cellIs" dxfId="7244" priority="1195" operator="lessThan">
      <formula>0</formula>
    </cfRule>
  </conditionalFormatting>
  <conditionalFormatting sqref="AQ7">
    <cfRule type="cellIs" dxfId="7243" priority="1194" operator="lessThan">
      <formula>0</formula>
    </cfRule>
  </conditionalFormatting>
  <conditionalFormatting sqref="AQ7">
    <cfRule type="cellIs" dxfId="7242" priority="1193" operator="lessThan">
      <formula>0</formula>
    </cfRule>
  </conditionalFormatting>
  <conditionalFormatting sqref="AQ7">
    <cfRule type="cellIs" dxfId="7241" priority="1192" operator="lessThan">
      <formula>0</formula>
    </cfRule>
  </conditionalFormatting>
  <conditionalFormatting sqref="AQ7">
    <cfRule type="cellIs" dxfId="7240" priority="1191" operator="lessThan">
      <formula>0</formula>
    </cfRule>
  </conditionalFormatting>
  <conditionalFormatting sqref="AQ7">
    <cfRule type="cellIs" dxfId="7239" priority="1190" operator="lessThan">
      <formula>0</formula>
    </cfRule>
  </conditionalFormatting>
  <conditionalFormatting sqref="AQ7">
    <cfRule type="cellIs" dxfId="7238" priority="1189" operator="lessThan">
      <formula>0</formula>
    </cfRule>
  </conditionalFormatting>
  <conditionalFormatting sqref="AQ7">
    <cfRule type="cellIs" dxfId="7237" priority="1188" operator="lessThan">
      <formula>0</formula>
    </cfRule>
  </conditionalFormatting>
  <conditionalFormatting sqref="AQ7">
    <cfRule type="cellIs" dxfId="7236" priority="1187" operator="lessThan">
      <formula>0</formula>
    </cfRule>
  </conditionalFormatting>
  <conditionalFormatting sqref="AQ7">
    <cfRule type="cellIs" dxfId="7235" priority="1186" operator="lessThan">
      <formula>0</formula>
    </cfRule>
  </conditionalFormatting>
  <conditionalFormatting sqref="AQ7">
    <cfRule type="cellIs" dxfId="7234" priority="1185" operator="lessThan">
      <formula>0</formula>
    </cfRule>
  </conditionalFormatting>
  <conditionalFormatting sqref="AQ7">
    <cfRule type="cellIs" dxfId="7233" priority="1184" operator="lessThan">
      <formula>0</formula>
    </cfRule>
  </conditionalFormatting>
  <conditionalFormatting sqref="AQ7">
    <cfRule type="cellIs" dxfId="7232" priority="1183" operator="lessThan">
      <formula>0</formula>
    </cfRule>
  </conditionalFormatting>
  <conditionalFormatting sqref="AQ7">
    <cfRule type="cellIs" dxfId="7231" priority="1182" operator="lessThan">
      <formula>0</formula>
    </cfRule>
  </conditionalFormatting>
  <conditionalFormatting sqref="AQ7">
    <cfRule type="cellIs" dxfId="7230" priority="1181" operator="lessThan">
      <formula>0</formula>
    </cfRule>
  </conditionalFormatting>
  <conditionalFormatting sqref="AQ7">
    <cfRule type="cellIs" dxfId="7229" priority="1180" operator="lessThan">
      <formula>0</formula>
    </cfRule>
  </conditionalFormatting>
  <conditionalFormatting sqref="AQ7">
    <cfRule type="cellIs" dxfId="7228" priority="1179" operator="lessThan">
      <formula>0</formula>
    </cfRule>
  </conditionalFormatting>
  <conditionalFormatting sqref="AQ7">
    <cfRule type="cellIs" dxfId="7227" priority="1178" operator="lessThan">
      <formula>0</formula>
    </cfRule>
  </conditionalFormatting>
  <conditionalFormatting sqref="AQ7">
    <cfRule type="cellIs" dxfId="7226" priority="1177" operator="lessThan">
      <formula>0</formula>
    </cfRule>
  </conditionalFormatting>
  <conditionalFormatting sqref="AQ7">
    <cfRule type="cellIs" dxfId="7225" priority="1176" operator="lessThan">
      <formula>0</formula>
    </cfRule>
  </conditionalFormatting>
  <conditionalFormatting sqref="AQ7">
    <cfRule type="cellIs" dxfId="7224" priority="1175" operator="lessThan">
      <formula>0</formula>
    </cfRule>
  </conditionalFormatting>
  <conditionalFormatting sqref="AQ7">
    <cfRule type="cellIs" dxfId="7223" priority="1174" operator="lessThan">
      <formula>0</formula>
    </cfRule>
  </conditionalFormatting>
  <conditionalFormatting sqref="AQ7">
    <cfRule type="cellIs" dxfId="7222" priority="1173" operator="lessThan">
      <formula>0</formula>
    </cfRule>
  </conditionalFormatting>
  <conditionalFormatting sqref="AQ7">
    <cfRule type="cellIs" dxfId="7221" priority="1172" operator="lessThan">
      <formula>0</formula>
    </cfRule>
  </conditionalFormatting>
  <conditionalFormatting sqref="AQ7">
    <cfRule type="cellIs" dxfId="7220" priority="1171" operator="lessThan">
      <formula>0</formula>
    </cfRule>
  </conditionalFormatting>
  <conditionalFormatting sqref="AQ7">
    <cfRule type="cellIs" dxfId="7219" priority="1170" operator="lessThan">
      <formula>0</formula>
    </cfRule>
  </conditionalFormatting>
  <conditionalFormatting sqref="AQ7">
    <cfRule type="cellIs" dxfId="7218" priority="1169" operator="lessThan">
      <formula>0</formula>
    </cfRule>
  </conditionalFormatting>
  <conditionalFormatting sqref="AQ7">
    <cfRule type="cellIs" dxfId="7217" priority="1168" operator="lessThan">
      <formula>0</formula>
    </cfRule>
  </conditionalFormatting>
  <conditionalFormatting sqref="AQ7">
    <cfRule type="cellIs" dxfId="7216" priority="1167" operator="lessThan">
      <formula>0</formula>
    </cfRule>
  </conditionalFormatting>
  <conditionalFormatting sqref="AQ7">
    <cfRule type="cellIs" dxfId="7215" priority="1166" operator="lessThan">
      <formula>0</formula>
    </cfRule>
  </conditionalFormatting>
  <conditionalFormatting sqref="AQ7">
    <cfRule type="cellIs" dxfId="7214" priority="1165" operator="lessThan">
      <formula>0</formula>
    </cfRule>
  </conditionalFormatting>
  <conditionalFormatting sqref="AQ7">
    <cfRule type="cellIs" dxfId="7213" priority="1164" operator="lessThan">
      <formula>0</formula>
    </cfRule>
  </conditionalFormatting>
  <conditionalFormatting sqref="AQ7">
    <cfRule type="cellIs" dxfId="7212" priority="1163" operator="lessThan">
      <formula>0</formula>
    </cfRule>
  </conditionalFormatting>
  <conditionalFormatting sqref="AQ7">
    <cfRule type="cellIs" dxfId="7211" priority="1162" operator="lessThan">
      <formula>0</formula>
    </cfRule>
  </conditionalFormatting>
  <conditionalFormatting sqref="AQ7">
    <cfRule type="cellIs" dxfId="7210" priority="1161" operator="lessThan">
      <formula>0</formula>
    </cfRule>
  </conditionalFormatting>
  <conditionalFormatting sqref="AQ7">
    <cfRule type="cellIs" dxfId="7209" priority="1160" operator="lessThan">
      <formula>0</formula>
    </cfRule>
  </conditionalFormatting>
  <conditionalFormatting sqref="AQ7">
    <cfRule type="cellIs" dxfId="7208" priority="1159" operator="lessThan">
      <formula>0</formula>
    </cfRule>
  </conditionalFormatting>
  <conditionalFormatting sqref="AQ7">
    <cfRule type="cellIs" dxfId="7207" priority="1158" operator="lessThan">
      <formula>0</formula>
    </cfRule>
  </conditionalFormatting>
  <conditionalFormatting sqref="AQ7">
    <cfRule type="cellIs" dxfId="7206" priority="1157" operator="lessThan">
      <formula>0</formula>
    </cfRule>
  </conditionalFormatting>
  <conditionalFormatting sqref="AQ7">
    <cfRule type="cellIs" dxfId="7205" priority="1156" operator="lessThan">
      <formula>0</formula>
    </cfRule>
  </conditionalFormatting>
  <conditionalFormatting sqref="AQ7">
    <cfRule type="cellIs" dxfId="7204" priority="1155" operator="lessThan">
      <formula>0</formula>
    </cfRule>
  </conditionalFormatting>
  <conditionalFormatting sqref="AQ7">
    <cfRule type="cellIs" dxfId="7203" priority="1154" operator="lessThan">
      <formula>0</formula>
    </cfRule>
  </conditionalFormatting>
  <conditionalFormatting sqref="AQ7">
    <cfRule type="cellIs" dxfId="7202" priority="1153" operator="lessThan">
      <formula>0</formula>
    </cfRule>
  </conditionalFormatting>
  <conditionalFormatting sqref="AQ7">
    <cfRule type="cellIs" dxfId="7201" priority="1152" operator="lessThan">
      <formula>0</formula>
    </cfRule>
  </conditionalFormatting>
  <conditionalFormatting sqref="AQ7">
    <cfRule type="cellIs" dxfId="7200" priority="1151" operator="lessThan">
      <formula>0</formula>
    </cfRule>
  </conditionalFormatting>
  <conditionalFormatting sqref="AQ7">
    <cfRule type="cellIs" dxfId="7199" priority="1150" operator="lessThan">
      <formula>0</formula>
    </cfRule>
  </conditionalFormatting>
  <conditionalFormatting sqref="AQ7">
    <cfRule type="cellIs" dxfId="7198" priority="1149" operator="lessThan">
      <formula>0</formula>
    </cfRule>
  </conditionalFormatting>
  <conditionalFormatting sqref="AQ7">
    <cfRule type="cellIs" dxfId="7197" priority="1148" operator="lessThan">
      <formula>0</formula>
    </cfRule>
  </conditionalFormatting>
  <conditionalFormatting sqref="AQ7">
    <cfRule type="cellIs" dxfId="7196" priority="1147" operator="lessThan">
      <formula>0</formula>
    </cfRule>
  </conditionalFormatting>
  <conditionalFormatting sqref="AQ7">
    <cfRule type="cellIs" dxfId="7195" priority="1146" operator="lessThan">
      <formula>0</formula>
    </cfRule>
  </conditionalFormatting>
  <conditionalFormatting sqref="AQ7">
    <cfRule type="cellIs" dxfId="7194" priority="1145" operator="lessThan">
      <formula>0</formula>
    </cfRule>
  </conditionalFormatting>
  <conditionalFormatting sqref="AQ7">
    <cfRule type="cellIs" dxfId="7193" priority="1144" operator="lessThan">
      <formula>0</formula>
    </cfRule>
  </conditionalFormatting>
  <conditionalFormatting sqref="AQ7">
    <cfRule type="cellIs" dxfId="7192" priority="1143" operator="lessThan">
      <formula>0</formula>
    </cfRule>
  </conditionalFormatting>
  <conditionalFormatting sqref="AQ7">
    <cfRule type="cellIs" dxfId="7191" priority="1142" operator="lessThan">
      <formula>0</formula>
    </cfRule>
  </conditionalFormatting>
  <conditionalFormatting sqref="AQ7">
    <cfRule type="cellIs" dxfId="7190" priority="1141" operator="lessThan">
      <formula>0</formula>
    </cfRule>
  </conditionalFormatting>
  <conditionalFormatting sqref="AQ7">
    <cfRule type="cellIs" dxfId="7189" priority="1140" operator="lessThan">
      <formula>0</formula>
    </cfRule>
  </conditionalFormatting>
  <conditionalFormatting sqref="AQ7">
    <cfRule type="cellIs" dxfId="7188" priority="1139" operator="lessThan">
      <formula>0</formula>
    </cfRule>
  </conditionalFormatting>
  <conditionalFormatting sqref="AQ7">
    <cfRule type="cellIs" dxfId="7187" priority="1138" operator="lessThan">
      <formula>0</formula>
    </cfRule>
  </conditionalFormatting>
  <conditionalFormatting sqref="AQ7">
    <cfRule type="cellIs" dxfId="7186" priority="1137" operator="lessThan">
      <formula>0</formula>
    </cfRule>
  </conditionalFormatting>
  <conditionalFormatting sqref="AQ7">
    <cfRule type="cellIs" dxfId="7185" priority="1136" operator="lessThan">
      <formula>0</formula>
    </cfRule>
  </conditionalFormatting>
  <conditionalFormatting sqref="AQ7">
    <cfRule type="cellIs" dxfId="7184" priority="1135" operator="lessThan">
      <formula>0</formula>
    </cfRule>
  </conditionalFormatting>
  <conditionalFormatting sqref="AQ7">
    <cfRule type="cellIs" dxfId="7183" priority="1134" operator="lessThan">
      <formula>0</formula>
    </cfRule>
  </conditionalFormatting>
  <conditionalFormatting sqref="AQ7">
    <cfRule type="cellIs" dxfId="7182" priority="1133" operator="lessThan">
      <formula>0</formula>
    </cfRule>
  </conditionalFormatting>
  <conditionalFormatting sqref="AQ7">
    <cfRule type="cellIs" dxfId="7181" priority="1132" operator="lessThan">
      <formula>0</formula>
    </cfRule>
  </conditionalFormatting>
  <conditionalFormatting sqref="AQ7">
    <cfRule type="cellIs" dxfId="7180" priority="1131" operator="lessThan">
      <formula>0</formula>
    </cfRule>
  </conditionalFormatting>
  <conditionalFormatting sqref="AQ7">
    <cfRule type="cellIs" dxfId="7179" priority="1130" operator="lessThan">
      <formula>0</formula>
    </cfRule>
  </conditionalFormatting>
  <conditionalFormatting sqref="AQ7">
    <cfRule type="cellIs" dxfId="7178" priority="1129" operator="lessThan">
      <formula>0</formula>
    </cfRule>
  </conditionalFormatting>
  <conditionalFormatting sqref="AQ7">
    <cfRule type="cellIs" dxfId="7177" priority="1128" operator="lessThan">
      <formula>0</formula>
    </cfRule>
  </conditionalFormatting>
  <conditionalFormatting sqref="AQ7">
    <cfRule type="cellIs" dxfId="7176" priority="1112" operator="lessThan">
      <formula>0</formula>
    </cfRule>
  </conditionalFormatting>
  <conditionalFormatting sqref="AQ7">
    <cfRule type="cellIs" dxfId="7175" priority="1127" operator="lessThan">
      <formula>0</formula>
    </cfRule>
  </conditionalFormatting>
  <conditionalFormatting sqref="AQ7">
    <cfRule type="cellIs" dxfId="7174" priority="1126" operator="lessThan">
      <formula>0</formula>
    </cfRule>
  </conditionalFormatting>
  <conditionalFormatting sqref="AQ7">
    <cfRule type="cellIs" dxfId="7173" priority="1125" operator="lessThan">
      <formula>0</formula>
    </cfRule>
  </conditionalFormatting>
  <conditionalFormatting sqref="AQ7">
    <cfRule type="cellIs" dxfId="7172" priority="1124" operator="lessThan">
      <formula>0</formula>
    </cfRule>
  </conditionalFormatting>
  <conditionalFormatting sqref="AQ7">
    <cfRule type="cellIs" dxfId="7171" priority="1123" operator="lessThan">
      <formula>0</formula>
    </cfRule>
  </conditionalFormatting>
  <conditionalFormatting sqref="AQ7">
    <cfRule type="cellIs" dxfId="7170" priority="1122" operator="lessThan">
      <formula>0</formula>
    </cfRule>
  </conditionalFormatting>
  <conditionalFormatting sqref="AQ7">
    <cfRule type="cellIs" dxfId="7169" priority="1121" operator="lessThan">
      <formula>0</formula>
    </cfRule>
  </conditionalFormatting>
  <conditionalFormatting sqref="AQ7">
    <cfRule type="cellIs" dxfId="7168" priority="1120" operator="lessThan">
      <formula>0</formula>
    </cfRule>
  </conditionalFormatting>
  <conditionalFormatting sqref="AQ7">
    <cfRule type="cellIs" dxfId="7167" priority="1119" operator="lessThan">
      <formula>0</formula>
    </cfRule>
  </conditionalFormatting>
  <conditionalFormatting sqref="AQ7">
    <cfRule type="cellIs" dxfId="7166" priority="1118" operator="lessThan">
      <formula>0</formula>
    </cfRule>
  </conditionalFormatting>
  <conditionalFormatting sqref="AQ7">
    <cfRule type="cellIs" dxfId="7165" priority="1117" operator="lessThan">
      <formula>0</formula>
    </cfRule>
  </conditionalFormatting>
  <conditionalFormatting sqref="AQ7">
    <cfRule type="cellIs" dxfId="7164" priority="1116" operator="lessThan">
      <formula>0</formula>
    </cfRule>
  </conditionalFormatting>
  <conditionalFormatting sqref="AQ7">
    <cfRule type="cellIs" dxfId="7163" priority="1115" operator="lessThan">
      <formula>0</formula>
    </cfRule>
  </conditionalFormatting>
  <conditionalFormatting sqref="AQ7">
    <cfRule type="cellIs" dxfId="7162" priority="1114" operator="lessThan">
      <formula>0</formula>
    </cfRule>
  </conditionalFormatting>
  <conditionalFormatting sqref="AQ7">
    <cfRule type="cellIs" dxfId="7161" priority="1113" operator="lessThan">
      <formula>0</formula>
    </cfRule>
  </conditionalFormatting>
  <conditionalFormatting sqref="J60">
    <cfRule type="cellIs" dxfId="7160" priority="1111" operator="greaterThan">
      <formula>0</formula>
    </cfRule>
  </conditionalFormatting>
  <conditionalFormatting sqref="AM70:AM73">
    <cfRule type="cellIs" dxfId="7159" priority="1108" operator="notEqual">
      <formula>0</formula>
    </cfRule>
  </conditionalFormatting>
  <conditionalFormatting sqref="I72">
    <cfRule type="cellIs" dxfId="7158" priority="1107" operator="greaterThan">
      <formula>0</formula>
    </cfRule>
  </conditionalFormatting>
  <conditionalFormatting sqref="J72">
    <cfRule type="cellIs" dxfId="7157" priority="1106" operator="greaterThan">
      <formula>0</formula>
    </cfRule>
  </conditionalFormatting>
  <conditionalFormatting sqref="Y72">
    <cfRule type="cellIs" dxfId="7156" priority="1105" operator="lessThan">
      <formula>0</formula>
    </cfRule>
  </conditionalFormatting>
  <conditionalFormatting sqref="Y70:Y72">
    <cfRule type="cellIs" dxfId="7155" priority="1104" operator="lessThan">
      <formula>0</formula>
    </cfRule>
  </conditionalFormatting>
  <conditionalFormatting sqref="Y73">
    <cfRule type="cellIs" dxfId="7154" priority="1103" operator="lessThan">
      <formula>0</formula>
    </cfRule>
  </conditionalFormatting>
  <conditionalFormatting sqref="Y71">
    <cfRule type="iconSet" priority="1110">
      <iconSet>
        <cfvo type="percent" val="0"/>
        <cfvo type="percent" val="&quot;$I$6&quot;"/>
        <cfvo type="percent" val="#REF!"/>
      </iconSet>
    </cfRule>
  </conditionalFormatting>
  <conditionalFormatting sqref="AQ6 AQ10 AQ14 AQ18 AQ22 AQ26 AQ30 AQ34 AQ38 AQ42 AQ46 AQ50 AQ54 AQ58 AQ66 AQ70 AQ74 AQ82 AQ86">
    <cfRule type="cellIs" dxfId="7153" priority="1097" operator="lessThan">
      <formula>0</formula>
    </cfRule>
  </conditionalFormatting>
  <conditionalFormatting sqref="AQ6 AQ10 AQ14 AQ18 AQ22 AQ26 AQ30 AQ34 AQ38 AQ42 AQ46 AQ50 AQ54 AQ58 AQ66 AQ70 AQ74 AQ82 AQ86">
    <cfRule type="cellIs" dxfId="7152" priority="1096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51" priority="1095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50" priority="1094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9" priority="1093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8" priority="1092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7" priority="1091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6" priority="1090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5" priority="1089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4" priority="1088" operator="lessThan">
      <formula>0</formula>
    </cfRule>
  </conditionalFormatting>
  <conditionalFormatting sqref="AQ6 AQ10 AQ14 AQ18 AQ22 AQ26 AQ30 AQ34 AQ38 AQ42 AQ46 AQ50 AQ54 AQ58 AQ66 AQ70 AQ74 AQ82 AQ86">
    <cfRule type="cellIs" dxfId="7143" priority="1087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2" priority="1086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1" priority="1085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40" priority="1084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39" priority="1083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38" priority="1082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37" priority="1081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36" priority="1080" operator="lessThan">
      <formula>0</formula>
    </cfRule>
  </conditionalFormatting>
  <conditionalFormatting sqref="AQ8:AQ9 AQ12:AQ13 AQ16:AQ17 AQ20:AQ21 AQ24:AQ25 AQ28:AQ29 AQ32:AQ33 AQ36:AQ37 AQ40:AQ41 AQ44:AQ45 AQ48:AQ49 AQ52:AQ53 AQ56:AQ57 AQ60:AQ61 AQ68:AQ69 AQ72:AQ73 AQ76:AQ77 AQ84:AQ85 AQ88:AQ89">
    <cfRule type="cellIs" dxfId="7135" priority="1079" operator="lessThan">
      <formula>0</formula>
    </cfRule>
  </conditionalFormatting>
  <conditionalFormatting sqref="AQ7 AQ11 AQ15 AQ19 AQ23 AQ27 AQ31 AQ35 AQ39 AQ43 AQ47 AQ51 AQ55 AQ59 AQ67 AQ71 AQ75 AQ83 AQ87">
    <cfRule type="cellIs" dxfId="7134" priority="1078" operator="lessThan">
      <formula>0</formula>
    </cfRule>
  </conditionalFormatting>
  <conditionalFormatting sqref="AQ7 AQ11 AQ15 AQ19 AQ23 AQ27 AQ31 AQ35 AQ39 AQ43 AQ47 AQ51 AQ55 AQ59 AQ67 AQ71 AQ75 AQ83 AQ87">
    <cfRule type="cellIs" dxfId="7133" priority="1077" operator="lessThan">
      <formula>0</formula>
    </cfRule>
  </conditionalFormatting>
  <conditionalFormatting sqref="AQ7 AQ11 AQ15 AQ19 AQ23 AQ27 AQ31 AQ35 AQ39 AQ43 AQ47 AQ51 AQ55 AQ59 AQ67 AQ71 AQ75 AQ83 AQ87">
    <cfRule type="cellIs" dxfId="7132" priority="1076" operator="lessThan">
      <formula>0</formula>
    </cfRule>
  </conditionalFormatting>
  <conditionalFormatting sqref="AQ7 AQ11 AQ15 AQ19 AQ23 AQ27 AQ31 AQ35 AQ39 AQ43 AQ47 AQ51 AQ55 AQ59 AQ67 AQ71 AQ75 AQ83 AQ87">
    <cfRule type="cellIs" dxfId="7131" priority="1075" operator="lessThan">
      <formula>0</formula>
    </cfRule>
  </conditionalFormatting>
  <conditionalFormatting sqref="AQ7 AQ11 AQ15 AQ19 AQ23 AQ27 AQ31 AQ35 AQ39 AQ43 AQ47 AQ51 AQ55 AQ59 AQ67 AQ71 AQ75 AQ83 AQ87">
    <cfRule type="cellIs" dxfId="7130" priority="1074" operator="lessThan">
      <formula>0</formula>
    </cfRule>
  </conditionalFormatting>
  <conditionalFormatting sqref="AQ7 AQ11 AQ15 AQ19 AQ23 AQ27 AQ31 AQ35 AQ39 AQ43 AQ47 AQ51 AQ55 AQ59 AQ67 AQ71 AQ75 AQ83 AQ87">
    <cfRule type="cellIs" dxfId="7129" priority="1073" operator="lessThan">
      <formula>0</formula>
    </cfRule>
  </conditionalFormatting>
  <conditionalFormatting sqref="AQ7 AQ11 AQ15 AQ19 AQ23 AQ27 AQ31 AQ35 AQ39 AQ43 AQ47 AQ51 AQ55 AQ59 AQ67 AQ71 AQ75 AQ83 AQ87">
    <cfRule type="cellIs" dxfId="7128" priority="1072" operator="lessThan">
      <formula>0</formula>
    </cfRule>
  </conditionalFormatting>
  <conditionalFormatting sqref="AQ7 AQ11 AQ15 AQ19 AQ23 AQ27 AQ31 AQ35 AQ39 AQ43 AQ47 AQ51 AQ55 AQ59 AQ67 AQ71 AQ75 AQ83 AQ87">
    <cfRule type="cellIs" dxfId="7127" priority="1071" operator="lessThan">
      <formula>0</formula>
    </cfRule>
  </conditionalFormatting>
  <conditionalFormatting sqref="AQ7 AQ11 AQ15 AQ19 AQ23 AQ27 AQ31 AQ35 AQ39 AQ43 AQ47 AQ51 AQ55 AQ59 AQ67 AQ71 AQ75 AQ83 AQ87">
    <cfRule type="cellIs" dxfId="7126" priority="1070" operator="lessThan">
      <formula>0</formula>
    </cfRule>
  </conditionalFormatting>
  <conditionalFormatting sqref="AQ7 AQ11 AQ15 AQ19 AQ23 AQ27 AQ31 AQ35 AQ39 AQ43 AQ47 AQ51 AQ55 AQ59 AQ67 AQ71 AQ75 AQ83 AQ87">
    <cfRule type="cellIs" dxfId="7125" priority="1069" operator="lessThan">
      <formula>0</formula>
    </cfRule>
  </conditionalFormatting>
  <conditionalFormatting sqref="AQ7 AQ11 AQ15 AQ19 AQ23 AQ27 AQ31 AQ35 AQ39 AQ43 AQ47 AQ51 AQ55 AQ59 AQ67 AQ71 AQ75 AQ83 AQ87">
    <cfRule type="cellIs" dxfId="7124" priority="1068" operator="lessThan">
      <formula>0</formula>
    </cfRule>
  </conditionalFormatting>
  <conditionalFormatting sqref="AQ7 AQ11 AQ15 AQ19 AQ23 AQ27 AQ31 AQ35 AQ39 AQ43 AQ47 AQ51 AQ55 AQ59 AQ67 AQ71 AQ75 AQ83 AQ87">
    <cfRule type="cellIs" dxfId="7123" priority="1067" operator="lessThan">
      <formula>0</formula>
    </cfRule>
  </conditionalFormatting>
  <conditionalFormatting sqref="AQ7 AQ11 AQ15 AQ19 AQ23 AQ27 AQ31 AQ35 AQ39 AQ43 AQ47 AQ51 AQ55 AQ59 AQ67 AQ71 AQ75 AQ83 AQ87">
    <cfRule type="cellIs" dxfId="7122" priority="1066" operator="lessThan">
      <formula>0</formula>
    </cfRule>
  </conditionalFormatting>
  <conditionalFormatting sqref="AQ7 AQ11 AQ15 AQ19 AQ23 AQ27 AQ31 AQ35 AQ39 AQ43 AQ47 AQ51 AQ55 AQ59 AQ67 AQ71 AQ75 AQ83 AQ87">
    <cfRule type="cellIs" dxfId="7121" priority="1065" operator="lessThan">
      <formula>0</formula>
    </cfRule>
  </conditionalFormatting>
  <conditionalFormatting sqref="AQ7 AQ11 AQ15 AQ19 AQ23 AQ27 AQ31 AQ35 AQ39 AQ43 AQ47 AQ51 AQ55 AQ59 AQ67 AQ71 AQ75 AQ83 AQ87">
    <cfRule type="cellIs" dxfId="7120" priority="1064" operator="lessThan">
      <formula>0</formula>
    </cfRule>
  </conditionalFormatting>
  <conditionalFormatting sqref="AQ7 AQ11 AQ15 AQ19 AQ23 AQ27 AQ31 AQ35 AQ39 AQ43 AQ47 AQ51 AQ55 AQ59 AQ67 AQ71 AQ75 AQ83 AQ87">
    <cfRule type="cellIs" dxfId="7119" priority="1063" operator="lessThan">
      <formula>0</formula>
    </cfRule>
  </conditionalFormatting>
  <conditionalFormatting sqref="AQ7 AQ11 AQ15 AQ19 AQ23 AQ27 AQ31 AQ35 AQ39 AQ43 AQ47 AQ51 AQ55 AQ59 AQ67 AQ71 AQ75 AQ83 AQ87">
    <cfRule type="cellIs" dxfId="7118" priority="1062" operator="lessThan">
      <formula>0</formula>
    </cfRule>
  </conditionalFormatting>
  <conditionalFormatting sqref="AQ7 AQ11 AQ15 AQ19 AQ23 AQ27 AQ31 AQ35 AQ39 AQ43 AQ47 AQ51 AQ55 AQ59 AQ67 AQ71 AQ75 AQ83 AQ87">
    <cfRule type="cellIs" dxfId="7117" priority="1061" operator="lessThan">
      <formula>0</formula>
    </cfRule>
  </conditionalFormatting>
  <conditionalFormatting sqref="AQ7 AQ11 AQ15 AQ19 AQ23 AQ27 AQ31 AQ35 AQ39 AQ43 AQ47 AQ51 AQ55 AQ59 AQ67 AQ71 AQ75 AQ83 AQ87">
    <cfRule type="cellIs" dxfId="7116" priority="1060" operator="lessThan">
      <formula>0</formula>
    </cfRule>
  </conditionalFormatting>
  <conditionalFormatting sqref="AQ7 AQ11 AQ15 AQ19 AQ23 AQ27 AQ31 AQ35 AQ39 AQ43 AQ47 AQ51 AQ55 AQ59 AQ67 AQ71 AQ75 AQ83 AQ87">
    <cfRule type="cellIs" dxfId="7115" priority="1059" operator="lessThan">
      <formula>0</formula>
    </cfRule>
  </conditionalFormatting>
  <conditionalFormatting sqref="AQ7 AQ11 AQ15 AQ19 AQ23 AQ27 AQ31 AQ35 AQ39 AQ43 AQ47 AQ51 AQ55 AQ59 AQ67 AQ71 AQ75 AQ83 AQ87">
    <cfRule type="cellIs" dxfId="7114" priority="1058" operator="lessThan">
      <formula>0</formula>
    </cfRule>
  </conditionalFormatting>
  <conditionalFormatting sqref="AQ7 AQ11 AQ15 AQ19 AQ23 AQ27 AQ31 AQ35 AQ39 AQ43 AQ47 AQ51 AQ55 AQ59 AQ67 AQ71 AQ75 AQ83 AQ87">
    <cfRule type="cellIs" dxfId="7113" priority="1057" operator="lessThan">
      <formula>0</formula>
    </cfRule>
  </conditionalFormatting>
  <conditionalFormatting sqref="AQ7 AQ11 AQ15 AQ19 AQ23 AQ27 AQ31 AQ35 AQ39 AQ43 AQ47 AQ51 AQ55 AQ59 AQ67 AQ71 AQ75 AQ83 AQ87">
    <cfRule type="cellIs" dxfId="7112" priority="1056" operator="lessThan">
      <formula>0</formula>
    </cfRule>
  </conditionalFormatting>
  <conditionalFormatting sqref="AQ7 AQ11 AQ15 AQ19 AQ23 AQ27 AQ31 AQ35 AQ39 AQ43 AQ47 AQ51 AQ55 AQ59 AQ67 AQ71 AQ75 AQ83 AQ87">
    <cfRule type="cellIs" dxfId="7111" priority="1055" operator="lessThan">
      <formula>0</formula>
    </cfRule>
  </conditionalFormatting>
  <conditionalFormatting sqref="AQ7 AQ11 AQ15 AQ19 AQ23 AQ27 AQ31 AQ35 AQ39 AQ43 AQ47 AQ51 AQ55 AQ59 AQ67 AQ71 AQ75 AQ83 AQ87">
    <cfRule type="cellIs" dxfId="7110" priority="1054" operator="lessThan">
      <formula>0</formula>
    </cfRule>
  </conditionalFormatting>
  <conditionalFormatting sqref="AQ7 AQ11 AQ15 AQ19 AQ23 AQ27 AQ31 AQ35 AQ39 AQ43 AQ47 AQ51 AQ55 AQ59 AQ67 AQ71 AQ75 AQ83 AQ87">
    <cfRule type="cellIs" dxfId="7109" priority="1053" operator="lessThan">
      <formula>0</formula>
    </cfRule>
  </conditionalFormatting>
  <conditionalFormatting sqref="AQ7 AQ11 AQ15 AQ19 AQ23 AQ27 AQ31 AQ35 AQ39 AQ43 AQ47 AQ51 AQ55 AQ59 AQ67 AQ71 AQ75 AQ83 AQ87">
    <cfRule type="cellIs" dxfId="7108" priority="1052" operator="lessThan">
      <formula>0</formula>
    </cfRule>
  </conditionalFormatting>
  <conditionalFormatting sqref="AQ7 AQ11 AQ15 AQ19 AQ23 AQ27 AQ31 AQ35 AQ39 AQ43 AQ47 AQ51 AQ55 AQ59 AQ67 AQ71 AQ75 AQ83 AQ87">
    <cfRule type="cellIs" dxfId="7107" priority="1051" operator="lessThan">
      <formula>0</formula>
    </cfRule>
  </conditionalFormatting>
  <conditionalFormatting sqref="AQ7 AQ11 AQ15 AQ19 AQ23 AQ27 AQ31 AQ35 AQ39 AQ43 AQ47 AQ51 AQ55 AQ59 AQ67 AQ71 AQ75 AQ83 AQ87">
    <cfRule type="cellIs" dxfId="7106" priority="1050" operator="lessThan">
      <formula>0</formula>
    </cfRule>
  </conditionalFormatting>
  <conditionalFormatting sqref="AQ7 AQ11 AQ15 AQ19 AQ23 AQ27 AQ31 AQ35 AQ39 AQ43 AQ47 AQ51 AQ55 AQ59 AQ67 AQ71 AQ75 AQ83 AQ87">
    <cfRule type="cellIs" dxfId="7105" priority="1049" operator="lessThan">
      <formula>0</formula>
    </cfRule>
  </conditionalFormatting>
  <conditionalFormatting sqref="AQ7 AQ11 AQ15 AQ19 AQ23 AQ27 AQ31 AQ35 AQ39 AQ43 AQ47 AQ51 AQ55 AQ59 AQ67 AQ71 AQ75 AQ83 AQ87">
    <cfRule type="cellIs" dxfId="7104" priority="1048" operator="lessThan">
      <formula>0</formula>
    </cfRule>
  </conditionalFormatting>
  <conditionalFormatting sqref="AQ7 AQ11 AQ15 AQ19 AQ23 AQ27 AQ31 AQ35 AQ39 AQ43 AQ47 AQ51 AQ55 AQ59 AQ67 AQ71 AQ75 AQ83 AQ87">
    <cfRule type="cellIs" dxfId="7103" priority="1047" operator="lessThan">
      <formula>0</formula>
    </cfRule>
  </conditionalFormatting>
  <conditionalFormatting sqref="AQ7 AQ11 AQ15 AQ19 AQ23 AQ27 AQ31 AQ35 AQ39 AQ43 AQ47 AQ51 AQ55 AQ59 AQ67 AQ71 AQ75 AQ83 AQ87">
    <cfRule type="cellIs" dxfId="7102" priority="1046" operator="lessThan">
      <formula>0</formula>
    </cfRule>
  </conditionalFormatting>
  <conditionalFormatting sqref="AQ7 AQ11 AQ15 AQ19 AQ23 AQ27 AQ31 AQ35 AQ39 AQ43 AQ47 AQ51 AQ55 AQ59 AQ67 AQ71 AQ75 AQ83 AQ87">
    <cfRule type="cellIs" dxfId="7101" priority="1045" operator="lessThan">
      <formula>0</formula>
    </cfRule>
  </conditionalFormatting>
  <conditionalFormatting sqref="AQ7 AQ11 AQ15 AQ19 AQ23 AQ27 AQ31 AQ35 AQ39 AQ43 AQ47 AQ51 AQ55 AQ59 AQ67 AQ71 AQ75 AQ83 AQ87">
    <cfRule type="cellIs" dxfId="7100" priority="1044" operator="lessThan">
      <formula>0</formula>
    </cfRule>
  </conditionalFormatting>
  <conditionalFormatting sqref="AQ7 AQ11 AQ15 AQ19 AQ23 AQ27 AQ31 AQ35 AQ39 AQ43 AQ47 AQ51 AQ55 AQ59 AQ67 AQ71 AQ75 AQ83 AQ87">
    <cfRule type="cellIs" dxfId="7099" priority="1043" operator="lessThan">
      <formula>0</formula>
    </cfRule>
  </conditionalFormatting>
  <conditionalFormatting sqref="AQ7 AQ11 AQ15 AQ19 AQ23 AQ27 AQ31 AQ35 AQ39 AQ43 AQ47 AQ51 AQ55 AQ59 AQ67 AQ71 AQ75 AQ83 AQ87">
    <cfRule type="cellIs" dxfId="7098" priority="1042" operator="lessThan">
      <formula>0</formula>
    </cfRule>
  </conditionalFormatting>
  <conditionalFormatting sqref="AQ7 AQ11 AQ15 AQ19 AQ23 AQ27 AQ31 AQ35 AQ39 AQ43 AQ47 AQ51 AQ55 AQ59 AQ67 AQ71 AQ75 AQ83 AQ87">
    <cfRule type="cellIs" dxfId="7097" priority="1041" operator="lessThan">
      <formula>0</formula>
    </cfRule>
  </conditionalFormatting>
  <conditionalFormatting sqref="AQ7 AQ11 AQ15 AQ19 AQ23 AQ27 AQ31 AQ35 AQ39 AQ43 AQ47 AQ51 AQ55 AQ59 AQ67 AQ71 AQ75 AQ83 AQ87">
    <cfRule type="cellIs" dxfId="7096" priority="1040" operator="lessThan">
      <formula>0</formula>
    </cfRule>
  </conditionalFormatting>
  <conditionalFormatting sqref="AQ7 AQ11 AQ15 AQ19 AQ23 AQ27 AQ31 AQ35 AQ39 AQ43 AQ47 AQ51 AQ55 AQ59 AQ67 AQ71 AQ75 AQ83 AQ87">
    <cfRule type="cellIs" dxfId="7095" priority="1039" operator="lessThan">
      <formula>0</formula>
    </cfRule>
  </conditionalFormatting>
  <conditionalFormatting sqref="AQ7 AQ11 AQ15 AQ19 AQ23 AQ27 AQ31 AQ35 AQ39 AQ43 AQ47 AQ51 AQ55 AQ59 AQ67 AQ71 AQ75 AQ83 AQ87">
    <cfRule type="cellIs" dxfId="7094" priority="1038" operator="lessThan">
      <formula>0</formula>
    </cfRule>
  </conditionalFormatting>
  <conditionalFormatting sqref="AQ7 AQ11 AQ15 AQ19 AQ23 AQ27 AQ31 AQ35 AQ39 AQ43 AQ47 AQ51 AQ55 AQ59 AQ67 AQ71 AQ75 AQ83 AQ87">
    <cfRule type="cellIs" dxfId="7093" priority="1037" operator="lessThan">
      <formula>0</formula>
    </cfRule>
  </conditionalFormatting>
  <conditionalFormatting sqref="AQ7 AQ11 AQ15 AQ19 AQ23 AQ27 AQ31 AQ35 AQ39 AQ43 AQ47 AQ51 AQ55 AQ59 AQ67 AQ71 AQ75 AQ83 AQ87">
    <cfRule type="cellIs" dxfId="7092" priority="1036" operator="lessThan">
      <formula>0</formula>
    </cfRule>
  </conditionalFormatting>
  <conditionalFormatting sqref="AQ7 AQ11 AQ15 AQ19 AQ23 AQ27 AQ31 AQ35 AQ39 AQ43 AQ47 AQ51 AQ55 AQ59 AQ67 AQ71 AQ75 AQ83 AQ87">
    <cfRule type="cellIs" dxfId="7091" priority="1035" operator="lessThan">
      <formula>0</formula>
    </cfRule>
  </conditionalFormatting>
  <conditionalFormatting sqref="AQ7 AQ11 AQ15 AQ19 AQ23 AQ27 AQ31 AQ35 AQ39 AQ43 AQ47 AQ51 AQ55 AQ59 AQ67 AQ71 AQ75 AQ83 AQ87">
    <cfRule type="cellIs" dxfId="7090" priority="1034" operator="lessThan">
      <formula>0</formula>
    </cfRule>
  </conditionalFormatting>
  <conditionalFormatting sqref="AQ7 AQ11 AQ15 AQ19 AQ23 AQ27 AQ31 AQ35 AQ39 AQ43 AQ47 AQ51 AQ55 AQ59 AQ67 AQ71 AQ75 AQ83 AQ87">
    <cfRule type="cellIs" dxfId="7089" priority="1033" operator="lessThan">
      <formula>0</formula>
    </cfRule>
  </conditionalFormatting>
  <conditionalFormatting sqref="AQ7 AQ11 AQ15 AQ19 AQ23 AQ27 AQ31 AQ35 AQ39 AQ43 AQ47 AQ51 AQ55 AQ59 AQ67 AQ71 AQ75 AQ83 AQ87">
    <cfRule type="cellIs" dxfId="7088" priority="1032" operator="lessThan">
      <formula>0</formula>
    </cfRule>
  </conditionalFormatting>
  <conditionalFormatting sqref="AQ7 AQ11 AQ15 AQ19 AQ23 AQ27 AQ31 AQ35 AQ39 AQ43 AQ47 AQ51 AQ55 AQ59 AQ67 AQ71 AQ75 AQ83 AQ87">
    <cfRule type="cellIs" dxfId="7087" priority="1031" operator="lessThan">
      <formula>0</formula>
    </cfRule>
  </conditionalFormatting>
  <conditionalFormatting sqref="AQ7 AQ11 AQ15 AQ19 AQ23 AQ27 AQ31 AQ35 AQ39 AQ43 AQ47 AQ51 AQ55 AQ59 AQ67 AQ71 AQ75 AQ83 AQ87">
    <cfRule type="cellIs" dxfId="7086" priority="1030" operator="lessThan">
      <formula>0</formula>
    </cfRule>
  </conditionalFormatting>
  <conditionalFormatting sqref="AQ7 AQ11 AQ15 AQ19 AQ23 AQ27 AQ31 AQ35 AQ39 AQ43 AQ47 AQ51 AQ55 AQ59 AQ67 AQ71 AQ75 AQ83 AQ87">
    <cfRule type="cellIs" dxfId="7085" priority="1029" operator="lessThan">
      <formula>0</formula>
    </cfRule>
  </conditionalFormatting>
  <conditionalFormatting sqref="AQ7 AQ11 AQ15 AQ19 AQ23 AQ27 AQ31 AQ35 AQ39 AQ43 AQ47 AQ51 AQ55 AQ59 AQ67 AQ71 AQ75 AQ83 AQ87">
    <cfRule type="cellIs" dxfId="7084" priority="1028" operator="lessThan">
      <formula>0</formula>
    </cfRule>
  </conditionalFormatting>
  <conditionalFormatting sqref="AQ7 AQ11 AQ15 AQ19 AQ23 AQ27 AQ31 AQ35 AQ39 AQ43 AQ47 AQ51 AQ55 AQ59 AQ67 AQ71 AQ75 AQ83 AQ87">
    <cfRule type="cellIs" dxfId="7083" priority="1027" operator="lessThan">
      <formula>0</formula>
    </cfRule>
  </conditionalFormatting>
  <conditionalFormatting sqref="AQ7 AQ11 AQ15 AQ19 AQ23 AQ27 AQ31 AQ35 AQ39 AQ43 AQ47 AQ51 AQ55 AQ59 AQ67 AQ71 AQ75 AQ83 AQ87">
    <cfRule type="cellIs" dxfId="7082" priority="1026" operator="lessThan">
      <formula>0</formula>
    </cfRule>
  </conditionalFormatting>
  <conditionalFormatting sqref="AQ7 AQ11 AQ15 AQ19 AQ23 AQ27 AQ31 AQ35 AQ39 AQ43 AQ47 AQ51 AQ55 AQ59 AQ67 AQ71 AQ75 AQ83 AQ87">
    <cfRule type="cellIs" dxfId="7081" priority="1025" operator="lessThan">
      <formula>0</formula>
    </cfRule>
  </conditionalFormatting>
  <conditionalFormatting sqref="AQ7 AQ11 AQ15 AQ19 AQ23 AQ27 AQ31 AQ35 AQ39 AQ43 AQ47 AQ51 AQ55 AQ59 AQ67 AQ71 AQ75 AQ83 AQ87">
    <cfRule type="cellIs" dxfId="7080" priority="1024" operator="lessThan">
      <formula>0</formula>
    </cfRule>
  </conditionalFormatting>
  <conditionalFormatting sqref="AQ7 AQ11 AQ15 AQ19 AQ23 AQ27 AQ31 AQ35 AQ39 AQ43 AQ47 AQ51 AQ55 AQ59 AQ67 AQ71 AQ75 AQ83 AQ87">
    <cfRule type="cellIs" dxfId="7079" priority="1023" operator="lessThan">
      <formula>0</formula>
    </cfRule>
  </conditionalFormatting>
  <conditionalFormatting sqref="AQ7 AQ11 AQ15 AQ19 AQ23 AQ27 AQ31 AQ35 AQ39 AQ43 AQ47 AQ51 AQ55 AQ59 AQ67 AQ71 AQ75 AQ83 AQ87">
    <cfRule type="cellIs" dxfId="7078" priority="1022" operator="lessThan">
      <formula>0</formula>
    </cfRule>
  </conditionalFormatting>
  <conditionalFormatting sqref="AQ7 AQ11 AQ15 AQ19 AQ23 AQ27 AQ31 AQ35 AQ39 AQ43 AQ47 AQ51 AQ55 AQ59 AQ67 AQ71 AQ75 AQ83 AQ87">
    <cfRule type="cellIs" dxfId="7077" priority="1021" operator="lessThan">
      <formula>0</formula>
    </cfRule>
  </conditionalFormatting>
  <conditionalFormatting sqref="AQ7 AQ11 AQ15 AQ19 AQ23 AQ27 AQ31 AQ35 AQ39 AQ43 AQ47 AQ51 AQ55 AQ59 AQ67 AQ71 AQ75 AQ83 AQ87">
    <cfRule type="cellIs" dxfId="7076" priority="1020" operator="lessThan">
      <formula>0</formula>
    </cfRule>
  </conditionalFormatting>
  <conditionalFormatting sqref="AQ7 AQ11 AQ15 AQ19 AQ23 AQ27 AQ31 AQ35 AQ39 AQ43 AQ47 AQ51 AQ55 AQ59 AQ67 AQ71 AQ75 AQ83 AQ87">
    <cfRule type="cellIs" dxfId="7075" priority="1019" operator="lessThan">
      <formula>0</formula>
    </cfRule>
  </conditionalFormatting>
  <conditionalFormatting sqref="AQ7 AQ11 AQ15 AQ19 AQ23 AQ27 AQ31 AQ35 AQ39 AQ43 AQ47 AQ51 AQ55 AQ59 AQ67 AQ71 AQ75 AQ83 AQ87">
    <cfRule type="cellIs" dxfId="7074" priority="1018" operator="lessThan">
      <formula>0</formula>
    </cfRule>
  </conditionalFormatting>
  <conditionalFormatting sqref="AQ7 AQ11 AQ15 AQ19 AQ23 AQ27 AQ31 AQ35 AQ39 AQ43 AQ47 AQ51 AQ55 AQ59 AQ67 AQ71 AQ75 AQ83 AQ87">
    <cfRule type="cellIs" dxfId="7073" priority="1017" operator="lessThan">
      <formula>0</formula>
    </cfRule>
  </conditionalFormatting>
  <conditionalFormatting sqref="AQ7 AQ11 AQ15 AQ19 AQ23 AQ27 AQ31 AQ35 AQ39 AQ43 AQ47 AQ51 AQ55 AQ59 AQ67 AQ71 AQ75 AQ83 AQ87">
    <cfRule type="cellIs" dxfId="7072" priority="1016" operator="lessThan">
      <formula>0</formula>
    </cfRule>
  </conditionalFormatting>
  <conditionalFormatting sqref="AQ7 AQ11 AQ15 AQ19 AQ23 AQ27 AQ31 AQ35 AQ39 AQ43 AQ47 AQ51 AQ55 AQ59 AQ67 AQ71 AQ75 AQ83 AQ87">
    <cfRule type="cellIs" dxfId="7071" priority="1015" operator="lessThan">
      <formula>0</formula>
    </cfRule>
  </conditionalFormatting>
  <conditionalFormatting sqref="AQ7 AQ11 AQ15 AQ19 AQ23 AQ27 AQ31 AQ35 AQ39 AQ43 AQ47 AQ51 AQ55 AQ59 AQ67 AQ71 AQ75 AQ83 AQ87">
    <cfRule type="cellIs" dxfId="7070" priority="1014" operator="lessThan">
      <formula>0</formula>
    </cfRule>
  </conditionalFormatting>
  <conditionalFormatting sqref="AQ7 AQ11 AQ15 AQ19 AQ23 AQ27 AQ31 AQ35 AQ39 AQ43 AQ47 AQ51 AQ55 AQ59 AQ67 AQ71 AQ75 AQ83 AQ87">
    <cfRule type="cellIs" dxfId="7069" priority="1013" operator="lessThan">
      <formula>0</formula>
    </cfRule>
  </conditionalFormatting>
  <conditionalFormatting sqref="AQ7 AQ11 AQ15 AQ19 AQ23 AQ27 AQ31 AQ35 AQ39 AQ43 AQ47 AQ51 AQ55 AQ59 AQ67 AQ71 AQ75 AQ83 AQ87">
    <cfRule type="cellIs" dxfId="7068" priority="1012" operator="lessThan">
      <formula>0</formula>
    </cfRule>
  </conditionalFormatting>
  <conditionalFormatting sqref="AQ7 AQ11 AQ15 AQ19 AQ23 AQ27 AQ31 AQ35 AQ39 AQ43 AQ47 AQ51 AQ55 AQ59 AQ67 AQ71 AQ75 AQ83 AQ87">
    <cfRule type="cellIs" dxfId="7067" priority="1011" operator="lessThan">
      <formula>0</formula>
    </cfRule>
  </conditionalFormatting>
  <conditionalFormatting sqref="AQ7 AQ11 AQ15 AQ19 AQ23 AQ27 AQ31 AQ35 AQ39 AQ43 AQ47 AQ51 AQ55 AQ59 AQ67 AQ71 AQ75 AQ83 AQ87">
    <cfRule type="cellIs" dxfId="7066" priority="1010" operator="lessThan">
      <formula>0</formula>
    </cfRule>
  </conditionalFormatting>
  <conditionalFormatting sqref="AQ7 AQ11 AQ15 AQ19 AQ23 AQ27 AQ31 AQ35 AQ39 AQ43 AQ47 AQ51 AQ55 AQ59 AQ67 AQ71 AQ75 AQ83 AQ87">
    <cfRule type="cellIs" dxfId="7065" priority="1009" operator="lessThan">
      <formula>0</formula>
    </cfRule>
  </conditionalFormatting>
  <conditionalFormatting sqref="AQ7 AQ11 AQ15 AQ19 AQ23 AQ27 AQ31 AQ35 AQ39 AQ43 AQ47 AQ51 AQ55 AQ59 AQ67 AQ71 AQ75 AQ83 AQ87">
    <cfRule type="cellIs" dxfId="7064" priority="1008" operator="lessThan">
      <formula>0</formula>
    </cfRule>
  </conditionalFormatting>
  <conditionalFormatting sqref="AQ7 AQ11 AQ15 AQ19 AQ23 AQ27 AQ31 AQ35 AQ39 AQ43 AQ47 AQ51 AQ55 AQ59 AQ67 AQ71 AQ75 AQ83 AQ87">
    <cfRule type="cellIs" dxfId="7063" priority="1007" operator="lessThan">
      <formula>0</formula>
    </cfRule>
  </conditionalFormatting>
  <conditionalFormatting sqref="AQ7 AQ11 AQ15 AQ19 AQ23 AQ27 AQ31 AQ35 AQ39 AQ43 AQ47 AQ51 AQ55 AQ59 AQ67 AQ71 AQ75 AQ83 AQ87">
    <cfRule type="cellIs" dxfId="7062" priority="1006" operator="lessThan">
      <formula>0</formula>
    </cfRule>
  </conditionalFormatting>
  <conditionalFormatting sqref="AQ7 AQ11 AQ15 AQ19 AQ23 AQ27 AQ31 AQ35 AQ39 AQ43 AQ47 AQ51 AQ55 AQ59 AQ67 AQ71 AQ75 AQ83 AQ87">
    <cfRule type="cellIs" dxfId="7061" priority="1005" operator="lessThan">
      <formula>0</formula>
    </cfRule>
  </conditionalFormatting>
  <conditionalFormatting sqref="AQ7 AQ11 AQ15 AQ19 AQ23 AQ27 AQ31 AQ35 AQ39 AQ43 AQ47 AQ51 AQ55 AQ59 AQ67 AQ71 AQ75 AQ83 AQ87">
    <cfRule type="cellIs" dxfId="7060" priority="1004" operator="lessThan">
      <formula>0</formula>
    </cfRule>
  </conditionalFormatting>
  <conditionalFormatting sqref="AQ7 AQ11 AQ15 AQ19 AQ23 AQ27 AQ31 AQ35 AQ39 AQ43 AQ47 AQ51 AQ55 AQ59 AQ67 AQ71 AQ75 AQ83 AQ87">
    <cfRule type="cellIs" dxfId="7059" priority="1003" operator="lessThan">
      <formula>0</formula>
    </cfRule>
  </conditionalFormatting>
  <conditionalFormatting sqref="AQ7 AQ11 AQ15 AQ19 AQ23 AQ27 AQ31 AQ35 AQ39 AQ43 AQ47 AQ51 AQ55 AQ59 AQ67 AQ71 AQ75 AQ83 AQ87">
    <cfRule type="cellIs" dxfId="7058" priority="1002" operator="lessThan">
      <formula>0</formula>
    </cfRule>
  </conditionalFormatting>
  <conditionalFormatting sqref="AQ7 AQ11 AQ15 AQ19 AQ23 AQ27 AQ31 AQ35 AQ39 AQ43 AQ47 AQ51 AQ55 AQ59 AQ67 AQ71 AQ75 AQ83 AQ87">
    <cfRule type="cellIs" dxfId="7057" priority="1001" operator="lessThan">
      <formula>0</formula>
    </cfRule>
  </conditionalFormatting>
  <conditionalFormatting sqref="AQ7 AQ11 AQ15 AQ19 AQ23 AQ27 AQ31 AQ35 AQ39 AQ43 AQ47 AQ51 AQ55 AQ59 AQ67 AQ71 AQ75 AQ83 AQ87">
    <cfRule type="cellIs" dxfId="7056" priority="1000" operator="lessThan">
      <formula>0</formula>
    </cfRule>
  </conditionalFormatting>
  <conditionalFormatting sqref="AQ7 AQ11 AQ15 AQ19 AQ23 AQ27 AQ31 AQ35 AQ39 AQ43 AQ47 AQ51 AQ55 AQ59 AQ67 AQ71 AQ75 AQ83 AQ87">
    <cfRule type="cellIs" dxfId="7055" priority="999" operator="lessThan">
      <formula>0</formula>
    </cfRule>
  </conditionalFormatting>
  <conditionalFormatting sqref="AQ7 AQ11 AQ15 AQ19 AQ23 AQ27 AQ31 AQ35 AQ39 AQ43 AQ47 AQ51 AQ55 AQ59 AQ67 AQ71 AQ75 AQ83 AQ87">
    <cfRule type="cellIs" dxfId="7054" priority="983" operator="lessThan">
      <formula>0</formula>
    </cfRule>
  </conditionalFormatting>
  <conditionalFormatting sqref="AQ7 AQ11 AQ15 AQ19 AQ23 AQ27 AQ31 AQ35 AQ39 AQ43 AQ47 AQ51 AQ55 AQ59 AQ67 AQ71 AQ75 AQ83 AQ87">
    <cfRule type="cellIs" dxfId="7053" priority="998" operator="lessThan">
      <formula>0</formula>
    </cfRule>
  </conditionalFormatting>
  <conditionalFormatting sqref="AQ7 AQ11 AQ15 AQ19 AQ23 AQ27 AQ31 AQ35 AQ39 AQ43 AQ47 AQ51 AQ55 AQ59 AQ67 AQ71 AQ75 AQ83 AQ87">
    <cfRule type="cellIs" dxfId="7052" priority="997" operator="lessThan">
      <formula>0</formula>
    </cfRule>
  </conditionalFormatting>
  <conditionalFormatting sqref="AQ7 AQ11 AQ15 AQ19 AQ23 AQ27 AQ31 AQ35 AQ39 AQ43 AQ47 AQ51 AQ55 AQ59 AQ67 AQ71 AQ75 AQ83 AQ87">
    <cfRule type="cellIs" dxfId="7051" priority="996" operator="lessThan">
      <formula>0</formula>
    </cfRule>
  </conditionalFormatting>
  <conditionalFormatting sqref="AQ7 AQ11 AQ15 AQ19 AQ23 AQ27 AQ31 AQ35 AQ39 AQ43 AQ47 AQ51 AQ55 AQ59 AQ67 AQ71 AQ75 AQ83 AQ87">
    <cfRule type="cellIs" dxfId="7050" priority="995" operator="lessThan">
      <formula>0</formula>
    </cfRule>
  </conditionalFormatting>
  <conditionalFormatting sqref="AQ7 AQ11 AQ15 AQ19 AQ23 AQ27 AQ31 AQ35 AQ39 AQ43 AQ47 AQ51 AQ55 AQ59 AQ67 AQ71 AQ75 AQ83 AQ87">
    <cfRule type="cellIs" dxfId="7049" priority="994" operator="lessThan">
      <formula>0</formula>
    </cfRule>
  </conditionalFormatting>
  <conditionalFormatting sqref="AQ7 AQ11 AQ15 AQ19 AQ23 AQ27 AQ31 AQ35 AQ39 AQ43 AQ47 AQ51 AQ55 AQ59 AQ67 AQ71 AQ75 AQ83 AQ87">
    <cfRule type="cellIs" dxfId="7048" priority="993" operator="lessThan">
      <formula>0</formula>
    </cfRule>
  </conditionalFormatting>
  <conditionalFormatting sqref="AQ7 AQ11 AQ15 AQ19 AQ23 AQ27 AQ31 AQ35 AQ39 AQ43 AQ47 AQ51 AQ55 AQ59 AQ67 AQ71 AQ75 AQ83 AQ87">
    <cfRule type="cellIs" dxfId="7047" priority="992" operator="lessThan">
      <formula>0</formula>
    </cfRule>
  </conditionalFormatting>
  <conditionalFormatting sqref="AQ7 AQ11 AQ15 AQ19 AQ23 AQ27 AQ31 AQ35 AQ39 AQ43 AQ47 AQ51 AQ55 AQ59 AQ67 AQ71 AQ75 AQ83 AQ87">
    <cfRule type="cellIs" dxfId="7046" priority="991" operator="lessThan">
      <formula>0</formula>
    </cfRule>
  </conditionalFormatting>
  <conditionalFormatting sqref="AQ7 AQ11 AQ15 AQ19 AQ23 AQ27 AQ31 AQ35 AQ39 AQ43 AQ47 AQ51 AQ55 AQ59 AQ67 AQ71 AQ75 AQ83 AQ87">
    <cfRule type="cellIs" dxfId="7045" priority="990" operator="lessThan">
      <formula>0</formula>
    </cfRule>
  </conditionalFormatting>
  <conditionalFormatting sqref="AQ7 AQ11 AQ15 AQ19 AQ23 AQ27 AQ31 AQ35 AQ39 AQ43 AQ47 AQ51 AQ55 AQ59 AQ67 AQ71 AQ75 AQ83 AQ87">
    <cfRule type="cellIs" dxfId="7044" priority="989" operator="lessThan">
      <formula>0</formula>
    </cfRule>
  </conditionalFormatting>
  <conditionalFormatting sqref="AQ7 AQ11 AQ15 AQ19 AQ23 AQ27 AQ31 AQ35 AQ39 AQ43 AQ47 AQ51 AQ55 AQ59 AQ67 AQ71 AQ75 AQ83 AQ87">
    <cfRule type="cellIs" dxfId="7043" priority="988" operator="lessThan">
      <formula>0</formula>
    </cfRule>
  </conditionalFormatting>
  <conditionalFormatting sqref="AQ7 AQ11 AQ15 AQ19 AQ23 AQ27 AQ31 AQ35 AQ39 AQ43 AQ47 AQ51 AQ55 AQ59 AQ67 AQ71 AQ75 AQ83 AQ87">
    <cfRule type="cellIs" dxfId="7042" priority="987" operator="lessThan">
      <formula>0</formula>
    </cfRule>
  </conditionalFormatting>
  <conditionalFormatting sqref="AQ7 AQ11 AQ15 AQ19 AQ23 AQ27 AQ31 AQ35 AQ39 AQ43 AQ47 AQ51 AQ55 AQ59 AQ67 AQ71 AQ75 AQ83 AQ87">
    <cfRule type="cellIs" dxfId="7041" priority="986" operator="lessThan">
      <formula>0</formula>
    </cfRule>
  </conditionalFormatting>
  <conditionalFormatting sqref="AQ7 AQ11 AQ15 AQ19 AQ23 AQ27 AQ31 AQ35 AQ39 AQ43 AQ47 AQ51 AQ55 AQ59 AQ67 AQ71 AQ75 AQ83 AQ87">
    <cfRule type="cellIs" dxfId="7040" priority="985" operator="lessThan">
      <formula>0</formula>
    </cfRule>
  </conditionalFormatting>
  <conditionalFormatting sqref="AQ7 AQ11 AQ15 AQ19 AQ23 AQ27 AQ31 AQ35 AQ39 AQ43 AQ47 AQ51 AQ55 AQ59 AQ67 AQ71 AQ75 AQ83 AQ87">
    <cfRule type="cellIs" dxfId="7039" priority="984" operator="lessThan">
      <formula>0</formula>
    </cfRule>
  </conditionalFormatting>
  <conditionalFormatting sqref="J68">
    <cfRule type="cellIs" dxfId="7038" priority="982" operator="greaterThan">
      <formula>0</formula>
    </cfRule>
  </conditionalFormatting>
  <conditionalFormatting sqref="J88">
    <cfRule type="cellIs" dxfId="7037" priority="981" operator="greaterThan">
      <formula>0</formula>
    </cfRule>
  </conditionalFormatting>
  <conditionalFormatting sqref="J16">
    <cfRule type="cellIs" dxfId="7036" priority="980" operator="greaterThan">
      <formula>0</formula>
    </cfRule>
  </conditionalFormatting>
  <conditionalFormatting sqref="J36">
    <cfRule type="cellIs" dxfId="7035" priority="979" operator="greaterThan">
      <formula>0</formula>
    </cfRule>
  </conditionalFormatting>
  <conditionalFormatting sqref="I16">
    <cfRule type="cellIs" dxfId="7034" priority="978" operator="greaterThan">
      <formula>0</formula>
    </cfRule>
  </conditionalFormatting>
  <conditionalFormatting sqref="AM88:AM89">
    <cfRule type="cellIs" dxfId="7033" priority="977" operator="notEqual">
      <formula>0</formula>
    </cfRule>
  </conditionalFormatting>
  <conditionalFormatting sqref="AQ10">
    <cfRule type="cellIs" dxfId="7032" priority="976" operator="lessThan">
      <formula>0</formula>
    </cfRule>
  </conditionalFormatting>
  <conditionalFormatting sqref="AQ10">
    <cfRule type="cellIs" dxfId="7031" priority="975" operator="lessThan">
      <formula>0</formula>
    </cfRule>
  </conditionalFormatting>
  <conditionalFormatting sqref="AQ12:AQ13">
    <cfRule type="cellIs" dxfId="7030" priority="974" operator="lessThan">
      <formula>0</formula>
    </cfRule>
  </conditionalFormatting>
  <conditionalFormatting sqref="AQ12:AQ13">
    <cfRule type="cellIs" dxfId="7029" priority="973" operator="lessThan">
      <formula>0</formula>
    </cfRule>
  </conditionalFormatting>
  <conditionalFormatting sqref="AQ12:AQ13">
    <cfRule type="cellIs" dxfId="7028" priority="972" operator="lessThan">
      <formula>0</formula>
    </cfRule>
  </conditionalFormatting>
  <conditionalFormatting sqref="AQ12:AQ13">
    <cfRule type="cellIs" dxfId="7027" priority="971" operator="lessThan">
      <formula>0</formula>
    </cfRule>
  </conditionalFormatting>
  <conditionalFormatting sqref="AQ12:AQ13">
    <cfRule type="cellIs" dxfId="7026" priority="970" operator="lessThan">
      <formula>0</formula>
    </cfRule>
  </conditionalFormatting>
  <conditionalFormatting sqref="AQ12:AQ13">
    <cfRule type="cellIs" dxfId="7025" priority="969" operator="lessThan">
      <formula>0</formula>
    </cfRule>
  </conditionalFormatting>
  <conditionalFormatting sqref="AQ12:AQ13">
    <cfRule type="cellIs" dxfId="7024" priority="968" operator="lessThan">
      <formula>0</formula>
    </cfRule>
  </conditionalFormatting>
  <conditionalFormatting sqref="AQ12:AQ13">
    <cfRule type="cellIs" dxfId="7023" priority="967" operator="lessThan">
      <formula>0</formula>
    </cfRule>
  </conditionalFormatting>
  <conditionalFormatting sqref="AQ10">
    <cfRule type="cellIs" dxfId="7022" priority="966" operator="lessThan">
      <formula>0</formula>
    </cfRule>
  </conditionalFormatting>
  <conditionalFormatting sqref="AQ10 AQ12:AQ13">
    <cfRule type="cellIs" dxfId="7021" priority="965" operator="lessThan">
      <formula>0</formula>
    </cfRule>
  </conditionalFormatting>
  <conditionalFormatting sqref="AM10:AM13">
    <cfRule type="cellIs" dxfId="7020" priority="964" operator="notEqual">
      <formula>0</formula>
    </cfRule>
  </conditionalFormatting>
  <conditionalFormatting sqref="I12">
    <cfRule type="cellIs" dxfId="7019" priority="963" operator="greaterThan">
      <formula>0</formula>
    </cfRule>
  </conditionalFormatting>
  <conditionalFormatting sqref="AQ10 AQ12:AQ13">
    <cfRule type="cellIs" dxfId="7018" priority="962" operator="lessThan">
      <formula>0</formula>
    </cfRule>
  </conditionalFormatting>
  <conditionalFormatting sqref="AQ10 AQ12:AQ13">
    <cfRule type="cellIs" dxfId="7017" priority="961" operator="lessThan">
      <formula>0</formula>
    </cfRule>
  </conditionalFormatting>
  <conditionalFormatting sqref="AQ10 AQ12:AQ13">
    <cfRule type="cellIs" dxfId="7016" priority="960" operator="lessThan">
      <formula>0</formula>
    </cfRule>
  </conditionalFormatting>
  <conditionalFormatting sqref="AQ12:AQ13">
    <cfRule type="cellIs" dxfId="7015" priority="958" operator="lessThan">
      <formula>0</formula>
    </cfRule>
  </conditionalFormatting>
  <conditionalFormatting sqref="AQ12:AQ13">
    <cfRule type="cellIs" dxfId="7014" priority="957" operator="lessThan">
      <formula>0</formula>
    </cfRule>
  </conditionalFormatting>
  <conditionalFormatting sqref="AQ12:AQ13">
    <cfRule type="cellIs" dxfId="7013" priority="956" operator="lessThan">
      <formula>0</formula>
    </cfRule>
  </conditionalFormatting>
  <conditionalFormatting sqref="AQ12:AQ13">
    <cfRule type="cellIs" dxfId="7012" priority="955" operator="lessThan">
      <formula>0</formula>
    </cfRule>
  </conditionalFormatting>
  <conditionalFormatting sqref="Y11">
    <cfRule type="iconSet" priority="953">
      <iconSet>
        <cfvo type="percent" val="0"/>
        <cfvo type="percent" val="&quot;$I$6&quot;"/>
        <cfvo type="percent" val="#REF!"/>
      </iconSet>
    </cfRule>
  </conditionalFormatting>
  <conditionalFormatting sqref="Y12">
    <cfRule type="cellIs" dxfId="7011" priority="952" operator="lessThan">
      <formula>0</formula>
    </cfRule>
  </conditionalFormatting>
  <conditionalFormatting sqref="Y10:Y12">
    <cfRule type="cellIs" dxfId="7010" priority="951" operator="lessThan">
      <formula>0</formula>
    </cfRule>
  </conditionalFormatting>
  <conditionalFormatting sqref="Y13">
    <cfRule type="cellIs" dxfId="7009" priority="950" operator="lessThan">
      <formula>0</formula>
    </cfRule>
  </conditionalFormatting>
  <conditionalFormatting sqref="AQ11">
    <cfRule type="cellIs" dxfId="7008" priority="949" operator="lessThan">
      <formula>0</formula>
    </cfRule>
  </conditionalFormatting>
  <conditionalFormatting sqref="AQ11">
    <cfRule type="cellIs" dxfId="7007" priority="948" operator="lessThan">
      <formula>0</formula>
    </cfRule>
  </conditionalFormatting>
  <conditionalFormatting sqref="AQ11">
    <cfRule type="cellIs" dxfId="7006" priority="947" operator="lessThan">
      <formula>0</formula>
    </cfRule>
  </conditionalFormatting>
  <conditionalFormatting sqref="AQ11">
    <cfRule type="cellIs" dxfId="7005" priority="946" operator="lessThan">
      <formula>0</formula>
    </cfRule>
  </conditionalFormatting>
  <conditionalFormatting sqref="AQ11">
    <cfRule type="cellIs" dxfId="7004" priority="945" operator="lessThan">
      <formula>0</formula>
    </cfRule>
  </conditionalFormatting>
  <conditionalFormatting sqref="AQ11">
    <cfRule type="cellIs" dxfId="7003" priority="944" operator="lessThan">
      <formula>0</formula>
    </cfRule>
  </conditionalFormatting>
  <conditionalFormatting sqref="AQ11">
    <cfRule type="cellIs" dxfId="7002" priority="943" operator="lessThan">
      <formula>0</formula>
    </cfRule>
  </conditionalFormatting>
  <conditionalFormatting sqref="AQ11">
    <cfRule type="cellIs" dxfId="7001" priority="942" operator="lessThan">
      <formula>0</formula>
    </cfRule>
  </conditionalFormatting>
  <conditionalFormatting sqref="AQ11">
    <cfRule type="cellIs" dxfId="7000" priority="941" operator="lessThan">
      <formula>0</formula>
    </cfRule>
  </conditionalFormatting>
  <conditionalFormatting sqref="AQ11">
    <cfRule type="cellIs" dxfId="6999" priority="940" operator="lessThan">
      <formula>0</formula>
    </cfRule>
  </conditionalFormatting>
  <conditionalFormatting sqref="AQ11">
    <cfRule type="cellIs" dxfId="6998" priority="939" operator="lessThan">
      <formula>0</formula>
    </cfRule>
  </conditionalFormatting>
  <conditionalFormatting sqref="AQ11">
    <cfRule type="cellIs" dxfId="6997" priority="938" operator="lessThan">
      <formula>0</formula>
    </cfRule>
  </conditionalFormatting>
  <conditionalFormatting sqref="AQ11">
    <cfRule type="cellIs" dxfId="6996" priority="937" operator="lessThan">
      <formula>0</formula>
    </cfRule>
  </conditionalFormatting>
  <conditionalFormatting sqref="AQ11">
    <cfRule type="cellIs" dxfId="6995" priority="936" operator="lessThan">
      <formula>0</formula>
    </cfRule>
  </conditionalFormatting>
  <conditionalFormatting sqref="AQ11">
    <cfRule type="cellIs" dxfId="6994" priority="935" operator="lessThan">
      <formula>0</formula>
    </cfRule>
  </conditionalFormatting>
  <conditionalFormatting sqref="AQ11">
    <cfRule type="cellIs" dxfId="6993" priority="934" operator="lessThan">
      <formula>0</formula>
    </cfRule>
  </conditionalFormatting>
  <conditionalFormatting sqref="AQ11">
    <cfRule type="cellIs" dxfId="6992" priority="933" operator="lessThan">
      <formula>0</formula>
    </cfRule>
  </conditionalFormatting>
  <conditionalFormatting sqref="AQ11">
    <cfRule type="cellIs" dxfId="6991" priority="932" operator="lessThan">
      <formula>0</formula>
    </cfRule>
  </conditionalFormatting>
  <conditionalFormatting sqref="AQ11">
    <cfRule type="cellIs" dxfId="6990" priority="931" operator="lessThan">
      <formula>0</formula>
    </cfRule>
  </conditionalFormatting>
  <conditionalFormatting sqref="AQ11">
    <cfRule type="cellIs" dxfId="6989" priority="930" operator="lessThan">
      <formula>0</formula>
    </cfRule>
  </conditionalFormatting>
  <conditionalFormatting sqref="AQ11">
    <cfRule type="cellIs" dxfId="6988" priority="929" operator="lessThan">
      <formula>0</formula>
    </cfRule>
  </conditionalFormatting>
  <conditionalFormatting sqref="AQ11">
    <cfRule type="cellIs" dxfId="6987" priority="928" operator="lessThan">
      <formula>0</formula>
    </cfRule>
  </conditionalFormatting>
  <conditionalFormatting sqref="AQ11">
    <cfRule type="cellIs" dxfId="6986" priority="927" operator="lessThan">
      <formula>0</formula>
    </cfRule>
  </conditionalFormatting>
  <conditionalFormatting sqref="AQ11">
    <cfRule type="cellIs" dxfId="6985" priority="926" operator="lessThan">
      <formula>0</formula>
    </cfRule>
  </conditionalFormatting>
  <conditionalFormatting sqref="AQ11">
    <cfRule type="cellIs" dxfId="6984" priority="925" operator="lessThan">
      <formula>0</formula>
    </cfRule>
  </conditionalFormatting>
  <conditionalFormatting sqref="AQ11">
    <cfRule type="cellIs" dxfId="6983" priority="924" operator="lessThan">
      <formula>0</formula>
    </cfRule>
  </conditionalFormatting>
  <conditionalFormatting sqref="AQ11">
    <cfRule type="cellIs" dxfId="6982" priority="923" operator="lessThan">
      <formula>0</formula>
    </cfRule>
  </conditionalFormatting>
  <conditionalFormatting sqref="AQ11">
    <cfRule type="cellIs" dxfId="6981" priority="922" operator="lessThan">
      <formula>0</formula>
    </cfRule>
  </conditionalFormatting>
  <conditionalFormatting sqref="AQ11">
    <cfRule type="cellIs" dxfId="6980" priority="921" operator="lessThan">
      <formula>0</formula>
    </cfRule>
  </conditionalFormatting>
  <conditionalFormatting sqref="AQ11">
    <cfRule type="cellIs" dxfId="6979" priority="920" operator="lessThan">
      <formula>0</formula>
    </cfRule>
  </conditionalFormatting>
  <conditionalFormatting sqref="AQ11">
    <cfRule type="cellIs" dxfId="6978" priority="919" operator="lessThan">
      <formula>0</formula>
    </cfRule>
  </conditionalFormatting>
  <conditionalFormatting sqref="AQ11">
    <cfRule type="cellIs" dxfId="6977" priority="918" operator="lessThan">
      <formula>0</formula>
    </cfRule>
  </conditionalFormatting>
  <conditionalFormatting sqref="AQ11">
    <cfRule type="cellIs" dxfId="6976" priority="917" operator="lessThan">
      <formula>0</formula>
    </cfRule>
  </conditionalFormatting>
  <conditionalFormatting sqref="AQ11">
    <cfRule type="cellIs" dxfId="6975" priority="916" operator="lessThan">
      <formula>0</formula>
    </cfRule>
  </conditionalFormatting>
  <conditionalFormatting sqref="AQ11">
    <cfRule type="cellIs" dxfId="6974" priority="915" operator="lessThan">
      <formula>0</formula>
    </cfRule>
  </conditionalFormatting>
  <conditionalFormatting sqref="AQ11">
    <cfRule type="cellIs" dxfId="6973" priority="914" operator="lessThan">
      <formula>0</formula>
    </cfRule>
  </conditionalFormatting>
  <conditionalFormatting sqref="AQ11">
    <cfRule type="cellIs" dxfId="6972" priority="913" operator="lessThan">
      <formula>0</formula>
    </cfRule>
  </conditionalFormatting>
  <conditionalFormatting sqref="AQ11">
    <cfRule type="cellIs" dxfId="6971" priority="912" operator="lessThan">
      <formula>0</formula>
    </cfRule>
  </conditionalFormatting>
  <conditionalFormatting sqref="AQ11">
    <cfRule type="cellIs" dxfId="6970" priority="911" operator="lessThan">
      <formula>0</formula>
    </cfRule>
  </conditionalFormatting>
  <conditionalFormatting sqref="AQ11">
    <cfRule type="cellIs" dxfId="6969" priority="910" operator="lessThan">
      <formula>0</formula>
    </cfRule>
  </conditionalFormatting>
  <conditionalFormatting sqref="AQ11">
    <cfRule type="cellIs" dxfId="6968" priority="909" operator="lessThan">
      <formula>0</formula>
    </cfRule>
  </conditionalFormatting>
  <conditionalFormatting sqref="AQ11">
    <cfRule type="cellIs" dxfId="6967" priority="908" operator="lessThan">
      <formula>0</formula>
    </cfRule>
  </conditionalFormatting>
  <conditionalFormatting sqref="AQ11">
    <cfRule type="cellIs" dxfId="6966" priority="907" operator="lessThan">
      <formula>0</formula>
    </cfRule>
  </conditionalFormatting>
  <conditionalFormatting sqref="AQ11">
    <cfRule type="cellIs" dxfId="6965" priority="906" operator="lessThan">
      <formula>0</formula>
    </cfRule>
  </conditionalFormatting>
  <conditionalFormatting sqref="AQ11">
    <cfRule type="cellIs" dxfId="6964" priority="905" operator="lessThan">
      <formula>0</formula>
    </cfRule>
  </conditionalFormatting>
  <conditionalFormatting sqref="AQ11">
    <cfRule type="cellIs" dxfId="6963" priority="904" operator="lessThan">
      <formula>0</formula>
    </cfRule>
  </conditionalFormatting>
  <conditionalFormatting sqref="AQ11">
    <cfRule type="cellIs" dxfId="6962" priority="903" operator="lessThan">
      <formula>0</formula>
    </cfRule>
  </conditionalFormatting>
  <conditionalFormatting sqref="AQ11">
    <cfRule type="cellIs" dxfId="6961" priority="902" operator="lessThan">
      <formula>0</formula>
    </cfRule>
  </conditionalFormatting>
  <conditionalFormatting sqref="AQ11">
    <cfRule type="cellIs" dxfId="6960" priority="901" operator="lessThan">
      <formula>0</formula>
    </cfRule>
  </conditionalFormatting>
  <conditionalFormatting sqref="AQ11">
    <cfRule type="cellIs" dxfId="6959" priority="900" operator="lessThan">
      <formula>0</formula>
    </cfRule>
  </conditionalFormatting>
  <conditionalFormatting sqref="AQ11">
    <cfRule type="cellIs" dxfId="6958" priority="899" operator="lessThan">
      <formula>0</formula>
    </cfRule>
  </conditionalFormatting>
  <conditionalFormatting sqref="AQ11">
    <cfRule type="cellIs" dxfId="6957" priority="898" operator="lessThan">
      <formula>0</formula>
    </cfRule>
  </conditionalFormatting>
  <conditionalFormatting sqref="AQ11">
    <cfRule type="cellIs" dxfId="6956" priority="897" operator="lessThan">
      <formula>0</formula>
    </cfRule>
  </conditionalFormatting>
  <conditionalFormatting sqref="AQ11">
    <cfRule type="cellIs" dxfId="6955" priority="896" operator="lessThan">
      <formula>0</formula>
    </cfRule>
  </conditionalFormatting>
  <conditionalFormatting sqref="AQ11">
    <cfRule type="cellIs" dxfId="6954" priority="895" operator="lessThan">
      <formula>0</formula>
    </cfRule>
  </conditionalFormatting>
  <conditionalFormatting sqref="AQ11">
    <cfRule type="cellIs" dxfId="6953" priority="894" operator="lessThan">
      <formula>0</formula>
    </cfRule>
  </conditionalFormatting>
  <conditionalFormatting sqref="AQ11">
    <cfRule type="cellIs" dxfId="6952" priority="893" operator="lessThan">
      <formula>0</formula>
    </cfRule>
  </conditionalFormatting>
  <conditionalFormatting sqref="AQ11">
    <cfRule type="cellIs" dxfId="6951" priority="892" operator="lessThan">
      <formula>0</formula>
    </cfRule>
  </conditionalFormatting>
  <conditionalFormatting sqref="AQ11">
    <cfRule type="cellIs" dxfId="6950" priority="891" operator="lessThan">
      <formula>0</formula>
    </cfRule>
  </conditionalFormatting>
  <conditionalFormatting sqref="AQ11">
    <cfRule type="cellIs" dxfId="6949" priority="890" operator="lessThan">
      <formula>0</formula>
    </cfRule>
  </conditionalFormatting>
  <conditionalFormatting sqref="AQ11">
    <cfRule type="cellIs" dxfId="6948" priority="889" operator="lessThan">
      <formula>0</formula>
    </cfRule>
  </conditionalFormatting>
  <conditionalFormatting sqref="AQ11">
    <cfRule type="cellIs" dxfId="6947" priority="888" operator="lessThan">
      <formula>0</formula>
    </cfRule>
  </conditionalFormatting>
  <conditionalFormatting sqref="AQ11">
    <cfRule type="cellIs" dxfId="6946" priority="887" operator="lessThan">
      <formula>0</formula>
    </cfRule>
  </conditionalFormatting>
  <conditionalFormatting sqref="AQ11">
    <cfRule type="cellIs" dxfId="6945" priority="886" operator="lessThan">
      <formula>0</formula>
    </cfRule>
  </conditionalFormatting>
  <conditionalFormatting sqref="AQ11">
    <cfRule type="cellIs" dxfId="6944" priority="885" operator="lessThan">
      <formula>0</formula>
    </cfRule>
  </conditionalFormatting>
  <conditionalFormatting sqref="AQ11">
    <cfRule type="cellIs" dxfId="6943" priority="884" operator="lessThan">
      <formula>0</formula>
    </cfRule>
  </conditionalFormatting>
  <conditionalFormatting sqref="AQ11">
    <cfRule type="cellIs" dxfId="6942" priority="883" operator="lessThan">
      <formula>0</formula>
    </cfRule>
  </conditionalFormatting>
  <conditionalFormatting sqref="AQ11">
    <cfRule type="cellIs" dxfId="6941" priority="882" operator="lessThan">
      <formula>0</formula>
    </cfRule>
  </conditionalFormatting>
  <conditionalFormatting sqref="AQ11">
    <cfRule type="cellIs" dxfId="6940" priority="881" operator="lessThan">
      <formula>0</formula>
    </cfRule>
  </conditionalFormatting>
  <conditionalFormatting sqref="AQ11">
    <cfRule type="cellIs" dxfId="6939" priority="880" operator="lessThan">
      <formula>0</formula>
    </cfRule>
  </conditionalFormatting>
  <conditionalFormatting sqref="AQ11">
    <cfRule type="cellIs" dxfId="6938" priority="879" operator="lessThan">
      <formula>0</formula>
    </cfRule>
  </conditionalFormatting>
  <conditionalFormatting sqref="AQ11">
    <cfRule type="cellIs" dxfId="6937" priority="878" operator="lessThan">
      <formula>0</formula>
    </cfRule>
  </conditionalFormatting>
  <conditionalFormatting sqref="AQ11">
    <cfRule type="cellIs" dxfId="6936" priority="877" operator="lessThan">
      <formula>0</formula>
    </cfRule>
  </conditionalFormatting>
  <conditionalFormatting sqref="AQ11">
    <cfRule type="cellIs" dxfId="6935" priority="876" operator="lessThan">
      <formula>0</formula>
    </cfRule>
  </conditionalFormatting>
  <conditionalFormatting sqref="AQ11">
    <cfRule type="cellIs" dxfId="6934" priority="875" operator="lessThan">
      <formula>0</formula>
    </cfRule>
  </conditionalFormatting>
  <conditionalFormatting sqref="AQ11">
    <cfRule type="cellIs" dxfId="6933" priority="874" operator="lessThan">
      <formula>0</formula>
    </cfRule>
  </conditionalFormatting>
  <conditionalFormatting sqref="AQ11">
    <cfRule type="cellIs" dxfId="6932" priority="873" operator="lessThan">
      <formula>0</formula>
    </cfRule>
  </conditionalFormatting>
  <conditionalFormatting sqref="AQ11">
    <cfRule type="cellIs" dxfId="6931" priority="872" operator="lessThan">
      <formula>0</formula>
    </cfRule>
  </conditionalFormatting>
  <conditionalFormatting sqref="AQ11">
    <cfRule type="cellIs" dxfId="6930" priority="871" operator="lessThan">
      <formula>0</formula>
    </cfRule>
  </conditionalFormatting>
  <conditionalFormatting sqref="AQ11">
    <cfRule type="cellIs" dxfId="6929" priority="870" operator="lessThan">
      <formula>0</formula>
    </cfRule>
  </conditionalFormatting>
  <conditionalFormatting sqref="AQ11">
    <cfRule type="cellIs" dxfId="6928" priority="854" operator="lessThan">
      <formula>0</formula>
    </cfRule>
  </conditionalFormatting>
  <conditionalFormatting sqref="AQ11">
    <cfRule type="cellIs" dxfId="6927" priority="869" operator="lessThan">
      <formula>0</formula>
    </cfRule>
  </conditionalFormatting>
  <conditionalFormatting sqref="AQ11">
    <cfRule type="cellIs" dxfId="6926" priority="868" operator="lessThan">
      <formula>0</formula>
    </cfRule>
  </conditionalFormatting>
  <conditionalFormatting sqref="AQ11">
    <cfRule type="cellIs" dxfId="6925" priority="867" operator="lessThan">
      <formula>0</formula>
    </cfRule>
  </conditionalFormatting>
  <conditionalFormatting sqref="AQ11">
    <cfRule type="cellIs" dxfId="6924" priority="866" operator="lessThan">
      <formula>0</formula>
    </cfRule>
  </conditionalFormatting>
  <conditionalFormatting sqref="AQ11">
    <cfRule type="cellIs" dxfId="6923" priority="865" operator="lessThan">
      <formula>0</formula>
    </cfRule>
  </conditionalFormatting>
  <conditionalFormatting sqref="AQ11">
    <cfRule type="cellIs" dxfId="6922" priority="864" operator="lessThan">
      <formula>0</formula>
    </cfRule>
  </conditionalFormatting>
  <conditionalFormatting sqref="AQ11">
    <cfRule type="cellIs" dxfId="6921" priority="863" operator="lessThan">
      <formula>0</formula>
    </cfRule>
  </conditionalFormatting>
  <conditionalFormatting sqref="AQ11">
    <cfRule type="cellIs" dxfId="6920" priority="862" operator="lessThan">
      <formula>0</formula>
    </cfRule>
  </conditionalFormatting>
  <conditionalFormatting sqref="AQ11">
    <cfRule type="cellIs" dxfId="6919" priority="861" operator="lessThan">
      <formula>0</formula>
    </cfRule>
  </conditionalFormatting>
  <conditionalFormatting sqref="AQ11">
    <cfRule type="cellIs" dxfId="6918" priority="860" operator="lessThan">
      <formula>0</formula>
    </cfRule>
  </conditionalFormatting>
  <conditionalFormatting sqref="AQ11">
    <cfRule type="cellIs" dxfId="6917" priority="859" operator="lessThan">
      <formula>0</formula>
    </cfRule>
  </conditionalFormatting>
  <conditionalFormatting sqref="AQ11">
    <cfRule type="cellIs" dxfId="6916" priority="858" operator="lessThan">
      <formula>0</formula>
    </cfRule>
  </conditionalFormatting>
  <conditionalFormatting sqref="AQ11">
    <cfRule type="cellIs" dxfId="6915" priority="857" operator="lessThan">
      <formula>0</formula>
    </cfRule>
  </conditionalFormatting>
  <conditionalFormatting sqref="AQ11">
    <cfRule type="cellIs" dxfId="6914" priority="856" operator="lessThan">
      <formula>0</formula>
    </cfRule>
  </conditionalFormatting>
  <conditionalFormatting sqref="AQ11">
    <cfRule type="cellIs" dxfId="6913" priority="855" operator="lessThan">
      <formula>0</formula>
    </cfRule>
  </conditionalFormatting>
  <conditionalFormatting sqref="AQ18">
    <cfRule type="cellIs" dxfId="6912" priority="850" operator="lessThan">
      <formula>0</formula>
    </cfRule>
  </conditionalFormatting>
  <conditionalFormatting sqref="AQ18">
    <cfRule type="cellIs" dxfId="6911" priority="849" operator="lessThan">
      <formula>0</formula>
    </cfRule>
  </conditionalFormatting>
  <conditionalFormatting sqref="AQ20:AQ21">
    <cfRule type="cellIs" dxfId="6910" priority="848" operator="lessThan">
      <formula>0</formula>
    </cfRule>
  </conditionalFormatting>
  <conditionalFormatting sqref="AQ20:AQ21">
    <cfRule type="cellIs" dxfId="6909" priority="847" operator="lessThan">
      <formula>0</formula>
    </cfRule>
  </conditionalFormatting>
  <conditionalFormatting sqref="AQ20:AQ21">
    <cfRule type="cellIs" dxfId="6908" priority="846" operator="lessThan">
      <formula>0</formula>
    </cfRule>
  </conditionalFormatting>
  <conditionalFormatting sqref="AQ20:AQ21">
    <cfRule type="cellIs" dxfId="6907" priority="845" operator="lessThan">
      <formula>0</formula>
    </cfRule>
  </conditionalFormatting>
  <conditionalFormatting sqref="AQ20:AQ21">
    <cfRule type="cellIs" dxfId="6906" priority="844" operator="lessThan">
      <formula>0</formula>
    </cfRule>
  </conditionalFormatting>
  <conditionalFormatting sqref="AQ20:AQ21">
    <cfRule type="cellIs" dxfId="6905" priority="843" operator="lessThan">
      <formula>0</formula>
    </cfRule>
  </conditionalFormatting>
  <conditionalFormatting sqref="AQ20:AQ21">
    <cfRule type="cellIs" dxfId="6904" priority="842" operator="lessThan">
      <formula>0</formula>
    </cfRule>
  </conditionalFormatting>
  <conditionalFormatting sqref="AQ20:AQ21">
    <cfRule type="cellIs" dxfId="6903" priority="841" operator="lessThan">
      <formula>0</formula>
    </cfRule>
  </conditionalFormatting>
  <conditionalFormatting sqref="AQ18">
    <cfRule type="cellIs" dxfId="6902" priority="840" operator="lessThan">
      <formula>0</formula>
    </cfRule>
  </conditionalFormatting>
  <conditionalFormatting sqref="AQ18 AQ20:AQ21">
    <cfRule type="cellIs" dxfId="6901" priority="839" operator="lessThan">
      <formula>0</formula>
    </cfRule>
  </conditionalFormatting>
  <conditionalFormatting sqref="AQ18 AQ20:AQ21">
    <cfRule type="cellIs" dxfId="6900" priority="838" operator="lessThan">
      <formula>0</formula>
    </cfRule>
  </conditionalFormatting>
  <conditionalFormatting sqref="AQ18 AQ20:AQ21">
    <cfRule type="cellIs" dxfId="6899" priority="837" operator="lessThan">
      <formula>0</formula>
    </cfRule>
  </conditionalFormatting>
  <conditionalFormatting sqref="AQ18 AQ20:AQ21">
    <cfRule type="cellIs" dxfId="6898" priority="836" operator="lessThan">
      <formula>0</formula>
    </cfRule>
  </conditionalFormatting>
  <conditionalFormatting sqref="AQ20:AQ21">
    <cfRule type="cellIs" dxfId="6897" priority="835" operator="lessThan">
      <formula>0</formula>
    </cfRule>
  </conditionalFormatting>
  <conditionalFormatting sqref="AQ20:AQ21">
    <cfRule type="cellIs" dxfId="6896" priority="834" operator="lessThan">
      <formula>0</formula>
    </cfRule>
  </conditionalFormatting>
  <conditionalFormatting sqref="AQ20:AQ21">
    <cfRule type="cellIs" dxfId="6895" priority="833" operator="lessThan">
      <formula>0</formula>
    </cfRule>
  </conditionalFormatting>
  <conditionalFormatting sqref="AQ20:AQ21">
    <cfRule type="cellIs" dxfId="6894" priority="832" operator="lessThan">
      <formula>0</formula>
    </cfRule>
  </conditionalFormatting>
  <conditionalFormatting sqref="AQ19">
    <cfRule type="cellIs" dxfId="6893" priority="831" operator="lessThan">
      <formula>0</formula>
    </cfRule>
  </conditionalFormatting>
  <conditionalFormatting sqref="AQ19">
    <cfRule type="cellIs" dxfId="6892" priority="830" operator="lessThan">
      <formula>0</formula>
    </cfRule>
  </conditionalFormatting>
  <conditionalFormatting sqref="AQ19">
    <cfRule type="cellIs" dxfId="6891" priority="829" operator="lessThan">
      <formula>0</formula>
    </cfRule>
  </conditionalFormatting>
  <conditionalFormatting sqref="AQ19">
    <cfRule type="cellIs" dxfId="6890" priority="828" operator="lessThan">
      <formula>0</formula>
    </cfRule>
  </conditionalFormatting>
  <conditionalFormatting sqref="AQ19">
    <cfRule type="cellIs" dxfId="6889" priority="827" operator="lessThan">
      <formula>0</formula>
    </cfRule>
  </conditionalFormatting>
  <conditionalFormatting sqref="AQ19">
    <cfRule type="cellIs" dxfId="6888" priority="826" operator="lessThan">
      <formula>0</formula>
    </cfRule>
  </conditionalFormatting>
  <conditionalFormatting sqref="AQ19">
    <cfRule type="cellIs" dxfId="6887" priority="825" operator="lessThan">
      <formula>0</formula>
    </cfRule>
  </conditionalFormatting>
  <conditionalFormatting sqref="AQ19">
    <cfRule type="cellIs" dxfId="6886" priority="824" operator="lessThan">
      <formula>0</formula>
    </cfRule>
  </conditionalFormatting>
  <conditionalFormatting sqref="AQ19">
    <cfRule type="cellIs" dxfId="6885" priority="823" operator="lessThan">
      <formula>0</formula>
    </cfRule>
  </conditionalFormatting>
  <conditionalFormatting sqref="AQ19">
    <cfRule type="cellIs" dxfId="6884" priority="822" operator="lessThan">
      <formula>0</formula>
    </cfRule>
  </conditionalFormatting>
  <conditionalFormatting sqref="AQ19">
    <cfRule type="cellIs" dxfId="6883" priority="821" operator="lessThan">
      <formula>0</formula>
    </cfRule>
  </conditionalFormatting>
  <conditionalFormatting sqref="AQ19">
    <cfRule type="cellIs" dxfId="6882" priority="820" operator="lessThan">
      <formula>0</formula>
    </cfRule>
  </conditionalFormatting>
  <conditionalFormatting sqref="AQ19">
    <cfRule type="cellIs" dxfId="6881" priority="819" operator="lessThan">
      <formula>0</formula>
    </cfRule>
  </conditionalFormatting>
  <conditionalFormatting sqref="AQ19">
    <cfRule type="cellIs" dxfId="6880" priority="818" operator="lessThan">
      <formula>0</formula>
    </cfRule>
  </conditionalFormatting>
  <conditionalFormatting sqref="AQ19">
    <cfRule type="cellIs" dxfId="6879" priority="817" operator="lessThan">
      <formula>0</formula>
    </cfRule>
  </conditionalFormatting>
  <conditionalFormatting sqref="AQ19">
    <cfRule type="cellIs" dxfId="6878" priority="816" operator="lessThan">
      <formula>0</formula>
    </cfRule>
  </conditionalFormatting>
  <conditionalFormatting sqref="AQ19">
    <cfRule type="cellIs" dxfId="6877" priority="815" operator="lessThan">
      <formula>0</formula>
    </cfRule>
  </conditionalFormatting>
  <conditionalFormatting sqref="AQ19">
    <cfRule type="cellIs" dxfId="6876" priority="814" operator="lessThan">
      <formula>0</formula>
    </cfRule>
  </conditionalFormatting>
  <conditionalFormatting sqref="AQ19">
    <cfRule type="cellIs" dxfId="6875" priority="813" operator="lessThan">
      <formula>0</formula>
    </cfRule>
  </conditionalFormatting>
  <conditionalFormatting sqref="AQ19">
    <cfRule type="cellIs" dxfId="6874" priority="812" operator="lessThan">
      <formula>0</formula>
    </cfRule>
  </conditionalFormatting>
  <conditionalFormatting sqref="AQ19">
    <cfRule type="cellIs" dxfId="6873" priority="811" operator="lessThan">
      <formula>0</formula>
    </cfRule>
  </conditionalFormatting>
  <conditionalFormatting sqref="AQ19">
    <cfRule type="cellIs" dxfId="6872" priority="810" operator="lessThan">
      <formula>0</formula>
    </cfRule>
  </conditionalFormatting>
  <conditionalFormatting sqref="AQ19">
    <cfRule type="cellIs" dxfId="6871" priority="809" operator="lessThan">
      <formula>0</formula>
    </cfRule>
  </conditionalFormatting>
  <conditionalFormatting sqref="AQ19">
    <cfRule type="cellIs" dxfId="6870" priority="808" operator="lessThan">
      <formula>0</formula>
    </cfRule>
  </conditionalFormatting>
  <conditionalFormatting sqref="AQ19">
    <cfRule type="cellIs" dxfId="6869" priority="807" operator="lessThan">
      <formula>0</formula>
    </cfRule>
  </conditionalFormatting>
  <conditionalFormatting sqref="AQ19">
    <cfRule type="cellIs" dxfId="6868" priority="806" operator="lessThan">
      <formula>0</formula>
    </cfRule>
  </conditionalFormatting>
  <conditionalFormatting sqref="AQ19">
    <cfRule type="cellIs" dxfId="6867" priority="805" operator="lessThan">
      <formula>0</formula>
    </cfRule>
  </conditionalFormatting>
  <conditionalFormatting sqref="AQ19">
    <cfRule type="cellIs" dxfId="6866" priority="804" operator="lessThan">
      <formula>0</formula>
    </cfRule>
  </conditionalFormatting>
  <conditionalFormatting sqref="AQ19">
    <cfRule type="cellIs" dxfId="6865" priority="803" operator="lessThan">
      <formula>0</formula>
    </cfRule>
  </conditionalFormatting>
  <conditionalFormatting sqref="AQ19">
    <cfRule type="cellIs" dxfId="6864" priority="802" operator="lessThan">
      <formula>0</formula>
    </cfRule>
  </conditionalFormatting>
  <conditionalFormatting sqref="AQ19">
    <cfRule type="cellIs" dxfId="6863" priority="801" operator="lessThan">
      <formula>0</formula>
    </cfRule>
  </conditionalFormatting>
  <conditionalFormatting sqref="AQ19">
    <cfRule type="cellIs" dxfId="6862" priority="800" operator="lessThan">
      <formula>0</formula>
    </cfRule>
  </conditionalFormatting>
  <conditionalFormatting sqref="AQ19">
    <cfRule type="cellIs" dxfId="6861" priority="799" operator="lessThan">
      <formula>0</formula>
    </cfRule>
  </conditionalFormatting>
  <conditionalFormatting sqref="AQ19">
    <cfRule type="cellIs" dxfId="6860" priority="798" operator="lessThan">
      <formula>0</formula>
    </cfRule>
  </conditionalFormatting>
  <conditionalFormatting sqref="AQ19">
    <cfRule type="cellIs" dxfId="6859" priority="797" operator="lessThan">
      <formula>0</formula>
    </cfRule>
  </conditionalFormatting>
  <conditionalFormatting sqref="AQ19">
    <cfRule type="cellIs" dxfId="6858" priority="796" operator="lessThan">
      <formula>0</formula>
    </cfRule>
  </conditionalFormatting>
  <conditionalFormatting sqref="AQ19">
    <cfRule type="cellIs" dxfId="6857" priority="795" operator="lessThan">
      <formula>0</formula>
    </cfRule>
  </conditionalFormatting>
  <conditionalFormatting sqref="AQ19">
    <cfRule type="cellIs" dxfId="6856" priority="794" operator="lessThan">
      <formula>0</formula>
    </cfRule>
  </conditionalFormatting>
  <conditionalFormatting sqref="AQ19">
    <cfRule type="cellIs" dxfId="6855" priority="793" operator="lessThan">
      <formula>0</formula>
    </cfRule>
  </conditionalFormatting>
  <conditionalFormatting sqref="AQ19">
    <cfRule type="cellIs" dxfId="6854" priority="792" operator="lessThan">
      <formula>0</formula>
    </cfRule>
  </conditionalFormatting>
  <conditionalFormatting sqref="AQ19">
    <cfRule type="cellIs" dxfId="6853" priority="791" operator="lessThan">
      <formula>0</formula>
    </cfRule>
  </conditionalFormatting>
  <conditionalFormatting sqref="AQ19">
    <cfRule type="cellIs" dxfId="6852" priority="790" operator="lessThan">
      <formula>0</formula>
    </cfRule>
  </conditionalFormatting>
  <conditionalFormatting sqref="AQ19">
    <cfRule type="cellIs" dxfId="6851" priority="789" operator="lessThan">
      <formula>0</formula>
    </cfRule>
  </conditionalFormatting>
  <conditionalFormatting sqref="AQ19">
    <cfRule type="cellIs" dxfId="6850" priority="788" operator="lessThan">
      <formula>0</formula>
    </cfRule>
  </conditionalFormatting>
  <conditionalFormatting sqref="AQ19">
    <cfRule type="cellIs" dxfId="6849" priority="787" operator="lessThan">
      <formula>0</formula>
    </cfRule>
  </conditionalFormatting>
  <conditionalFormatting sqref="AQ19">
    <cfRule type="cellIs" dxfId="6848" priority="786" operator="lessThan">
      <formula>0</formula>
    </cfRule>
  </conditionalFormatting>
  <conditionalFormatting sqref="AQ19">
    <cfRule type="cellIs" dxfId="6847" priority="785" operator="lessThan">
      <formula>0</formula>
    </cfRule>
  </conditionalFormatting>
  <conditionalFormatting sqref="AQ19">
    <cfRule type="cellIs" dxfId="6846" priority="784" operator="lessThan">
      <formula>0</formula>
    </cfRule>
  </conditionalFormatting>
  <conditionalFormatting sqref="AQ19">
    <cfRule type="cellIs" dxfId="6845" priority="783" operator="lessThan">
      <formula>0</formula>
    </cfRule>
  </conditionalFormatting>
  <conditionalFormatting sqref="AQ19">
    <cfRule type="cellIs" dxfId="6844" priority="782" operator="lessThan">
      <formula>0</formula>
    </cfRule>
  </conditionalFormatting>
  <conditionalFormatting sqref="AQ19">
    <cfRule type="cellIs" dxfId="6843" priority="781" operator="lessThan">
      <formula>0</formula>
    </cfRule>
  </conditionalFormatting>
  <conditionalFormatting sqref="AQ19">
    <cfRule type="cellIs" dxfId="6842" priority="780" operator="lessThan">
      <formula>0</formula>
    </cfRule>
  </conditionalFormatting>
  <conditionalFormatting sqref="AQ19">
    <cfRule type="cellIs" dxfId="6841" priority="779" operator="lessThan">
      <formula>0</formula>
    </cfRule>
  </conditionalFormatting>
  <conditionalFormatting sqref="AQ19">
    <cfRule type="cellIs" dxfId="6840" priority="778" operator="lessThan">
      <formula>0</formula>
    </cfRule>
  </conditionalFormatting>
  <conditionalFormatting sqref="AQ19">
    <cfRule type="cellIs" dxfId="6839" priority="777" operator="lessThan">
      <formula>0</formula>
    </cfRule>
  </conditionalFormatting>
  <conditionalFormatting sqref="AQ19">
    <cfRule type="cellIs" dxfId="6838" priority="776" operator="lessThan">
      <formula>0</formula>
    </cfRule>
  </conditionalFormatting>
  <conditionalFormatting sqref="AQ19">
    <cfRule type="cellIs" dxfId="6837" priority="775" operator="lessThan">
      <formula>0</formula>
    </cfRule>
  </conditionalFormatting>
  <conditionalFormatting sqref="AQ19">
    <cfRule type="cellIs" dxfId="6836" priority="774" operator="lessThan">
      <formula>0</formula>
    </cfRule>
  </conditionalFormatting>
  <conditionalFormatting sqref="AQ19">
    <cfRule type="cellIs" dxfId="6835" priority="773" operator="lessThan">
      <formula>0</formula>
    </cfRule>
  </conditionalFormatting>
  <conditionalFormatting sqref="AQ19">
    <cfRule type="cellIs" dxfId="6834" priority="772" operator="lessThan">
      <formula>0</formula>
    </cfRule>
  </conditionalFormatting>
  <conditionalFormatting sqref="AQ19">
    <cfRule type="cellIs" dxfId="6833" priority="771" operator="lessThan">
      <formula>0</formula>
    </cfRule>
  </conditionalFormatting>
  <conditionalFormatting sqref="AQ19">
    <cfRule type="cellIs" dxfId="6832" priority="770" operator="lessThan">
      <formula>0</formula>
    </cfRule>
  </conditionalFormatting>
  <conditionalFormatting sqref="AQ19">
    <cfRule type="cellIs" dxfId="6831" priority="769" operator="lessThan">
      <formula>0</formula>
    </cfRule>
  </conditionalFormatting>
  <conditionalFormatting sqref="AQ19">
    <cfRule type="cellIs" dxfId="6830" priority="768" operator="lessThan">
      <formula>0</formula>
    </cfRule>
  </conditionalFormatting>
  <conditionalFormatting sqref="AQ19">
    <cfRule type="cellIs" dxfId="6829" priority="767" operator="lessThan">
      <formula>0</formula>
    </cfRule>
  </conditionalFormatting>
  <conditionalFormatting sqref="AQ19">
    <cfRule type="cellIs" dxfId="6828" priority="766" operator="lessThan">
      <formula>0</formula>
    </cfRule>
  </conditionalFormatting>
  <conditionalFormatting sqref="AQ19">
    <cfRule type="cellIs" dxfId="6827" priority="765" operator="lessThan">
      <formula>0</formula>
    </cfRule>
  </conditionalFormatting>
  <conditionalFormatting sqref="AQ19">
    <cfRule type="cellIs" dxfId="6826" priority="764" operator="lessThan">
      <formula>0</formula>
    </cfRule>
  </conditionalFormatting>
  <conditionalFormatting sqref="AQ19">
    <cfRule type="cellIs" dxfId="6825" priority="763" operator="lessThan">
      <formula>0</formula>
    </cfRule>
  </conditionalFormatting>
  <conditionalFormatting sqref="AQ19">
    <cfRule type="cellIs" dxfId="6824" priority="762" operator="lessThan">
      <formula>0</formula>
    </cfRule>
  </conditionalFormatting>
  <conditionalFormatting sqref="AQ19">
    <cfRule type="cellIs" dxfId="6823" priority="761" operator="lessThan">
      <formula>0</formula>
    </cfRule>
  </conditionalFormatting>
  <conditionalFormatting sqref="AQ19">
    <cfRule type="cellIs" dxfId="6822" priority="760" operator="lessThan">
      <formula>0</formula>
    </cfRule>
  </conditionalFormatting>
  <conditionalFormatting sqref="AQ19">
    <cfRule type="cellIs" dxfId="6821" priority="759" operator="lessThan">
      <formula>0</formula>
    </cfRule>
  </conditionalFormatting>
  <conditionalFormatting sqref="AQ19">
    <cfRule type="cellIs" dxfId="6820" priority="758" operator="lessThan">
      <formula>0</formula>
    </cfRule>
  </conditionalFormatting>
  <conditionalFormatting sqref="AQ19">
    <cfRule type="cellIs" dxfId="6819" priority="757" operator="lessThan">
      <formula>0</formula>
    </cfRule>
  </conditionalFormatting>
  <conditionalFormatting sqref="AQ19">
    <cfRule type="cellIs" dxfId="6818" priority="756" operator="lessThan">
      <formula>0</formula>
    </cfRule>
  </conditionalFormatting>
  <conditionalFormatting sqref="AQ19">
    <cfRule type="cellIs" dxfId="6817" priority="755" operator="lessThan">
      <formula>0</formula>
    </cfRule>
  </conditionalFormatting>
  <conditionalFormatting sqref="AQ19">
    <cfRule type="cellIs" dxfId="6816" priority="754" operator="lessThan">
      <formula>0</formula>
    </cfRule>
  </conditionalFormatting>
  <conditionalFormatting sqref="AQ19">
    <cfRule type="cellIs" dxfId="6815" priority="753" operator="lessThan">
      <formula>0</formula>
    </cfRule>
  </conditionalFormatting>
  <conditionalFormatting sqref="AQ19">
    <cfRule type="cellIs" dxfId="6814" priority="752" operator="lessThan">
      <formula>0</formula>
    </cfRule>
  </conditionalFormatting>
  <conditionalFormatting sqref="AQ19">
    <cfRule type="cellIs" dxfId="6813" priority="736" operator="lessThan">
      <formula>0</formula>
    </cfRule>
  </conditionalFormatting>
  <conditionalFormatting sqref="AQ19">
    <cfRule type="cellIs" dxfId="6812" priority="751" operator="lessThan">
      <formula>0</formula>
    </cfRule>
  </conditionalFormatting>
  <conditionalFormatting sqref="AQ19">
    <cfRule type="cellIs" dxfId="6811" priority="750" operator="lessThan">
      <formula>0</formula>
    </cfRule>
  </conditionalFormatting>
  <conditionalFormatting sqref="AQ19">
    <cfRule type="cellIs" dxfId="6810" priority="749" operator="lessThan">
      <formula>0</formula>
    </cfRule>
  </conditionalFormatting>
  <conditionalFormatting sqref="AQ19">
    <cfRule type="cellIs" dxfId="6809" priority="748" operator="lessThan">
      <formula>0</formula>
    </cfRule>
  </conditionalFormatting>
  <conditionalFormatting sqref="AQ19">
    <cfRule type="cellIs" dxfId="6808" priority="747" operator="lessThan">
      <formula>0</formula>
    </cfRule>
  </conditionalFormatting>
  <conditionalFormatting sqref="AQ19">
    <cfRule type="cellIs" dxfId="6807" priority="746" operator="lessThan">
      <formula>0</formula>
    </cfRule>
  </conditionalFormatting>
  <conditionalFormatting sqref="AQ19">
    <cfRule type="cellIs" dxfId="6806" priority="745" operator="lessThan">
      <formula>0</formula>
    </cfRule>
  </conditionalFormatting>
  <conditionalFormatting sqref="AQ19">
    <cfRule type="cellIs" dxfId="6805" priority="744" operator="lessThan">
      <formula>0</formula>
    </cfRule>
  </conditionalFormatting>
  <conditionalFormatting sqref="AQ19">
    <cfRule type="cellIs" dxfId="6804" priority="743" operator="lessThan">
      <formula>0</formula>
    </cfRule>
  </conditionalFormatting>
  <conditionalFormatting sqref="AQ19">
    <cfRule type="cellIs" dxfId="6803" priority="742" operator="lessThan">
      <formula>0</formula>
    </cfRule>
  </conditionalFormatting>
  <conditionalFormatting sqref="AQ19">
    <cfRule type="cellIs" dxfId="6802" priority="741" operator="lessThan">
      <formula>0</formula>
    </cfRule>
  </conditionalFormatting>
  <conditionalFormatting sqref="AQ19">
    <cfRule type="cellIs" dxfId="6801" priority="740" operator="lessThan">
      <formula>0</formula>
    </cfRule>
  </conditionalFormatting>
  <conditionalFormatting sqref="AQ19">
    <cfRule type="cellIs" dxfId="6800" priority="739" operator="lessThan">
      <formula>0</formula>
    </cfRule>
  </conditionalFormatting>
  <conditionalFormatting sqref="AQ19">
    <cfRule type="cellIs" dxfId="6799" priority="738" operator="lessThan">
      <formula>0</formula>
    </cfRule>
  </conditionalFormatting>
  <conditionalFormatting sqref="AQ19">
    <cfRule type="cellIs" dxfId="6798" priority="737" operator="lessThan">
      <formula>0</formula>
    </cfRule>
  </conditionalFormatting>
  <conditionalFormatting sqref="AQ22 AQ30 AQ34 AQ38 AQ42 AQ46 AQ50 AQ54 AQ58 AQ66 AQ70 AQ74 AQ82 AQ86">
    <cfRule type="cellIs" dxfId="6797" priority="735" operator="lessThan">
      <formula>0</formula>
    </cfRule>
  </conditionalFormatting>
  <conditionalFormatting sqref="AQ22 AQ30 AQ34 AQ38 AQ42 AQ46 AQ50 AQ54 AQ58 AQ66 AQ70 AQ74 AQ82 AQ86">
    <cfRule type="cellIs" dxfId="6796" priority="734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95" priority="733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94" priority="732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93" priority="731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92" priority="730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91" priority="729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90" priority="728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89" priority="727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88" priority="726" operator="lessThan">
      <formula>0</formula>
    </cfRule>
  </conditionalFormatting>
  <conditionalFormatting sqref="AQ22 AQ30 AQ34 AQ38 AQ42 AQ46 AQ50 AQ54 AQ58 AQ66 AQ70 AQ74 AQ82 AQ86">
    <cfRule type="cellIs" dxfId="6787" priority="725" operator="lessThan">
      <formula>0</formula>
    </cfRule>
  </conditionalFormatting>
  <conditionalFormatting sqref="AQ24:AQ25 AQ32:AQ34 AQ36:AQ38 AQ40:AQ42 AQ44:AQ46 AQ48:AQ50 AQ52:AQ54 AQ56:AQ58 AQ60:AQ61 AQ68:AQ70 AQ72:AQ74 AQ76:AQ77 AQ84:AQ86 AQ88:AQ89 AQ30 AQ82">
    <cfRule type="cellIs" dxfId="6786" priority="724" operator="lessThan">
      <formula>0</formula>
    </cfRule>
  </conditionalFormatting>
  <conditionalFormatting sqref="AQ24:AQ25 AQ32:AQ34 AQ36:AQ38 AQ40:AQ42 AQ44:AQ46 AQ48:AQ50 AQ52:AQ54 AQ56:AQ58 AQ60:AQ61 AQ68:AQ70 AQ72:AQ74 AQ76:AQ77 AQ84:AQ86 AQ88:AQ89 AQ30 AQ82">
    <cfRule type="cellIs" dxfId="6785" priority="723" operator="lessThan">
      <formula>0</formula>
    </cfRule>
  </conditionalFormatting>
  <conditionalFormatting sqref="AQ24:AQ25 AQ32:AQ34 AQ36:AQ38 AQ40:AQ42 AQ44:AQ46 AQ48:AQ50 AQ52:AQ54 AQ56:AQ58 AQ60:AQ61 AQ68:AQ70 AQ72:AQ74 AQ76:AQ77 AQ84:AQ86 AQ88:AQ89 AQ30 AQ82">
    <cfRule type="cellIs" dxfId="6784" priority="722" operator="lessThan">
      <formula>0</formula>
    </cfRule>
  </conditionalFormatting>
  <conditionalFormatting sqref="AQ24:AQ25 AQ32:AQ34 AQ36:AQ38 AQ40:AQ42 AQ44:AQ46 AQ48:AQ50 AQ52:AQ54 AQ56:AQ58 AQ60:AQ61 AQ68:AQ70 AQ72:AQ74 AQ76:AQ77 AQ84:AQ86 AQ88:AQ89 AQ30 AQ82">
    <cfRule type="cellIs" dxfId="6783" priority="721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82" priority="720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81" priority="719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80" priority="718" operator="lessThan">
      <formula>0</formula>
    </cfRule>
  </conditionalFormatting>
  <conditionalFormatting sqref="AQ24:AQ25 AQ32:AQ33 AQ36:AQ37 AQ40:AQ41 AQ44:AQ45 AQ48:AQ49 AQ52:AQ53 AQ56:AQ57 AQ60:AQ61 AQ68:AQ69 AQ72:AQ73 AQ76:AQ77 AQ84:AQ85 AQ88:AQ89">
    <cfRule type="cellIs" dxfId="6779" priority="717" operator="lessThan">
      <formula>0</formula>
    </cfRule>
  </conditionalFormatting>
  <conditionalFormatting sqref="AQ23 AQ31 AQ35 AQ39 AQ43 AQ47 AQ51 AQ55 AQ59 AQ67 AQ71 AQ75 AQ83 AQ87">
    <cfRule type="cellIs" dxfId="6778" priority="716" operator="lessThan">
      <formula>0</formula>
    </cfRule>
  </conditionalFormatting>
  <conditionalFormatting sqref="AQ23 AQ31 AQ35 AQ39 AQ43 AQ47 AQ51 AQ55 AQ59 AQ67 AQ71 AQ75 AQ83 AQ87">
    <cfRule type="cellIs" dxfId="6777" priority="715" operator="lessThan">
      <formula>0</formula>
    </cfRule>
  </conditionalFormatting>
  <conditionalFormatting sqref="AQ23 AQ31 AQ35 AQ39 AQ43 AQ47 AQ51 AQ55 AQ59 AQ67 AQ71 AQ75 AQ83 AQ87">
    <cfRule type="cellIs" dxfId="6776" priority="714" operator="lessThan">
      <formula>0</formula>
    </cfRule>
  </conditionalFormatting>
  <conditionalFormatting sqref="AQ23 AQ31 AQ35 AQ39 AQ43 AQ47 AQ51 AQ55 AQ59 AQ67 AQ71 AQ75 AQ83 AQ87">
    <cfRule type="cellIs" dxfId="6775" priority="713" operator="lessThan">
      <formula>0</formula>
    </cfRule>
  </conditionalFormatting>
  <conditionalFormatting sqref="AQ23 AQ31 AQ35 AQ39 AQ43 AQ47 AQ51 AQ55 AQ59 AQ67 AQ71 AQ75 AQ83 AQ87">
    <cfRule type="cellIs" dxfId="6774" priority="712" operator="lessThan">
      <formula>0</formula>
    </cfRule>
  </conditionalFormatting>
  <conditionalFormatting sqref="AQ23 AQ31 AQ35 AQ39 AQ43 AQ47 AQ51 AQ55 AQ59 AQ67 AQ71 AQ75 AQ83 AQ87">
    <cfRule type="cellIs" dxfId="6773" priority="711" operator="lessThan">
      <formula>0</formula>
    </cfRule>
  </conditionalFormatting>
  <conditionalFormatting sqref="AQ23 AQ31 AQ35 AQ39 AQ43 AQ47 AQ51 AQ55 AQ59 AQ67 AQ71 AQ75 AQ83 AQ87">
    <cfRule type="cellIs" dxfId="6772" priority="710" operator="lessThan">
      <formula>0</formula>
    </cfRule>
  </conditionalFormatting>
  <conditionalFormatting sqref="AQ23 AQ31 AQ35 AQ39 AQ43 AQ47 AQ51 AQ55 AQ59 AQ67 AQ71 AQ75 AQ83 AQ87">
    <cfRule type="cellIs" dxfId="6771" priority="709" operator="lessThan">
      <formula>0</formula>
    </cfRule>
  </conditionalFormatting>
  <conditionalFormatting sqref="AQ23 AQ31 AQ35 AQ39 AQ43 AQ47 AQ51 AQ55 AQ59 AQ67 AQ71 AQ75 AQ83 AQ87">
    <cfRule type="cellIs" dxfId="6770" priority="708" operator="lessThan">
      <formula>0</formula>
    </cfRule>
  </conditionalFormatting>
  <conditionalFormatting sqref="AQ23 AQ31 AQ35 AQ39 AQ43 AQ47 AQ51 AQ55 AQ59 AQ67 AQ71 AQ75 AQ83 AQ87">
    <cfRule type="cellIs" dxfId="6769" priority="707" operator="lessThan">
      <formula>0</formula>
    </cfRule>
  </conditionalFormatting>
  <conditionalFormatting sqref="AQ23 AQ31 AQ35 AQ39 AQ43 AQ47 AQ51 AQ55 AQ59 AQ67 AQ71 AQ75 AQ83 AQ87">
    <cfRule type="cellIs" dxfId="6768" priority="706" operator="lessThan">
      <formula>0</formula>
    </cfRule>
  </conditionalFormatting>
  <conditionalFormatting sqref="AQ23 AQ31 AQ35 AQ39 AQ43 AQ47 AQ51 AQ55 AQ59 AQ67 AQ71 AQ75 AQ83 AQ87">
    <cfRule type="cellIs" dxfId="6767" priority="705" operator="lessThan">
      <formula>0</formula>
    </cfRule>
  </conditionalFormatting>
  <conditionalFormatting sqref="AQ23 AQ31 AQ35 AQ39 AQ43 AQ47 AQ51 AQ55 AQ59 AQ67 AQ71 AQ75 AQ83 AQ87">
    <cfRule type="cellIs" dxfId="6766" priority="704" operator="lessThan">
      <formula>0</formula>
    </cfRule>
  </conditionalFormatting>
  <conditionalFormatting sqref="AQ23 AQ31 AQ35 AQ39 AQ43 AQ47 AQ51 AQ55 AQ59 AQ67 AQ71 AQ75 AQ83 AQ87">
    <cfRule type="cellIs" dxfId="6765" priority="703" operator="lessThan">
      <formula>0</formula>
    </cfRule>
  </conditionalFormatting>
  <conditionalFormatting sqref="AQ23 AQ31 AQ35 AQ39 AQ43 AQ47 AQ51 AQ55 AQ59 AQ67 AQ71 AQ75 AQ83 AQ87">
    <cfRule type="cellIs" dxfId="6764" priority="702" operator="lessThan">
      <formula>0</formula>
    </cfRule>
  </conditionalFormatting>
  <conditionalFormatting sqref="AQ23 AQ31 AQ35 AQ39 AQ43 AQ47 AQ51 AQ55 AQ59 AQ67 AQ71 AQ75 AQ83 AQ87">
    <cfRule type="cellIs" dxfId="6763" priority="701" operator="lessThan">
      <formula>0</formula>
    </cfRule>
  </conditionalFormatting>
  <conditionalFormatting sqref="AQ23 AQ31 AQ35 AQ39 AQ43 AQ47 AQ51 AQ55 AQ59 AQ67 AQ71 AQ75 AQ83 AQ87">
    <cfRule type="cellIs" dxfId="6762" priority="700" operator="lessThan">
      <formula>0</formula>
    </cfRule>
  </conditionalFormatting>
  <conditionalFormatting sqref="AQ23 AQ31 AQ35 AQ39 AQ43 AQ47 AQ51 AQ55 AQ59 AQ67 AQ71 AQ75 AQ83 AQ87">
    <cfRule type="cellIs" dxfId="6761" priority="699" operator="lessThan">
      <formula>0</formula>
    </cfRule>
  </conditionalFormatting>
  <conditionalFormatting sqref="AQ23 AQ31 AQ35 AQ39 AQ43 AQ47 AQ51 AQ55 AQ59 AQ67 AQ71 AQ75 AQ83 AQ87">
    <cfRule type="cellIs" dxfId="6760" priority="698" operator="lessThan">
      <formula>0</formula>
    </cfRule>
  </conditionalFormatting>
  <conditionalFormatting sqref="AQ23 AQ31 AQ35 AQ39 AQ43 AQ47 AQ51 AQ55 AQ59 AQ67 AQ71 AQ75 AQ83 AQ87">
    <cfRule type="cellIs" dxfId="6759" priority="697" operator="lessThan">
      <formula>0</formula>
    </cfRule>
  </conditionalFormatting>
  <conditionalFormatting sqref="AQ23 AQ31 AQ35 AQ39 AQ43 AQ47 AQ51 AQ55 AQ59 AQ67 AQ71 AQ75 AQ83 AQ87">
    <cfRule type="cellIs" dxfId="6758" priority="696" operator="lessThan">
      <formula>0</formula>
    </cfRule>
  </conditionalFormatting>
  <conditionalFormatting sqref="AQ23 AQ31 AQ35 AQ39 AQ43 AQ47 AQ51 AQ55 AQ59 AQ67 AQ71 AQ75 AQ83 AQ87">
    <cfRule type="cellIs" dxfId="6757" priority="695" operator="lessThan">
      <formula>0</formula>
    </cfRule>
  </conditionalFormatting>
  <conditionalFormatting sqref="AQ23 AQ31 AQ35 AQ39 AQ43 AQ47 AQ51 AQ55 AQ59 AQ67 AQ71 AQ75 AQ83 AQ87">
    <cfRule type="cellIs" dxfId="6756" priority="694" operator="lessThan">
      <formula>0</formula>
    </cfRule>
  </conditionalFormatting>
  <conditionalFormatting sqref="AQ23 AQ31 AQ35 AQ39 AQ43 AQ47 AQ51 AQ55 AQ59 AQ67 AQ71 AQ75 AQ83 AQ87">
    <cfRule type="cellIs" dxfId="6755" priority="693" operator="lessThan">
      <formula>0</formula>
    </cfRule>
  </conditionalFormatting>
  <conditionalFormatting sqref="AQ23 AQ31 AQ35 AQ39 AQ43 AQ47 AQ51 AQ55 AQ59 AQ67 AQ71 AQ75 AQ83 AQ87">
    <cfRule type="cellIs" dxfId="6754" priority="692" operator="lessThan">
      <formula>0</formula>
    </cfRule>
  </conditionalFormatting>
  <conditionalFormatting sqref="AQ23 AQ31 AQ35 AQ39 AQ43 AQ47 AQ51 AQ55 AQ59 AQ67 AQ71 AQ75 AQ83 AQ87">
    <cfRule type="cellIs" dxfId="6753" priority="691" operator="lessThan">
      <formula>0</formula>
    </cfRule>
  </conditionalFormatting>
  <conditionalFormatting sqref="AQ23 AQ31 AQ35 AQ39 AQ43 AQ47 AQ51 AQ55 AQ59 AQ67 AQ71 AQ75 AQ83 AQ87">
    <cfRule type="cellIs" dxfId="6752" priority="690" operator="lessThan">
      <formula>0</formula>
    </cfRule>
  </conditionalFormatting>
  <conditionalFormatting sqref="AQ23 AQ31 AQ35 AQ39 AQ43 AQ47 AQ51 AQ55 AQ59 AQ67 AQ71 AQ75 AQ83 AQ87">
    <cfRule type="cellIs" dxfId="6751" priority="689" operator="lessThan">
      <formula>0</formula>
    </cfRule>
  </conditionalFormatting>
  <conditionalFormatting sqref="AQ23 AQ31 AQ35 AQ39 AQ43 AQ47 AQ51 AQ55 AQ59 AQ67 AQ71 AQ75 AQ83 AQ87">
    <cfRule type="cellIs" dxfId="6750" priority="688" operator="lessThan">
      <formula>0</formula>
    </cfRule>
  </conditionalFormatting>
  <conditionalFormatting sqref="AQ23 AQ31 AQ35 AQ39 AQ43 AQ47 AQ51 AQ55 AQ59 AQ67 AQ71 AQ75 AQ83 AQ87">
    <cfRule type="cellIs" dxfId="6749" priority="687" operator="lessThan">
      <formula>0</formula>
    </cfRule>
  </conditionalFormatting>
  <conditionalFormatting sqref="AQ23 AQ31 AQ35 AQ39 AQ43 AQ47 AQ51 AQ55 AQ59 AQ67 AQ71 AQ75 AQ83 AQ87">
    <cfRule type="cellIs" dxfId="6748" priority="686" operator="lessThan">
      <formula>0</formula>
    </cfRule>
  </conditionalFormatting>
  <conditionalFormatting sqref="AQ23 AQ31 AQ35 AQ39 AQ43 AQ47 AQ51 AQ55 AQ59 AQ67 AQ71 AQ75 AQ83 AQ87">
    <cfRule type="cellIs" dxfId="6747" priority="685" operator="lessThan">
      <formula>0</formula>
    </cfRule>
  </conditionalFormatting>
  <conditionalFormatting sqref="AQ23 AQ31 AQ35 AQ39 AQ43 AQ47 AQ51 AQ55 AQ59 AQ67 AQ71 AQ75 AQ83 AQ87">
    <cfRule type="cellIs" dxfId="6746" priority="684" operator="lessThan">
      <formula>0</formula>
    </cfRule>
  </conditionalFormatting>
  <conditionalFormatting sqref="AQ23 AQ31 AQ35 AQ39 AQ43 AQ47 AQ51 AQ55 AQ59 AQ67 AQ71 AQ75 AQ83 AQ87">
    <cfRule type="cellIs" dxfId="6745" priority="683" operator="lessThan">
      <formula>0</formula>
    </cfRule>
  </conditionalFormatting>
  <conditionalFormatting sqref="AQ23 AQ31 AQ35 AQ39 AQ43 AQ47 AQ51 AQ55 AQ59 AQ67 AQ71 AQ75 AQ83 AQ87">
    <cfRule type="cellIs" dxfId="6744" priority="682" operator="lessThan">
      <formula>0</formula>
    </cfRule>
  </conditionalFormatting>
  <conditionalFormatting sqref="AQ23 AQ31 AQ35 AQ39 AQ43 AQ47 AQ51 AQ55 AQ59 AQ67 AQ71 AQ75 AQ83 AQ87">
    <cfRule type="cellIs" dxfId="6743" priority="681" operator="lessThan">
      <formula>0</formula>
    </cfRule>
  </conditionalFormatting>
  <conditionalFormatting sqref="AQ23 AQ31 AQ35 AQ39 AQ43 AQ47 AQ51 AQ55 AQ59 AQ67 AQ71 AQ75 AQ83 AQ87">
    <cfRule type="cellIs" dxfId="6742" priority="680" operator="lessThan">
      <formula>0</formula>
    </cfRule>
  </conditionalFormatting>
  <conditionalFormatting sqref="AQ23 AQ31 AQ35 AQ39 AQ43 AQ47 AQ51 AQ55 AQ59 AQ67 AQ71 AQ75 AQ83 AQ87">
    <cfRule type="cellIs" dxfId="6741" priority="679" operator="lessThan">
      <formula>0</formula>
    </cfRule>
  </conditionalFormatting>
  <conditionalFormatting sqref="AQ23 AQ31 AQ35 AQ39 AQ43 AQ47 AQ51 AQ55 AQ59 AQ67 AQ71 AQ75 AQ83 AQ87">
    <cfRule type="cellIs" dxfId="6740" priority="678" operator="lessThan">
      <formula>0</formula>
    </cfRule>
  </conditionalFormatting>
  <conditionalFormatting sqref="AQ23 AQ31 AQ35 AQ39 AQ43 AQ47 AQ51 AQ55 AQ59 AQ67 AQ71 AQ75 AQ83 AQ87">
    <cfRule type="cellIs" dxfId="6739" priority="677" operator="lessThan">
      <formula>0</formula>
    </cfRule>
  </conditionalFormatting>
  <conditionalFormatting sqref="AQ23 AQ31 AQ35 AQ39 AQ43 AQ47 AQ51 AQ55 AQ59 AQ67 AQ71 AQ75 AQ83 AQ87">
    <cfRule type="cellIs" dxfId="6738" priority="676" operator="lessThan">
      <formula>0</formula>
    </cfRule>
  </conditionalFormatting>
  <conditionalFormatting sqref="AQ23 AQ31 AQ35 AQ39 AQ43 AQ47 AQ51 AQ55 AQ59 AQ67 AQ71 AQ75 AQ83 AQ87">
    <cfRule type="cellIs" dxfId="6737" priority="675" operator="lessThan">
      <formula>0</formula>
    </cfRule>
  </conditionalFormatting>
  <conditionalFormatting sqref="AQ23 AQ31 AQ35 AQ39 AQ43 AQ47 AQ51 AQ55 AQ59 AQ67 AQ71 AQ75 AQ83 AQ87">
    <cfRule type="cellIs" dxfId="6736" priority="674" operator="lessThan">
      <formula>0</formula>
    </cfRule>
  </conditionalFormatting>
  <conditionalFormatting sqref="AQ23 AQ31 AQ35 AQ39 AQ43 AQ47 AQ51 AQ55 AQ59 AQ67 AQ71 AQ75 AQ83 AQ87">
    <cfRule type="cellIs" dxfId="6735" priority="673" operator="lessThan">
      <formula>0</formula>
    </cfRule>
  </conditionalFormatting>
  <conditionalFormatting sqref="AQ23 AQ31 AQ35 AQ39 AQ43 AQ47 AQ51 AQ55 AQ59 AQ67 AQ71 AQ75 AQ83 AQ87">
    <cfRule type="cellIs" dxfId="6734" priority="672" operator="lessThan">
      <formula>0</formula>
    </cfRule>
  </conditionalFormatting>
  <conditionalFormatting sqref="AQ23 AQ31 AQ35 AQ39 AQ43 AQ47 AQ51 AQ55 AQ59 AQ67 AQ71 AQ75 AQ83 AQ87">
    <cfRule type="cellIs" dxfId="6733" priority="671" operator="lessThan">
      <formula>0</formula>
    </cfRule>
  </conditionalFormatting>
  <conditionalFormatting sqref="AQ23 AQ31 AQ35 AQ39 AQ43 AQ47 AQ51 AQ55 AQ59 AQ67 AQ71 AQ75 AQ83 AQ87">
    <cfRule type="cellIs" dxfId="6732" priority="670" operator="lessThan">
      <formula>0</formula>
    </cfRule>
  </conditionalFormatting>
  <conditionalFormatting sqref="AQ23 AQ31 AQ35 AQ39 AQ43 AQ47 AQ51 AQ55 AQ59 AQ67 AQ71 AQ75 AQ83 AQ87">
    <cfRule type="cellIs" dxfId="6731" priority="669" operator="lessThan">
      <formula>0</formula>
    </cfRule>
  </conditionalFormatting>
  <conditionalFormatting sqref="AQ23 AQ31 AQ35 AQ39 AQ43 AQ47 AQ51 AQ55 AQ59 AQ67 AQ71 AQ75 AQ83 AQ87">
    <cfRule type="cellIs" dxfId="6730" priority="668" operator="lessThan">
      <formula>0</formula>
    </cfRule>
  </conditionalFormatting>
  <conditionalFormatting sqref="AQ23 AQ31 AQ35 AQ39 AQ43 AQ47 AQ51 AQ55 AQ59 AQ67 AQ71 AQ75 AQ83 AQ87">
    <cfRule type="cellIs" dxfId="6729" priority="667" operator="lessThan">
      <formula>0</formula>
    </cfRule>
  </conditionalFormatting>
  <conditionalFormatting sqref="AQ23 AQ31 AQ35 AQ39 AQ43 AQ47 AQ51 AQ55 AQ59 AQ67 AQ71 AQ75 AQ83 AQ87">
    <cfRule type="cellIs" dxfId="6728" priority="666" operator="lessThan">
      <formula>0</formula>
    </cfRule>
  </conditionalFormatting>
  <conditionalFormatting sqref="AQ23 AQ31 AQ35 AQ39 AQ43 AQ47 AQ51 AQ55 AQ59 AQ67 AQ71 AQ75 AQ83 AQ87">
    <cfRule type="cellIs" dxfId="6727" priority="665" operator="lessThan">
      <formula>0</formula>
    </cfRule>
  </conditionalFormatting>
  <conditionalFormatting sqref="AQ23 AQ31 AQ35 AQ39 AQ43 AQ47 AQ51 AQ55 AQ59 AQ67 AQ71 AQ75 AQ83 AQ87">
    <cfRule type="cellIs" dxfId="6726" priority="664" operator="lessThan">
      <formula>0</formula>
    </cfRule>
  </conditionalFormatting>
  <conditionalFormatting sqref="AQ23 AQ31 AQ35 AQ39 AQ43 AQ47 AQ51 AQ55 AQ59 AQ67 AQ71 AQ75 AQ83 AQ87">
    <cfRule type="cellIs" dxfId="6725" priority="663" operator="lessThan">
      <formula>0</formula>
    </cfRule>
  </conditionalFormatting>
  <conditionalFormatting sqref="AQ23 AQ31 AQ35 AQ39 AQ43 AQ47 AQ51 AQ55 AQ59 AQ67 AQ71 AQ75 AQ83 AQ87">
    <cfRule type="cellIs" dxfId="6724" priority="662" operator="lessThan">
      <formula>0</formula>
    </cfRule>
  </conditionalFormatting>
  <conditionalFormatting sqref="AQ23 AQ31 AQ35 AQ39 AQ43 AQ47 AQ51 AQ55 AQ59 AQ67 AQ71 AQ75 AQ83 AQ87">
    <cfRule type="cellIs" dxfId="6723" priority="661" operator="lessThan">
      <formula>0</formula>
    </cfRule>
  </conditionalFormatting>
  <conditionalFormatting sqref="AQ23 AQ31 AQ35 AQ39 AQ43 AQ47 AQ51 AQ55 AQ59 AQ67 AQ71 AQ75 AQ83 AQ87">
    <cfRule type="cellIs" dxfId="6722" priority="660" operator="lessThan">
      <formula>0</formula>
    </cfRule>
  </conditionalFormatting>
  <conditionalFormatting sqref="AQ23 AQ31 AQ35 AQ39 AQ43 AQ47 AQ51 AQ55 AQ59 AQ67 AQ71 AQ75 AQ83 AQ87">
    <cfRule type="cellIs" dxfId="6721" priority="659" operator="lessThan">
      <formula>0</formula>
    </cfRule>
  </conditionalFormatting>
  <conditionalFormatting sqref="AQ23 AQ31 AQ35 AQ39 AQ43 AQ47 AQ51 AQ55 AQ59 AQ67 AQ71 AQ75 AQ83 AQ87">
    <cfRule type="cellIs" dxfId="6720" priority="658" operator="lessThan">
      <formula>0</formula>
    </cfRule>
  </conditionalFormatting>
  <conditionalFormatting sqref="AQ23 AQ31 AQ35 AQ39 AQ43 AQ47 AQ51 AQ55 AQ59 AQ67 AQ71 AQ75 AQ83 AQ87">
    <cfRule type="cellIs" dxfId="6719" priority="657" operator="lessThan">
      <formula>0</formula>
    </cfRule>
  </conditionalFormatting>
  <conditionalFormatting sqref="AQ23 AQ31 AQ35 AQ39 AQ43 AQ47 AQ51 AQ55 AQ59 AQ67 AQ71 AQ75 AQ83 AQ87">
    <cfRule type="cellIs" dxfId="6718" priority="656" operator="lessThan">
      <formula>0</formula>
    </cfRule>
  </conditionalFormatting>
  <conditionalFormatting sqref="AQ23 AQ31 AQ35 AQ39 AQ43 AQ47 AQ51 AQ55 AQ59 AQ67 AQ71 AQ75 AQ83 AQ87">
    <cfRule type="cellIs" dxfId="6717" priority="655" operator="lessThan">
      <formula>0</formula>
    </cfRule>
  </conditionalFormatting>
  <conditionalFormatting sqref="AQ23 AQ31 AQ35 AQ39 AQ43 AQ47 AQ51 AQ55 AQ59 AQ67 AQ71 AQ75 AQ83 AQ87">
    <cfRule type="cellIs" dxfId="6716" priority="654" operator="lessThan">
      <formula>0</formula>
    </cfRule>
  </conditionalFormatting>
  <conditionalFormatting sqref="AQ23 AQ31 AQ35 AQ39 AQ43 AQ47 AQ51 AQ55 AQ59 AQ67 AQ71 AQ75 AQ83 AQ87">
    <cfRule type="cellIs" dxfId="6715" priority="653" operator="lessThan">
      <formula>0</formula>
    </cfRule>
  </conditionalFormatting>
  <conditionalFormatting sqref="AQ23 AQ31 AQ35 AQ39 AQ43 AQ47 AQ51 AQ55 AQ59 AQ67 AQ71 AQ75 AQ83 AQ87">
    <cfRule type="cellIs" dxfId="6714" priority="652" operator="lessThan">
      <formula>0</formula>
    </cfRule>
  </conditionalFormatting>
  <conditionalFormatting sqref="AQ23 AQ31 AQ35 AQ39 AQ43 AQ47 AQ51 AQ55 AQ59 AQ67 AQ71 AQ75 AQ83 AQ87">
    <cfRule type="cellIs" dxfId="6713" priority="651" operator="lessThan">
      <formula>0</formula>
    </cfRule>
  </conditionalFormatting>
  <conditionalFormatting sqref="AQ23 AQ31 AQ35 AQ39 AQ43 AQ47 AQ51 AQ55 AQ59 AQ67 AQ71 AQ75 AQ83 AQ87">
    <cfRule type="cellIs" dxfId="6712" priority="650" operator="lessThan">
      <formula>0</formula>
    </cfRule>
  </conditionalFormatting>
  <conditionalFormatting sqref="AQ23 AQ31 AQ35 AQ39 AQ43 AQ47 AQ51 AQ55 AQ59 AQ67 AQ71 AQ75 AQ83 AQ87">
    <cfRule type="cellIs" dxfId="6711" priority="649" operator="lessThan">
      <formula>0</formula>
    </cfRule>
  </conditionalFormatting>
  <conditionalFormatting sqref="AQ23 AQ31 AQ35 AQ39 AQ43 AQ47 AQ51 AQ55 AQ59 AQ67 AQ71 AQ75 AQ83 AQ87">
    <cfRule type="cellIs" dxfId="6710" priority="648" operator="lessThan">
      <formula>0</formula>
    </cfRule>
  </conditionalFormatting>
  <conditionalFormatting sqref="AQ23 AQ31 AQ35 AQ39 AQ43 AQ47 AQ51 AQ55 AQ59 AQ67 AQ71 AQ75 AQ83 AQ87">
    <cfRule type="cellIs" dxfId="6709" priority="647" operator="lessThan">
      <formula>0</formula>
    </cfRule>
  </conditionalFormatting>
  <conditionalFormatting sqref="AQ23 AQ31 AQ35 AQ39 AQ43 AQ47 AQ51 AQ55 AQ59 AQ67 AQ71 AQ75 AQ83 AQ87">
    <cfRule type="cellIs" dxfId="6708" priority="646" operator="lessThan">
      <formula>0</formula>
    </cfRule>
  </conditionalFormatting>
  <conditionalFormatting sqref="AQ23 AQ31 AQ35 AQ39 AQ43 AQ47 AQ51 AQ55 AQ59 AQ67 AQ71 AQ75 AQ83 AQ87">
    <cfRule type="cellIs" dxfId="6707" priority="645" operator="lessThan">
      <formula>0</formula>
    </cfRule>
  </conditionalFormatting>
  <conditionalFormatting sqref="AQ23 AQ31 AQ35 AQ39 AQ43 AQ47 AQ51 AQ55 AQ59 AQ67 AQ71 AQ75 AQ83 AQ87">
    <cfRule type="cellIs" dxfId="6706" priority="644" operator="lessThan">
      <formula>0</formula>
    </cfRule>
  </conditionalFormatting>
  <conditionalFormatting sqref="AQ23 AQ31 AQ35 AQ39 AQ43 AQ47 AQ51 AQ55 AQ59 AQ67 AQ71 AQ75 AQ83 AQ87">
    <cfRule type="cellIs" dxfId="6705" priority="643" operator="lessThan">
      <formula>0</formula>
    </cfRule>
  </conditionalFormatting>
  <conditionalFormatting sqref="AQ23 AQ31 AQ35 AQ39 AQ43 AQ47 AQ51 AQ55 AQ59 AQ67 AQ71 AQ75 AQ83 AQ87">
    <cfRule type="cellIs" dxfId="6704" priority="642" operator="lessThan">
      <formula>0</formula>
    </cfRule>
  </conditionalFormatting>
  <conditionalFormatting sqref="AQ23 AQ31 AQ35 AQ39 AQ43 AQ47 AQ51 AQ55 AQ59 AQ67 AQ71 AQ75 AQ83 AQ87">
    <cfRule type="cellIs" dxfId="6703" priority="641" operator="lessThan">
      <formula>0</formula>
    </cfRule>
  </conditionalFormatting>
  <conditionalFormatting sqref="AQ23 AQ31 AQ35 AQ39 AQ43 AQ47 AQ51 AQ55 AQ59 AQ67 AQ71 AQ75 AQ83 AQ87">
    <cfRule type="cellIs" dxfId="6702" priority="640" operator="lessThan">
      <formula>0</formula>
    </cfRule>
  </conditionalFormatting>
  <conditionalFormatting sqref="AQ23 AQ31 AQ35 AQ39 AQ43 AQ47 AQ51 AQ55 AQ59 AQ67 AQ71 AQ75 AQ83 AQ87">
    <cfRule type="cellIs" dxfId="6701" priority="639" operator="lessThan">
      <formula>0</formula>
    </cfRule>
  </conditionalFormatting>
  <conditionalFormatting sqref="AQ23 AQ31 AQ35 AQ39 AQ43 AQ47 AQ51 AQ55 AQ59 AQ67 AQ71 AQ75 AQ83 AQ87">
    <cfRule type="cellIs" dxfId="6700" priority="638" operator="lessThan">
      <formula>0</formula>
    </cfRule>
  </conditionalFormatting>
  <conditionalFormatting sqref="AQ23 AQ31 AQ35 AQ39 AQ43 AQ47 AQ51 AQ55 AQ59 AQ67 AQ71 AQ75 AQ83 AQ87">
    <cfRule type="cellIs" dxfId="6699" priority="637" operator="lessThan">
      <formula>0</formula>
    </cfRule>
  </conditionalFormatting>
  <conditionalFormatting sqref="AQ23 AQ31 AQ35 AQ39 AQ43 AQ47 AQ51 AQ55 AQ59 AQ67 AQ71 AQ75 AQ83 AQ87">
    <cfRule type="cellIs" dxfId="6698" priority="621" operator="lessThan">
      <formula>0</formula>
    </cfRule>
  </conditionalFormatting>
  <conditionalFormatting sqref="AQ23 AQ31 AQ35 AQ39 AQ43 AQ47 AQ51 AQ55 AQ59 AQ67 AQ71 AQ75 AQ83 AQ87">
    <cfRule type="cellIs" dxfId="6697" priority="636" operator="lessThan">
      <formula>0</formula>
    </cfRule>
  </conditionalFormatting>
  <conditionalFormatting sqref="AQ23 AQ31 AQ35 AQ39 AQ43 AQ47 AQ51 AQ55 AQ59 AQ67 AQ71 AQ75 AQ83 AQ87">
    <cfRule type="cellIs" dxfId="6696" priority="635" operator="lessThan">
      <formula>0</formula>
    </cfRule>
  </conditionalFormatting>
  <conditionalFormatting sqref="AQ23 AQ31 AQ35 AQ39 AQ43 AQ47 AQ51 AQ55 AQ59 AQ67 AQ71 AQ75 AQ83 AQ87">
    <cfRule type="cellIs" dxfId="6695" priority="634" operator="lessThan">
      <formula>0</formula>
    </cfRule>
  </conditionalFormatting>
  <conditionalFormatting sqref="AQ23 AQ31 AQ35 AQ39 AQ43 AQ47 AQ51 AQ55 AQ59 AQ67 AQ71 AQ75 AQ83 AQ87">
    <cfRule type="cellIs" dxfId="6694" priority="633" operator="lessThan">
      <formula>0</formula>
    </cfRule>
  </conditionalFormatting>
  <conditionalFormatting sqref="AQ23 AQ31 AQ35 AQ39 AQ43 AQ47 AQ51 AQ55 AQ59 AQ67 AQ71 AQ75 AQ83 AQ87">
    <cfRule type="cellIs" dxfId="6693" priority="632" operator="lessThan">
      <formula>0</formula>
    </cfRule>
  </conditionalFormatting>
  <conditionalFormatting sqref="AQ23 AQ31 AQ35 AQ39 AQ43 AQ47 AQ51 AQ55 AQ59 AQ67 AQ71 AQ75 AQ83 AQ87">
    <cfRule type="cellIs" dxfId="6692" priority="631" operator="lessThan">
      <formula>0</formula>
    </cfRule>
  </conditionalFormatting>
  <conditionalFormatting sqref="AQ23 AQ31 AQ35 AQ39 AQ43 AQ47 AQ51 AQ55 AQ59 AQ67 AQ71 AQ75 AQ83 AQ87">
    <cfRule type="cellIs" dxfId="6691" priority="630" operator="lessThan">
      <formula>0</formula>
    </cfRule>
  </conditionalFormatting>
  <conditionalFormatting sqref="AQ23 AQ31 AQ35 AQ39 AQ43 AQ47 AQ51 AQ55 AQ59 AQ67 AQ71 AQ75 AQ83 AQ87">
    <cfRule type="cellIs" dxfId="6690" priority="629" operator="lessThan">
      <formula>0</formula>
    </cfRule>
  </conditionalFormatting>
  <conditionalFormatting sqref="AQ23 AQ31 AQ35 AQ39 AQ43 AQ47 AQ51 AQ55 AQ59 AQ67 AQ71 AQ75 AQ83 AQ87">
    <cfRule type="cellIs" dxfId="6689" priority="628" operator="lessThan">
      <formula>0</formula>
    </cfRule>
  </conditionalFormatting>
  <conditionalFormatting sqref="AQ23 AQ31 AQ35 AQ39 AQ43 AQ47 AQ51 AQ55 AQ59 AQ67 AQ71 AQ75 AQ83 AQ87">
    <cfRule type="cellIs" dxfId="6688" priority="627" operator="lessThan">
      <formula>0</formula>
    </cfRule>
  </conditionalFormatting>
  <conditionalFormatting sqref="AQ23 AQ31 AQ35 AQ39 AQ43 AQ47 AQ51 AQ55 AQ59 AQ67 AQ71 AQ75 AQ83 AQ87">
    <cfRule type="cellIs" dxfId="6687" priority="626" operator="lessThan">
      <formula>0</formula>
    </cfRule>
  </conditionalFormatting>
  <conditionalFormatting sqref="AQ23 AQ31 AQ35 AQ39 AQ43 AQ47 AQ51 AQ55 AQ59 AQ67 AQ71 AQ75 AQ83 AQ87">
    <cfRule type="cellIs" dxfId="6686" priority="625" operator="lessThan">
      <formula>0</formula>
    </cfRule>
  </conditionalFormatting>
  <conditionalFormatting sqref="AQ23 AQ31 AQ35 AQ39 AQ43 AQ47 AQ51 AQ55 AQ59 AQ67 AQ71 AQ75 AQ83 AQ87">
    <cfRule type="cellIs" dxfId="6685" priority="624" operator="lessThan">
      <formula>0</formula>
    </cfRule>
  </conditionalFormatting>
  <conditionalFormatting sqref="AQ23 AQ31 AQ35 AQ39 AQ43 AQ47 AQ51 AQ55 AQ59 AQ67 AQ71 AQ75 AQ83 AQ87">
    <cfRule type="cellIs" dxfId="6684" priority="623" operator="lessThan">
      <formula>0</formula>
    </cfRule>
  </conditionalFormatting>
  <conditionalFormatting sqref="AQ23 AQ31 AQ35 AQ39 AQ43 AQ47 AQ51 AQ55 AQ59 AQ67 AQ71 AQ75 AQ83 AQ87">
    <cfRule type="cellIs" dxfId="6683" priority="622" operator="lessThan">
      <formula>0</formula>
    </cfRule>
  </conditionalFormatting>
  <conditionalFormatting sqref="AQ26">
    <cfRule type="cellIs" dxfId="6682" priority="619" operator="lessThan">
      <formula>0</formula>
    </cfRule>
  </conditionalFormatting>
  <conditionalFormatting sqref="AM26:AM29">
    <cfRule type="cellIs" dxfId="6681" priority="616" operator="notEqual">
      <formula>0</formula>
    </cfRule>
  </conditionalFormatting>
  <conditionalFormatting sqref="I28">
    <cfRule type="cellIs" dxfId="6680" priority="615" operator="greaterThan">
      <formula>0</formula>
    </cfRule>
  </conditionalFormatting>
  <conditionalFormatting sqref="Y28">
    <cfRule type="cellIs" dxfId="6679" priority="613" operator="lessThan">
      <formula>0</formula>
    </cfRule>
  </conditionalFormatting>
  <conditionalFormatting sqref="Y26:Y28">
    <cfRule type="cellIs" dxfId="6678" priority="612" operator="lessThan">
      <formula>0</formula>
    </cfRule>
  </conditionalFormatting>
  <conditionalFormatting sqref="Y29">
    <cfRule type="cellIs" dxfId="6677" priority="611" operator="lessThan">
      <formula>0</formula>
    </cfRule>
  </conditionalFormatting>
  <conditionalFormatting sqref="Y27">
    <cfRule type="iconSet" priority="620">
      <iconSet>
        <cfvo type="percent" val="0"/>
        <cfvo type="percent" val="&quot;$I$6&quot;"/>
        <cfvo type="percent" val="#REF!"/>
      </iconSet>
    </cfRule>
  </conditionalFormatting>
  <conditionalFormatting sqref="AQ26">
    <cfRule type="cellIs" dxfId="6676" priority="607" operator="lessThan">
      <formula>0</formula>
    </cfRule>
  </conditionalFormatting>
  <conditionalFormatting sqref="AQ26">
    <cfRule type="cellIs" dxfId="6675" priority="606" operator="lessThan">
      <formula>0</formula>
    </cfRule>
  </conditionalFormatting>
  <conditionalFormatting sqref="AQ28:AQ29">
    <cfRule type="cellIs" dxfId="6674" priority="605" operator="lessThan">
      <formula>0</formula>
    </cfRule>
  </conditionalFormatting>
  <conditionalFormatting sqref="AQ28:AQ29">
    <cfRule type="cellIs" dxfId="6673" priority="604" operator="lessThan">
      <formula>0</formula>
    </cfRule>
  </conditionalFormatting>
  <conditionalFormatting sqref="AQ28:AQ29">
    <cfRule type="cellIs" dxfId="6672" priority="603" operator="lessThan">
      <formula>0</formula>
    </cfRule>
  </conditionalFormatting>
  <conditionalFormatting sqref="AQ28:AQ29">
    <cfRule type="cellIs" dxfId="6671" priority="602" operator="lessThan">
      <formula>0</formula>
    </cfRule>
  </conditionalFormatting>
  <conditionalFormatting sqref="AQ28:AQ29">
    <cfRule type="cellIs" dxfId="6670" priority="601" operator="lessThan">
      <formula>0</formula>
    </cfRule>
  </conditionalFormatting>
  <conditionalFormatting sqref="AQ28:AQ29">
    <cfRule type="cellIs" dxfId="6669" priority="600" operator="lessThan">
      <formula>0</formula>
    </cfRule>
  </conditionalFormatting>
  <conditionalFormatting sqref="AQ28:AQ29">
    <cfRule type="cellIs" dxfId="6668" priority="599" operator="lessThan">
      <formula>0</formula>
    </cfRule>
  </conditionalFormatting>
  <conditionalFormatting sqref="AQ28:AQ29">
    <cfRule type="cellIs" dxfId="6667" priority="598" operator="lessThan">
      <formula>0</formula>
    </cfRule>
  </conditionalFormatting>
  <conditionalFormatting sqref="AQ26">
    <cfRule type="cellIs" dxfId="6666" priority="597" operator="lessThan">
      <formula>0</formula>
    </cfRule>
  </conditionalFormatting>
  <conditionalFormatting sqref="AQ28:AQ29">
    <cfRule type="cellIs" dxfId="6665" priority="596" operator="lessThan">
      <formula>0</formula>
    </cfRule>
  </conditionalFormatting>
  <conditionalFormatting sqref="AQ28:AQ29">
    <cfRule type="cellIs" dxfId="6664" priority="595" operator="lessThan">
      <formula>0</formula>
    </cfRule>
  </conditionalFormatting>
  <conditionalFormatting sqref="AQ28:AQ29">
    <cfRule type="cellIs" dxfId="6663" priority="594" operator="lessThan">
      <formula>0</formula>
    </cfRule>
  </conditionalFormatting>
  <conditionalFormatting sqref="AQ28:AQ29">
    <cfRule type="cellIs" dxfId="6662" priority="593" operator="lessThan">
      <formula>0</formula>
    </cfRule>
  </conditionalFormatting>
  <conditionalFormatting sqref="AQ28:AQ29">
    <cfRule type="cellIs" dxfId="6661" priority="592" operator="lessThan">
      <formula>0</formula>
    </cfRule>
  </conditionalFormatting>
  <conditionalFormatting sqref="AQ28:AQ29">
    <cfRule type="cellIs" dxfId="6660" priority="591" operator="lessThan">
      <formula>0</formula>
    </cfRule>
  </conditionalFormatting>
  <conditionalFormatting sqref="AQ28:AQ29">
    <cfRule type="cellIs" dxfId="6659" priority="590" operator="lessThan">
      <formula>0</formula>
    </cfRule>
  </conditionalFormatting>
  <conditionalFormatting sqref="AQ28:AQ29">
    <cfRule type="cellIs" dxfId="6658" priority="589" operator="lessThan">
      <formula>0</formula>
    </cfRule>
  </conditionalFormatting>
  <conditionalFormatting sqref="AQ27">
    <cfRule type="cellIs" dxfId="6657" priority="588" operator="lessThan">
      <formula>0</formula>
    </cfRule>
  </conditionalFormatting>
  <conditionalFormatting sqref="AQ27">
    <cfRule type="cellIs" dxfId="6656" priority="587" operator="lessThan">
      <formula>0</formula>
    </cfRule>
  </conditionalFormatting>
  <conditionalFormatting sqref="AQ27">
    <cfRule type="cellIs" dxfId="6655" priority="586" operator="lessThan">
      <formula>0</formula>
    </cfRule>
  </conditionalFormatting>
  <conditionalFormatting sqref="AQ27">
    <cfRule type="cellIs" dxfId="6654" priority="585" operator="lessThan">
      <formula>0</formula>
    </cfRule>
  </conditionalFormatting>
  <conditionalFormatting sqref="AQ27">
    <cfRule type="cellIs" dxfId="6653" priority="584" operator="lessThan">
      <formula>0</formula>
    </cfRule>
  </conditionalFormatting>
  <conditionalFormatting sqref="AQ27">
    <cfRule type="cellIs" dxfId="6652" priority="583" operator="lessThan">
      <formula>0</formula>
    </cfRule>
  </conditionalFormatting>
  <conditionalFormatting sqref="AQ27">
    <cfRule type="cellIs" dxfId="6651" priority="582" operator="lessThan">
      <formula>0</formula>
    </cfRule>
  </conditionalFormatting>
  <conditionalFormatting sqref="AQ27">
    <cfRule type="cellIs" dxfId="6650" priority="581" operator="lessThan">
      <formula>0</formula>
    </cfRule>
  </conditionalFormatting>
  <conditionalFormatting sqref="AQ27">
    <cfRule type="cellIs" dxfId="6649" priority="580" operator="lessThan">
      <formula>0</formula>
    </cfRule>
  </conditionalFormatting>
  <conditionalFormatting sqref="AQ27">
    <cfRule type="cellIs" dxfId="6648" priority="579" operator="lessThan">
      <formula>0</formula>
    </cfRule>
  </conditionalFormatting>
  <conditionalFormatting sqref="AQ27">
    <cfRule type="cellIs" dxfId="6647" priority="578" operator="lessThan">
      <formula>0</formula>
    </cfRule>
  </conditionalFormatting>
  <conditionalFormatting sqref="AQ27">
    <cfRule type="cellIs" dxfId="6646" priority="577" operator="lessThan">
      <formula>0</formula>
    </cfRule>
  </conditionalFormatting>
  <conditionalFormatting sqref="AQ27">
    <cfRule type="cellIs" dxfId="6645" priority="576" operator="lessThan">
      <formula>0</formula>
    </cfRule>
  </conditionalFormatting>
  <conditionalFormatting sqref="AQ27">
    <cfRule type="cellIs" dxfId="6644" priority="575" operator="lessThan">
      <formula>0</formula>
    </cfRule>
  </conditionalFormatting>
  <conditionalFormatting sqref="AQ27">
    <cfRule type="cellIs" dxfId="6643" priority="574" operator="lessThan">
      <formula>0</formula>
    </cfRule>
  </conditionalFormatting>
  <conditionalFormatting sqref="AQ27">
    <cfRule type="cellIs" dxfId="6642" priority="573" operator="lessThan">
      <formula>0</formula>
    </cfRule>
  </conditionalFormatting>
  <conditionalFormatting sqref="AQ27">
    <cfRule type="cellIs" dxfId="6641" priority="572" operator="lessThan">
      <formula>0</formula>
    </cfRule>
  </conditionalFormatting>
  <conditionalFormatting sqref="AQ27">
    <cfRule type="cellIs" dxfId="6640" priority="571" operator="lessThan">
      <formula>0</formula>
    </cfRule>
  </conditionalFormatting>
  <conditionalFormatting sqref="AQ27">
    <cfRule type="cellIs" dxfId="6639" priority="570" operator="lessThan">
      <formula>0</formula>
    </cfRule>
  </conditionalFormatting>
  <conditionalFormatting sqref="AQ27">
    <cfRule type="cellIs" dxfId="6638" priority="569" operator="lessThan">
      <formula>0</formula>
    </cfRule>
  </conditionalFormatting>
  <conditionalFormatting sqref="AQ27">
    <cfRule type="cellIs" dxfId="6637" priority="568" operator="lessThan">
      <formula>0</formula>
    </cfRule>
  </conditionalFormatting>
  <conditionalFormatting sqref="AQ27">
    <cfRule type="cellIs" dxfId="6636" priority="567" operator="lessThan">
      <formula>0</formula>
    </cfRule>
  </conditionalFormatting>
  <conditionalFormatting sqref="AQ27">
    <cfRule type="cellIs" dxfId="6635" priority="566" operator="lessThan">
      <formula>0</formula>
    </cfRule>
  </conditionalFormatting>
  <conditionalFormatting sqref="AQ27">
    <cfRule type="cellIs" dxfId="6634" priority="565" operator="lessThan">
      <formula>0</formula>
    </cfRule>
  </conditionalFormatting>
  <conditionalFormatting sqref="AQ27">
    <cfRule type="cellIs" dxfId="6633" priority="564" operator="lessThan">
      <formula>0</formula>
    </cfRule>
  </conditionalFormatting>
  <conditionalFormatting sqref="AQ27">
    <cfRule type="cellIs" dxfId="6632" priority="563" operator="lessThan">
      <formula>0</formula>
    </cfRule>
  </conditionalFormatting>
  <conditionalFormatting sqref="AQ27">
    <cfRule type="cellIs" dxfId="6631" priority="562" operator="lessThan">
      <formula>0</formula>
    </cfRule>
  </conditionalFormatting>
  <conditionalFormatting sqref="AQ27">
    <cfRule type="cellIs" dxfId="6630" priority="561" operator="lessThan">
      <formula>0</formula>
    </cfRule>
  </conditionalFormatting>
  <conditionalFormatting sqref="AQ27">
    <cfRule type="cellIs" dxfId="6629" priority="560" operator="lessThan">
      <formula>0</formula>
    </cfRule>
  </conditionalFormatting>
  <conditionalFormatting sqref="AQ27">
    <cfRule type="cellIs" dxfId="6628" priority="559" operator="lessThan">
      <formula>0</formula>
    </cfRule>
  </conditionalFormatting>
  <conditionalFormatting sqref="AQ27">
    <cfRule type="cellIs" dxfId="6627" priority="558" operator="lessThan">
      <formula>0</formula>
    </cfRule>
  </conditionalFormatting>
  <conditionalFormatting sqref="AQ27">
    <cfRule type="cellIs" dxfId="6626" priority="557" operator="lessThan">
      <formula>0</formula>
    </cfRule>
  </conditionalFormatting>
  <conditionalFormatting sqref="AQ27">
    <cfRule type="cellIs" dxfId="6625" priority="556" operator="lessThan">
      <formula>0</formula>
    </cfRule>
  </conditionalFormatting>
  <conditionalFormatting sqref="AQ27">
    <cfRule type="cellIs" dxfId="6624" priority="555" operator="lessThan">
      <formula>0</formula>
    </cfRule>
  </conditionalFormatting>
  <conditionalFormatting sqref="AQ27">
    <cfRule type="cellIs" dxfId="6623" priority="554" operator="lessThan">
      <formula>0</formula>
    </cfRule>
  </conditionalFormatting>
  <conditionalFormatting sqref="AQ27">
    <cfRule type="cellIs" dxfId="6622" priority="553" operator="lessThan">
      <formula>0</formula>
    </cfRule>
  </conditionalFormatting>
  <conditionalFormatting sqref="AQ27">
    <cfRule type="cellIs" dxfId="6621" priority="552" operator="lessThan">
      <formula>0</formula>
    </cfRule>
  </conditionalFormatting>
  <conditionalFormatting sqref="AQ27">
    <cfRule type="cellIs" dxfId="6620" priority="551" operator="lessThan">
      <formula>0</formula>
    </cfRule>
  </conditionalFormatting>
  <conditionalFormatting sqref="AQ27">
    <cfRule type="cellIs" dxfId="6619" priority="550" operator="lessThan">
      <formula>0</formula>
    </cfRule>
  </conditionalFormatting>
  <conditionalFormatting sqref="AQ27">
    <cfRule type="cellIs" dxfId="6618" priority="549" operator="lessThan">
      <formula>0</formula>
    </cfRule>
  </conditionalFormatting>
  <conditionalFormatting sqref="AQ27">
    <cfRule type="cellIs" dxfId="6617" priority="548" operator="lessThan">
      <formula>0</formula>
    </cfRule>
  </conditionalFormatting>
  <conditionalFormatting sqref="AQ27">
    <cfRule type="cellIs" dxfId="6616" priority="547" operator="lessThan">
      <formula>0</formula>
    </cfRule>
  </conditionalFormatting>
  <conditionalFormatting sqref="AQ27">
    <cfRule type="cellIs" dxfId="6615" priority="546" operator="lessThan">
      <formula>0</formula>
    </cfRule>
  </conditionalFormatting>
  <conditionalFormatting sqref="AQ27">
    <cfRule type="cellIs" dxfId="6614" priority="545" operator="lessThan">
      <formula>0</formula>
    </cfRule>
  </conditionalFormatting>
  <conditionalFormatting sqref="AQ27">
    <cfRule type="cellIs" dxfId="6613" priority="544" operator="lessThan">
      <formula>0</formula>
    </cfRule>
  </conditionalFormatting>
  <conditionalFormatting sqref="AQ27">
    <cfRule type="cellIs" dxfId="6612" priority="543" operator="lessThan">
      <formula>0</formula>
    </cfRule>
  </conditionalFormatting>
  <conditionalFormatting sqref="AQ27">
    <cfRule type="cellIs" dxfId="6611" priority="542" operator="lessThan">
      <formula>0</formula>
    </cfRule>
  </conditionalFormatting>
  <conditionalFormatting sqref="AQ27">
    <cfRule type="cellIs" dxfId="6610" priority="541" operator="lessThan">
      <formula>0</formula>
    </cfRule>
  </conditionalFormatting>
  <conditionalFormatting sqref="AQ27">
    <cfRule type="cellIs" dxfId="6609" priority="540" operator="lessThan">
      <formula>0</formula>
    </cfRule>
  </conditionalFormatting>
  <conditionalFormatting sqref="AQ27">
    <cfRule type="cellIs" dxfId="6608" priority="539" operator="lessThan">
      <formula>0</formula>
    </cfRule>
  </conditionalFormatting>
  <conditionalFormatting sqref="AQ27">
    <cfRule type="cellIs" dxfId="6607" priority="538" operator="lessThan">
      <formula>0</formula>
    </cfRule>
  </conditionalFormatting>
  <conditionalFormatting sqref="AQ27">
    <cfRule type="cellIs" dxfId="6606" priority="537" operator="lessThan">
      <formula>0</formula>
    </cfRule>
  </conditionalFormatting>
  <conditionalFormatting sqref="AQ27">
    <cfRule type="cellIs" dxfId="6605" priority="536" operator="lessThan">
      <formula>0</formula>
    </cfRule>
  </conditionalFormatting>
  <conditionalFormatting sqref="AQ27">
    <cfRule type="cellIs" dxfId="6604" priority="535" operator="lessThan">
      <formula>0</formula>
    </cfRule>
  </conditionalFormatting>
  <conditionalFormatting sqref="AQ27">
    <cfRule type="cellIs" dxfId="6603" priority="534" operator="lessThan">
      <formula>0</formula>
    </cfRule>
  </conditionalFormatting>
  <conditionalFormatting sqref="AQ27">
    <cfRule type="cellIs" dxfId="6602" priority="533" operator="lessThan">
      <formula>0</formula>
    </cfRule>
  </conditionalFormatting>
  <conditionalFormatting sqref="AQ27">
    <cfRule type="cellIs" dxfId="6601" priority="532" operator="lessThan">
      <formula>0</formula>
    </cfRule>
  </conditionalFormatting>
  <conditionalFormatting sqref="AQ27">
    <cfRule type="cellIs" dxfId="6600" priority="531" operator="lessThan">
      <formula>0</formula>
    </cfRule>
  </conditionalFormatting>
  <conditionalFormatting sqref="AQ27">
    <cfRule type="cellIs" dxfId="6599" priority="530" operator="lessThan">
      <formula>0</formula>
    </cfRule>
  </conditionalFormatting>
  <conditionalFormatting sqref="AQ27">
    <cfRule type="cellIs" dxfId="6598" priority="529" operator="lessThan">
      <formula>0</formula>
    </cfRule>
  </conditionalFormatting>
  <conditionalFormatting sqref="AQ27">
    <cfRule type="cellIs" dxfId="6597" priority="528" operator="lessThan">
      <formula>0</formula>
    </cfRule>
  </conditionalFormatting>
  <conditionalFormatting sqref="AQ27">
    <cfRule type="cellIs" dxfId="6596" priority="527" operator="lessThan">
      <formula>0</formula>
    </cfRule>
  </conditionalFormatting>
  <conditionalFormatting sqref="AQ27">
    <cfRule type="cellIs" dxfId="6595" priority="526" operator="lessThan">
      <formula>0</formula>
    </cfRule>
  </conditionalFormatting>
  <conditionalFormatting sqref="AQ27">
    <cfRule type="cellIs" dxfId="6594" priority="525" operator="lessThan">
      <formula>0</formula>
    </cfRule>
  </conditionalFormatting>
  <conditionalFormatting sqref="AQ27">
    <cfRule type="cellIs" dxfId="6593" priority="524" operator="lessThan">
      <formula>0</formula>
    </cfRule>
  </conditionalFormatting>
  <conditionalFormatting sqref="AQ27">
    <cfRule type="cellIs" dxfId="6592" priority="523" operator="lessThan">
      <formula>0</formula>
    </cfRule>
  </conditionalFormatting>
  <conditionalFormatting sqref="AQ27">
    <cfRule type="cellIs" dxfId="6591" priority="522" operator="lessThan">
      <formula>0</formula>
    </cfRule>
  </conditionalFormatting>
  <conditionalFormatting sqref="AQ27">
    <cfRule type="cellIs" dxfId="6590" priority="521" operator="lessThan">
      <formula>0</formula>
    </cfRule>
  </conditionalFormatting>
  <conditionalFormatting sqref="AQ27">
    <cfRule type="cellIs" dxfId="6589" priority="520" operator="lessThan">
      <formula>0</formula>
    </cfRule>
  </conditionalFormatting>
  <conditionalFormatting sqref="AQ27">
    <cfRule type="cellIs" dxfId="6588" priority="519" operator="lessThan">
      <formula>0</formula>
    </cfRule>
  </conditionalFormatting>
  <conditionalFormatting sqref="AQ27">
    <cfRule type="cellIs" dxfId="6587" priority="518" operator="lessThan">
      <formula>0</formula>
    </cfRule>
  </conditionalFormatting>
  <conditionalFormatting sqref="AQ27">
    <cfRule type="cellIs" dxfId="6586" priority="517" operator="lessThan">
      <formula>0</formula>
    </cfRule>
  </conditionalFormatting>
  <conditionalFormatting sqref="AQ27">
    <cfRule type="cellIs" dxfId="6585" priority="516" operator="lessThan">
      <formula>0</formula>
    </cfRule>
  </conditionalFormatting>
  <conditionalFormatting sqref="AQ27">
    <cfRule type="cellIs" dxfId="6584" priority="515" operator="lessThan">
      <formula>0</formula>
    </cfRule>
  </conditionalFormatting>
  <conditionalFormatting sqref="AQ27">
    <cfRule type="cellIs" dxfId="6583" priority="514" operator="lessThan">
      <formula>0</formula>
    </cfRule>
  </conditionalFormatting>
  <conditionalFormatting sqref="AQ27">
    <cfRule type="cellIs" dxfId="6582" priority="513" operator="lessThan">
      <formula>0</formula>
    </cfRule>
  </conditionalFormatting>
  <conditionalFormatting sqref="AQ27">
    <cfRule type="cellIs" dxfId="6581" priority="512" operator="lessThan">
      <formula>0</formula>
    </cfRule>
  </conditionalFormatting>
  <conditionalFormatting sqref="AQ27">
    <cfRule type="cellIs" dxfId="6580" priority="511" operator="lessThan">
      <formula>0</formula>
    </cfRule>
  </conditionalFormatting>
  <conditionalFormatting sqref="AQ27">
    <cfRule type="cellIs" dxfId="6579" priority="510" operator="lessThan">
      <formula>0</formula>
    </cfRule>
  </conditionalFormatting>
  <conditionalFormatting sqref="AQ27">
    <cfRule type="cellIs" dxfId="6578" priority="509" operator="lessThan">
      <formula>0</formula>
    </cfRule>
  </conditionalFormatting>
  <conditionalFormatting sqref="AQ27">
    <cfRule type="cellIs" dxfId="6577" priority="493" operator="lessThan">
      <formula>0</formula>
    </cfRule>
  </conditionalFormatting>
  <conditionalFormatting sqref="AQ27">
    <cfRule type="cellIs" dxfId="6576" priority="508" operator="lessThan">
      <formula>0</formula>
    </cfRule>
  </conditionalFormatting>
  <conditionalFormatting sqref="AQ27">
    <cfRule type="cellIs" dxfId="6575" priority="507" operator="lessThan">
      <formula>0</formula>
    </cfRule>
  </conditionalFormatting>
  <conditionalFormatting sqref="AQ27">
    <cfRule type="cellIs" dxfId="6574" priority="506" operator="lessThan">
      <formula>0</formula>
    </cfRule>
  </conditionalFormatting>
  <conditionalFormatting sqref="AQ27">
    <cfRule type="cellIs" dxfId="6573" priority="505" operator="lessThan">
      <formula>0</formula>
    </cfRule>
  </conditionalFormatting>
  <conditionalFormatting sqref="AQ27">
    <cfRule type="cellIs" dxfId="6572" priority="504" operator="lessThan">
      <formula>0</formula>
    </cfRule>
  </conditionalFormatting>
  <conditionalFormatting sqref="AQ27">
    <cfRule type="cellIs" dxfId="6571" priority="503" operator="lessThan">
      <formula>0</formula>
    </cfRule>
  </conditionalFormatting>
  <conditionalFormatting sqref="AQ27">
    <cfRule type="cellIs" dxfId="6570" priority="502" operator="lessThan">
      <formula>0</formula>
    </cfRule>
  </conditionalFormatting>
  <conditionalFormatting sqref="AQ27">
    <cfRule type="cellIs" dxfId="6569" priority="501" operator="lessThan">
      <formula>0</formula>
    </cfRule>
  </conditionalFormatting>
  <conditionalFormatting sqref="AQ27">
    <cfRule type="cellIs" dxfId="6568" priority="500" operator="lessThan">
      <formula>0</formula>
    </cfRule>
  </conditionalFormatting>
  <conditionalFormatting sqref="AQ27">
    <cfRule type="cellIs" dxfId="6567" priority="499" operator="lessThan">
      <formula>0</formula>
    </cfRule>
  </conditionalFormatting>
  <conditionalFormatting sqref="AQ27">
    <cfRule type="cellIs" dxfId="6566" priority="498" operator="lessThan">
      <formula>0</formula>
    </cfRule>
  </conditionalFormatting>
  <conditionalFormatting sqref="AQ27">
    <cfRule type="cellIs" dxfId="6565" priority="497" operator="lessThan">
      <formula>0</formula>
    </cfRule>
  </conditionalFormatting>
  <conditionalFormatting sqref="AQ27">
    <cfRule type="cellIs" dxfId="6564" priority="496" operator="lessThan">
      <formula>0</formula>
    </cfRule>
  </conditionalFormatting>
  <conditionalFormatting sqref="AQ27">
    <cfRule type="cellIs" dxfId="6563" priority="495" operator="lessThan">
      <formula>0</formula>
    </cfRule>
  </conditionalFormatting>
  <conditionalFormatting sqref="AQ27">
    <cfRule type="cellIs" dxfId="6562" priority="494" operator="lessThan">
      <formula>0</formula>
    </cfRule>
  </conditionalFormatting>
  <conditionalFormatting sqref="X7">
    <cfRule type="iconSet" priority="492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6561" priority="491" operator="lessThan">
      <formula>0</formula>
    </cfRule>
  </conditionalFormatting>
  <conditionalFormatting sqref="X6:X9">
    <cfRule type="cellIs" dxfId="6560" priority="490" operator="lessThan">
      <formula>0</formula>
    </cfRule>
  </conditionalFormatting>
  <conditionalFormatting sqref="X11 X15 X19 X23 X27 X31 X35 X39 X43 X47 X51 X55 X59 X67 X71 X75 X83 X87">
    <cfRule type="iconSet" priority="489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8 X72 X76 X84 X88">
    <cfRule type="cellIs" dxfId="6559" priority="488" operator="lessThan">
      <formula>0</formula>
    </cfRule>
  </conditionalFormatting>
  <conditionalFormatting sqref="X10:X61 X66:X77 X82:X89">
    <cfRule type="cellIs" dxfId="6558" priority="487" operator="lessThan">
      <formula>0</formula>
    </cfRule>
  </conditionalFormatting>
  <conditionalFormatting sqref="AQ62">
    <cfRule type="cellIs" dxfId="6557" priority="486" operator="lessThan">
      <formula>0</formula>
    </cfRule>
  </conditionalFormatting>
  <conditionalFormatting sqref="AM62:AM65">
    <cfRule type="cellIs" dxfId="6556" priority="484" operator="notEqual">
      <formula>0</formula>
    </cfRule>
  </conditionalFormatting>
  <conditionalFormatting sqref="Y63">
    <cfRule type="iconSet" priority="483">
      <iconSet>
        <cfvo type="percent" val="0"/>
        <cfvo type="percent" val="&quot;$I$6&quot;"/>
        <cfvo type="percent" val="#REF!"/>
      </iconSet>
    </cfRule>
  </conditionalFormatting>
  <conditionalFormatting sqref="Y64">
    <cfRule type="cellIs" dxfId="6555" priority="482" operator="lessThan">
      <formula>0</formula>
    </cfRule>
  </conditionalFormatting>
  <conditionalFormatting sqref="Y62:Y64">
    <cfRule type="cellIs" dxfId="6554" priority="481" operator="lessThan">
      <formula>0</formula>
    </cfRule>
  </conditionalFormatting>
  <conditionalFormatting sqref="Y65">
    <cfRule type="cellIs" dxfId="6553" priority="480" operator="lessThan">
      <formula>0</formula>
    </cfRule>
  </conditionalFormatting>
  <conditionalFormatting sqref="I64">
    <cfRule type="cellIs" dxfId="6552" priority="479" operator="greaterThan">
      <formula>0</formula>
    </cfRule>
  </conditionalFormatting>
  <conditionalFormatting sqref="J64">
    <cfRule type="cellIs" dxfId="6551" priority="478" operator="greaterThan">
      <formula>0</formula>
    </cfRule>
  </conditionalFormatting>
  <conditionalFormatting sqref="AQ62">
    <cfRule type="cellIs" dxfId="6550" priority="477" operator="lessThan">
      <formula>0</formula>
    </cfRule>
  </conditionalFormatting>
  <conditionalFormatting sqref="AQ62">
    <cfRule type="cellIs" dxfId="6549" priority="476" operator="lessThan">
      <formula>0</formula>
    </cfRule>
  </conditionalFormatting>
  <conditionalFormatting sqref="AQ64:AQ65">
    <cfRule type="cellIs" dxfId="6548" priority="475" operator="lessThan">
      <formula>0</formula>
    </cfRule>
  </conditionalFormatting>
  <conditionalFormatting sqref="AQ64:AQ65">
    <cfRule type="cellIs" dxfId="6547" priority="474" operator="lessThan">
      <formula>0</formula>
    </cfRule>
  </conditionalFormatting>
  <conditionalFormatting sqref="AQ64:AQ65">
    <cfRule type="cellIs" dxfId="6546" priority="473" operator="lessThan">
      <formula>0</formula>
    </cfRule>
  </conditionalFormatting>
  <conditionalFormatting sqref="AQ64:AQ65">
    <cfRule type="cellIs" dxfId="6545" priority="472" operator="lessThan">
      <formula>0</formula>
    </cfRule>
  </conditionalFormatting>
  <conditionalFormatting sqref="AQ64:AQ65">
    <cfRule type="cellIs" dxfId="6544" priority="471" operator="lessThan">
      <formula>0</formula>
    </cfRule>
  </conditionalFormatting>
  <conditionalFormatting sqref="AQ64:AQ65">
    <cfRule type="cellIs" dxfId="6543" priority="470" operator="lessThan">
      <formula>0</formula>
    </cfRule>
  </conditionalFormatting>
  <conditionalFormatting sqref="AQ64:AQ65">
    <cfRule type="cellIs" dxfId="6542" priority="469" operator="lessThan">
      <formula>0</formula>
    </cfRule>
  </conditionalFormatting>
  <conditionalFormatting sqref="AQ64:AQ65">
    <cfRule type="cellIs" dxfId="6541" priority="468" operator="lessThan">
      <formula>0</formula>
    </cfRule>
  </conditionalFormatting>
  <conditionalFormatting sqref="AQ62">
    <cfRule type="cellIs" dxfId="6540" priority="467" operator="lessThan">
      <formula>0</formula>
    </cfRule>
  </conditionalFormatting>
  <conditionalFormatting sqref="AQ64:AQ65">
    <cfRule type="cellIs" dxfId="6539" priority="466" operator="lessThan">
      <formula>0</formula>
    </cfRule>
  </conditionalFormatting>
  <conditionalFormatting sqref="AQ64:AQ65">
    <cfRule type="cellIs" dxfId="6538" priority="465" operator="lessThan">
      <formula>0</formula>
    </cfRule>
  </conditionalFormatting>
  <conditionalFormatting sqref="AQ64:AQ65">
    <cfRule type="cellIs" dxfId="6537" priority="464" operator="lessThan">
      <formula>0</formula>
    </cfRule>
  </conditionalFormatting>
  <conditionalFormatting sqref="AQ64:AQ65">
    <cfRule type="cellIs" dxfId="6536" priority="463" operator="lessThan">
      <formula>0</formula>
    </cfRule>
  </conditionalFormatting>
  <conditionalFormatting sqref="AQ64:AQ65">
    <cfRule type="cellIs" dxfId="6535" priority="462" operator="lessThan">
      <formula>0</formula>
    </cfRule>
  </conditionalFormatting>
  <conditionalFormatting sqref="AQ64:AQ65">
    <cfRule type="cellIs" dxfId="6534" priority="461" operator="lessThan">
      <formula>0</formula>
    </cfRule>
  </conditionalFormatting>
  <conditionalFormatting sqref="AQ64:AQ65">
    <cfRule type="cellIs" dxfId="6533" priority="460" operator="lessThan">
      <formula>0</formula>
    </cfRule>
  </conditionalFormatting>
  <conditionalFormatting sqref="AQ64:AQ65">
    <cfRule type="cellIs" dxfId="6532" priority="459" operator="lessThan">
      <formula>0</formula>
    </cfRule>
  </conditionalFormatting>
  <conditionalFormatting sqref="AQ63">
    <cfRule type="cellIs" dxfId="6531" priority="458" operator="lessThan">
      <formula>0</formula>
    </cfRule>
  </conditionalFormatting>
  <conditionalFormatting sqref="AQ63">
    <cfRule type="cellIs" dxfId="6530" priority="457" operator="lessThan">
      <formula>0</formula>
    </cfRule>
  </conditionalFormatting>
  <conditionalFormatting sqref="AQ63">
    <cfRule type="cellIs" dxfId="6529" priority="456" operator="lessThan">
      <formula>0</formula>
    </cfRule>
  </conditionalFormatting>
  <conditionalFormatting sqref="AQ63">
    <cfRule type="cellIs" dxfId="6528" priority="455" operator="lessThan">
      <formula>0</formula>
    </cfRule>
  </conditionalFormatting>
  <conditionalFormatting sqref="AQ63">
    <cfRule type="cellIs" dxfId="6527" priority="454" operator="lessThan">
      <formula>0</formula>
    </cfRule>
  </conditionalFormatting>
  <conditionalFormatting sqref="AQ63">
    <cfRule type="cellIs" dxfId="6526" priority="453" operator="lessThan">
      <formula>0</formula>
    </cfRule>
  </conditionalFormatting>
  <conditionalFormatting sqref="AQ63">
    <cfRule type="cellIs" dxfId="6525" priority="452" operator="lessThan">
      <formula>0</formula>
    </cfRule>
  </conditionalFormatting>
  <conditionalFormatting sqref="AQ63">
    <cfRule type="cellIs" dxfId="6524" priority="451" operator="lessThan">
      <formula>0</formula>
    </cfRule>
  </conditionalFormatting>
  <conditionalFormatting sqref="AQ63">
    <cfRule type="cellIs" dxfId="6523" priority="450" operator="lessThan">
      <formula>0</formula>
    </cfRule>
  </conditionalFormatting>
  <conditionalFormatting sqref="AQ63">
    <cfRule type="cellIs" dxfId="6522" priority="449" operator="lessThan">
      <formula>0</formula>
    </cfRule>
  </conditionalFormatting>
  <conditionalFormatting sqref="AQ63">
    <cfRule type="cellIs" dxfId="6521" priority="448" operator="lessThan">
      <formula>0</formula>
    </cfRule>
  </conditionalFormatting>
  <conditionalFormatting sqref="AQ63">
    <cfRule type="cellIs" dxfId="6520" priority="447" operator="lessThan">
      <formula>0</formula>
    </cfRule>
  </conditionalFormatting>
  <conditionalFormatting sqref="AQ63">
    <cfRule type="cellIs" dxfId="6519" priority="446" operator="lessThan">
      <formula>0</formula>
    </cfRule>
  </conditionalFormatting>
  <conditionalFormatting sqref="AQ63">
    <cfRule type="cellIs" dxfId="6518" priority="445" operator="lessThan">
      <formula>0</formula>
    </cfRule>
  </conditionalFormatting>
  <conditionalFormatting sqref="AQ63">
    <cfRule type="cellIs" dxfId="6517" priority="444" operator="lessThan">
      <formula>0</formula>
    </cfRule>
  </conditionalFormatting>
  <conditionalFormatting sqref="AQ63">
    <cfRule type="cellIs" dxfId="6516" priority="443" operator="lessThan">
      <formula>0</formula>
    </cfRule>
  </conditionalFormatting>
  <conditionalFormatting sqref="AQ63">
    <cfRule type="cellIs" dxfId="6515" priority="442" operator="lessThan">
      <formula>0</formula>
    </cfRule>
  </conditionalFormatting>
  <conditionalFormatting sqref="AQ63">
    <cfRule type="cellIs" dxfId="6514" priority="441" operator="lessThan">
      <formula>0</formula>
    </cfRule>
  </conditionalFormatting>
  <conditionalFormatting sqref="AQ63">
    <cfRule type="cellIs" dxfId="6513" priority="440" operator="lessThan">
      <formula>0</formula>
    </cfRule>
  </conditionalFormatting>
  <conditionalFormatting sqref="AQ63">
    <cfRule type="cellIs" dxfId="6512" priority="439" operator="lessThan">
      <formula>0</formula>
    </cfRule>
  </conditionalFormatting>
  <conditionalFormatting sqref="AQ63">
    <cfRule type="cellIs" dxfId="6511" priority="438" operator="lessThan">
      <formula>0</formula>
    </cfRule>
  </conditionalFormatting>
  <conditionalFormatting sqref="AQ63">
    <cfRule type="cellIs" dxfId="6510" priority="437" operator="lessThan">
      <formula>0</formula>
    </cfRule>
  </conditionalFormatting>
  <conditionalFormatting sqref="AQ63">
    <cfRule type="cellIs" dxfId="6509" priority="436" operator="lessThan">
      <formula>0</formula>
    </cfRule>
  </conditionalFormatting>
  <conditionalFormatting sqref="AQ63">
    <cfRule type="cellIs" dxfId="6508" priority="435" operator="lessThan">
      <formula>0</formula>
    </cfRule>
  </conditionalFormatting>
  <conditionalFormatting sqref="AQ63">
    <cfRule type="cellIs" dxfId="6507" priority="434" operator="lessThan">
      <formula>0</formula>
    </cfRule>
  </conditionalFormatting>
  <conditionalFormatting sqref="AQ63">
    <cfRule type="cellIs" dxfId="6506" priority="433" operator="lessThan">
      <formula>0</formula>
    </cfRule>
  </conditionalFormatting>
  <conditionalFormatting sqref="AQ63">
    <cfRule type="cellIs" dxfId="6505" priority="432" operator="lessThan">
      <formula>0</formula>
    </cfRule>
  </conditionalFormatting>
  <conditionalFormatting sqref="AQ63">
    <cfRule type="cellIs" dxfId="6504" priority="431" operator="lessThan">
      <formula>0</formula>
    </cfRule>
  </conditionalFormatting>
  <conditionalFormatting sqref="AQ63">
    <cfRule type="cellIs" dxfId="6503" priority="430" operator="lessThan">
      <formula>0</formula>
    </cfRule>
  </conditionalFormatting>
  <conditionalFormatting sqref="AQ63">
    <cfRule type="cellIs" dxfId="6502" priority="429" operator="lessThan">
      <formula>0</formula>
    </cfRule>
  </conditionalFormatting>
  <conditionalFormatting sqref="AQ63">
    <cfRule type="cellIs" dxfId="6501" priority="428" operator="lessThan">
      <formula>0</formula>
    </cfRule>
  </conditionalFormatting>
  <conditionalFormatting sqref="AQ63">
    <cfRule type="cellIs" dxfId="6500" priority="427" operator="lessThan">
      <formula>0</formula>
    </cfRule>
  </conditionalFormatting>
  <conditionalFormatting sqref="AQ63">
    <cfRule type="cellIs" dxfId="6499" priority="426" operator="lessThan">
      <formula>0</formula>
    </cfRule>
  </conditionalFormatting>
  <conditionalFormatting sqref="AQ63">
    <cfRule type="cellIs" dxfId="6498" priority="425" operator="lessThan">
      <formula>0</formula>
    </cfRule>
  </conditionalFormatting>
  <conditionalFormatting sqref="AQ63">
    <cfRule type="cellIs" dxfId="6497" priority="424" operator="lessThan">
      <formula>0</formula>
    </cfRule>
  </conditionalFormatting>
  <conditionalFormatting sqref="AQ63">
    <cfRule type="cellIs" dxfId="6496" priority="423" operator="lessThan">
      <formula>0</formula>
    </cfRule>
  </conditionalFormatting>
  <conditionalFormatting sqref="AQ63">
    <cfRule type="cellIs" dxfId="6495" priority="422" operator="lessThan">
      <formula>0</formula>
    </cfRule>
  </conditionalFormatting>
  <conditionalFormatting sqref="AQ63">
    <cfRule type="cellIs" dxfId="6494" priority="421" operator="lessThan">
      <formula>0</formula>
    </cfRule>
  </conditionalFormatting>
  <conditionalFormatting sqref="AQ63">
    <cfRule type="cellIs" dxfId="6493" priority="420" operator="lessThan">
      <formula>0</formula>
    </cfRule>
  </conditionalFormatting>
  <conditionalFormatting sqref="AQ63">
    <cfRule type="cellIs" dxfId="6492" priority="419" operator="lessThan">
      <formula>0</formula>
    </cfRule>
  </conditionalFormatting>
  <conditionalFormatting sqref="AQ63">
    <cfRule type="cellIs" dxfId="6491" priority="418" operator="lessThan">
      <formula>0</formula>
    </cfRule>
  </conditionalFormatting>
  <conditionalFormatting sqref="AQ63">
    <cfRule type="cellIs" dxfId="6490" priority="417" operator="lessThan">
      <formula>0</formula>
    </cfRule>
  </conditionalFormatting>
  <conditionalFormatting sqref="AQ63">
    <cfRule type="cellIs" dxfId="6489" priority="416" operator="lessThan">
      <formula>0</formula>
    </cfRule>
  </conditionalFormatting>
  <conditionalFormatting sqref="AQ63">
    <cfRule type="cellIs" dxfId="6488" priority="415" operator="lessThan">
      <formula>0</formula>
    </cfRule>
  </conditionalFormatting>
  <conditionalFormatting sqref="AQ63">
    <cfRule type="cellIs" dxfId="6487" priority="414" operator="lessThan">
      <formula>0</formula>
    </cfRule>
  </conditionalFormatting>
  <conditionalFormatting sqref="AQ63">
    <cfRule type="cellIs" dxfId="6486" priority="413" operator="lessThan">
      <formula>0</formula>
    </cfRule>
  </conditionalFormatting>
  <conditionalFormatting sqref="AQ63">
    <cfRule type="cellIs" dxfId="6485" priority="412" operator="lessThan">
      <formula>0</formula>
    </cfRule>
  </conditionalFormatting>
  <conditionalFormatting sqref="AQ63">
    <cfRule type="cellIs" dxfId="6484" priority="411" operator="lessThan">
      <formula>0</formula>
    </cfRule>
  </conditionalFormatting>
  <conditionalFormatting sqref="AQ63">
    <cfRule type="cellIs" dxfId="6483" priority="410" operator="lessThan">
      <formula>0</formula>
    </cfRule>
  </conditionalFormatting>
  <conditionalFormatting sqref="AQ63">
    <cfRule type="cellIs" dxfId="6482" priority="409" operator="lessThan">
      <formula>0</formula>
    </cfRule>
  </conditionalFormatting>
  <conditionalFormatting sqref="AQ63">
    <cfRule type="cellIs" dxfId="6481" priority="408" operator="lessThan">
      <formula>0</formula>
    </cfRule>
  </conditionalFormatting>
  <conditionalFormatting sqref="AQ63">
    <cfRule type="cellIs" dxfId="6480" priority="407" operator="lessThan">
      <formula>0</formula>
    </cfRule>
  </conditionalFormatting>
  <conditionalFormatting sqref="AQ63">
    <cfRule type="cellIs" dxfId="6479" priority="406" operator="lessThan">
      <formula>0</formula>
    </cfRule>
  </conditionalFormatting>
  <conditionalFormatting sqref="AQ63">
    <cfRule type="cellIs" dxfId="6478" priority="405" operator="lessThan">
      <formula>0</formula>
    </cfRule>
  </conditionalFormatting>
  <conditionalFormatting sqref="AQ63">
    <cfRule type="cellIs" dxfId="6477" priority="404" operator="lessThan">
      <formula>0</formula>
    </cfRule>
  </conditionalFormatting>
  <conditionalFormatting sqref="AQ63">
    <cfRule type="cellIs" dxfId="6476" priority="403" operator="lessThan">
      <formula>0</formula>
    </cfRule>
  </conditionalFormatting>
  <conditionalFormatting sqref="AQ63">
    <cfRule type="cellIs" dxfId="6475" priority="402" operator="lessThan">
      <formula>0</formula>
    </cfRule>
  </conditionalFormatting>
  <conditionalFormatting sqref="AQ63">
    <cfRule type="cellIs" dxfId="6474" priority="401" operator="lessThan">
      <formula>0</formula>
    </cfRule>
  </conditionalFormatting>
  <conditionalFormatting sqref="AQ63">
    <cfRule type="cellIs" dxfId="6473" priority="400" operator="lessThan">
      <formula>0</formula>
    </cfRule>
  </conditionalFormatting>
  <conditionalFormatting sqref="AQ63">
    <cfRule type="cellIs" dxfId="6472" priority="399" operator="lessThan">
      <formula>0</formula>
    </cfRule>
  </conditionalFormatting>
  <conditionalFormatting sqref="AQ63">
    <cfRule type="cellIs" dxfId="6471" priority="398" operator="lessThan">
      <formula>0</formula>
    </cfRule>
  </conditionalFormatting>
  <conditionalFormatting sqref="AQ63">
    <cfRule type="cellIs" dxfId="6470" priority="397" operator="lessThan">
      <formula>0</formula>
    </cfRule>
  </conditionalFormatting>
  <conditionalFormatting sqref="AQ63">
    <cfRule type="cellIs" dxfId="6469" priority="396" operator="lessThan">
      <formula>0</formula>
    </cfRule>
  </conditionalFormatting>
  <conditionalFormatting sqref="AQ63">
    <cfRule type="cellIs" dxfId="6468" priority="395" operator="lessThan">
      <formula>0</formula>
    </cfRule>
  </conditionalFormatting>
  <conditionalFormatting sqref="AQ63">
    <cfRule type="cellIs" dxfId="6467" priority="394" operator="lessThan">
      <formula>0</formula>
    </cfRule>
  </conditionalFormatting>
  <conditionalFormatting sqref="AQ63">
    <cfRule type="cellIs" dxfId="6466" priority="393" operator="lessThan">
      <formula>0</formula>
    </cfRule>
  </conditionalFormatting>
  <conditionalFormatting sqref="AQ63">
    <cfRule type="cellIs" dxfId="6465" priority="392" operator="lessThan">
      <formula>0</formula>
    </cfRule>
  </conditionalFormatting>
  <conditionalFormatting sqref="AQ63">
    <cfRule type="cellIs" dxfId="6464" priority="391" operator="lessThan">
      <formula>0</formula>
    </cfRule>
  </conditionalFormatting>
  <conditionalFormatting sqref="AQ63">
    <cfRule type="cellIs" dxfId="6463" priority="390" operator="lessThan">
      <formula>0</formula>
    </cfRule>
  </conditionalFormatting>
  <conditionalFormatting sqref="AQ63">
    <cfRule type="cellIs" dxfId="6462" priority="389" operator="lessThan">
      <formula>0</formula>
    </cfRule>
  </conditionalFormatting>
  <conditionalFormatting sqref="AQ63">
    <cfRule type="cellIs" dxfId="6461" priority="388" operator="lessThan">
      <formula>0</formula>
    </cfRule>
  </conditionalFormatting>
  <conditionalFormatting sqref="AQ63">
    <cfRule type="cellIs" dxfId="6460" priority="387" operator="lessThan">
      <formula>0</formula>
    </cfRule>
  </conditionalFormatting>
  <conditionalFormatting sqref="AQ63">
    <cfRule type="cellIs" dxfId="6459" priority="386" operator="lessThan">
      <formula>0</formula>
    </cfRule>
  </conditionalFormatting>
  <conditionalFormatting sqref="AQ63">
    <cfRule type="cellIs" dxfId="6458" priority="385" operator="lessThan">
      <formula>0</formula>
    </cfRule>
  </conditionalFormatting>
  <conditionalFormatting sqref="AQ63">
    <cfRule type="cellIs" dxfId="6457" priority="384" operator="lessThan">
      <formula>0</formula>
    </cfRule>
  </conditionalFormatting>
  <conditionalFormatting sqref="AQ63">
    <cfRule type="cellIs" dxfId="6456" priority="383" operator="lessThan">
      <formula>0</formula>
    </cfRule>
  </conditionalFormatting>
  <conditionalFormatting sqref="AQ63">
    <cfRule type="cellIs" dxfId="6455" priority="382" operator="lessThan">
      <formula>0</formula>
    </cfRule>
  </conditionalFormatting>
  <conditionalFormatting sqref="AQ63">
    <cfRule type="cellIs" dxfId="6454" priority="381" operator="lessThan">
      <formula>0</formula>
    </cfRule>
  </conditionalFormatting>
  <conditionalFormatting sqref="AQ63">
    <cfRule type="cellIs" dxfId="6453" priority="380" operator="lessThan">
      <formula>0</formula>
    </cfRule>
  </conditionalFormatting>
  <conditionalFormatting sqref="AQ63">
    <cfRule type="cellIs" dxfId="6452" priority="379" operator="lessThan">
      <formula>0</formula>
    </cfRule>
  </conditionalFormatting>
  <conditionalFormatting sqref="AQ63">
    <cfRule type="cellIs" dxfId="6451" priority="363" operator="lessThan">
      <formula>0</formula>
    </cfRule>
  </conditionalFormatting>
  <conditionalFormatting sqref="AQ63">
    <cfRule type="cellIs" dxfId="6450" priority="378" operator="lessThan">
      <formula>0</formula>
    </cfRule>
  </conditionalFormatting>
  <conditionalFormatting sqref="AQ63">
    <cfRule type="cellIs" dxfId="6449" priority="377" operator="lessThan">
      <formula>0</formula>
    </cfRule>
  </conditionalFormatting>
  <conditionalFormatting sqref="AQ63">
    <cfRule type="cellIs" dxfId="6448" priority="376" operator="lessThan">
      <formula>0</formula>
    </cfRule>
  </conditionalFormatting>
  <conditionalFormatting sqref="AQ63">
    <cfRule type="cellIs" dxfId="6447" priority="375" operator="lessThan">
      <formula>0</formula>
    </cfRule>
  </conditionalFormatting>
  <conditionalFormatting sqref="AQ63">
    <cfRule type="cellIs" dxfId="6446" priority="374" operator="lessThan">
      <formula>0</formula>
    </cfRule>
  </conditionalFormatting>
  <conditionalFormatting sqref="AQ63">
    <cfRule type="cellIs" dxfId="6445" priority="373" operator="lessThan">
      <formula>0</formula>
    </cfRule>
  </conditionalFormatting>
  <conditionalFormatting sqref="AQ63">
    <cfRule type="cellIs" dxfId="6444" priority="372" operator="lessThan">
      <formula>0</formula>
    </cfRule>
  </conditionalFormatting>
  <conditionalFormatting sqref="AQ63">
    <cfRule type="cellIs" dxfId="6443" priority="371" operator="lessThan">
      <formula>0</formula>
    </cfRule>
  </conditionalFormatting>
  <conditionalFormatting sqref="AQ63">
    <cfRule type="cellIs" dxfId="6442" priority="370" operator="lessThan">
      <formula>0</formula>
    </cfRule>
  </conditionalFormatting>
  <conditionalFormatting sqref="AQ63">
    <cfRule type="cellIs" dxfId="6441" priority="369" operator="lessThan">
      <formula>0</formula>
    </cfRule>
  </conditionalFormatting>
  <conditionalFormatting sqref="AQ63">
    <cfRule type="cellIs" dxfId="6440" priority="368" operator="lessThan">
      <formula>0</formula>
    </cfRule>
  </conditionalFormatting>
  <conditionalFormatting sqref="AQ63">
    <cfRule type="cellIs" dxfId="6439" priority="367" operator="lessThan">
      <formula>0</formula>
    </cfRule>
  </conditionalFormatting>
  <conditionalFormatting sqref="AQ63">
    <cfRule type="cellIs" dxfId="6438" priority="366" operator="lessThan">
      <formula>0</formula>
    </cfRule>
  </conditionalFormatting>
  <conditionalFormatting sqref="AQ63">
    <cfRule type="cellIs" dxfId="6437" priority="365" operator="lessThan">
      <formula>0</formula>
    </cfRule>
  </conditionalFormatting>
  <conditionalFormatting sqref="AQ63">
    <cfRule type="cellIs" dxfId="6436" priority="364" operator="lessThan">
      <formula>0</formula>
    </cfRule>
  </conditionalFormatting>
  <conditionalFormatting sqref="AQ62">
    <cfRule type="cellIs" dxfId="6435" priority="362" operator="lessThan">
      <formula>0</formula>
    </cfRule>
  </conditionalFormatting>
  <conditionalFormatting sqref="AQ62">
    <cfRule type="cellIs" dxfId="6434" priority="361" operator="lessThan">
      <formula>0</formula>
    </cfRule>
  </conditionalFormatting>
  <conditionalFormatting sqref="AQ64:AQ65">
    <cfRule type="cellIs" dxfId="6433" priority="360" operator="lessThan">
      <formula>0</formula>
    </cfRule>
  </conditionalFormatting>
  <conditionalFormatting sqref="AQ64:AQ65">
    <cfRule type="cellIs" dxfId="6432" priority="359" operator="lessThan">
      <formula>0</formula>
    </cfRule>
  </conditionalFormatting>
  <conditionalFormatting sqref="AQ64:AQ65">
    <cfRule type="cellIs" dxfId="6431" priority="358" operator="lessThan">
      <formula>0</formula>
    </cfRule>
  </conditionalFormatting>
  <conditionalFormatting sqref="AQ64:AQ65">
    <cfRule type="cellIs" dxfId="6430" priority="357" operator="lessThan">
      <formula>0</formula>
    </cfRule>
  </conditionalFormatting>
  <conditionalFormatting sqref="AQ64:AQ65">
    <cfRule type="cellIs" dxfId="6429" priority="356" operator="lessThan">
      <formula>0</formula>
    </cfRule>
  </conditionalFormatting>
  <conditionalFormatting sqref="AQ64:AQ65">
    <cfRule type="cellIs" dxfId="6428" priority="355" operator="lessThan">
      <formula>0</formula>
    </cfRule>
  </conditionalFormatting>
  <conditionalFormatting sqref="AQ64:AQ65">
    <cfRule type="cellIs" dxfId="6427" priority="354" operator="lessThan">
      <formula>0</formula>
    </cfRule>
  </conditionalFormatting>
  <conditionalFormatting sqref="AQ64:AQ65">
    <cfRule type="cellIs" dxfId="6426" priority="353" operator="lessThan">
      <formula>0</formula>
    </cfRule>
  </conditionalFormatting>
  <conditionalFormatting sqref="AQ62">
    <cfRule type="cellIs" dxfId="6425" priority="352" operator="lessThan">
      <formula>0</formula>
    </cfRule>
  </conditionalFormatting>
  <conditionalFormatting sqref="AQ62 AQ64:AQ65">
    <cfRule type="cellIs" dxfId="6424" priority="351" operator="lessThan">
      <formula>0</formula>
    </cfRule>
  </conditionalFormatting>
  <conditionalFormatting sqref="AQ62 AQ64:AQ65">
    <cfRule type="cellIs" dxfId="6423" priority="350" operator="lessThan">
      <formula>0</formula>
    </cfRule>
  </conditionalFormatting>
  <conditionalFormatting sqref="AQ62 AQ64:AQ65">
    <cfRule type="cellIs" dxfId="6422" priority="349" operator="lessThan">
      <formula>0</formula>
    </cfRule>
  </conditionalFormatting>
  <conditionalFormatting sqref="AQ62 AQ64:AQ65">
    <cfRule type="cellIs" dxfId="6421" priority="348" operator="lessThan">
      <formula>0</formula>
    </cfRule>
  </conditionalFormatting>
  <conditionalFormatting sqref="AQ64:AQ65">
    <cfRule type="cellIs" dxfId="6420" priority="347" operator="lessThan">
      <formula>0</formula>
    </cfRule>
  </conditionalFormatting>
  <conditionalFormatting sqref="AQ64:AQ65">
    <cfRule type="cellIs" dxfId="6419" priority="346" operator="lessThan">
      <formula>0</formula>
    </cfRule>
  </conditionalFormatting>
  <conditionalFormatting sqref="AQ64:AQ65">
    <cfRule type="cellIs" dxfId="6418" priority="345" operator="lessThan">
      <formula>0</formula>
    </cfRule>
  </conditionalFormatting>
  <conditionalFormatting sqref="AQ64:AQ65">
    <cfRule type="cellIs" dxfId="6417" priority="344" operator="lessThan">
      <formula>0</formula>
    </cfRule>
  </conditionalFormatting>
  <conditionalFormatting sqref="AQ63">
    <cfRule type="cellIs" dxfId="6416" priority="343" operator="lessThan">
      <formula>0</formula>
    </cfRule>
  </conditionalFormatting>
  <conditionalFormatting sqref="AQ63">
    <cfRule type="cellIs" dxfId="6415" priority="342" operator="lessThan">
      <formula>0</formula>
    </cfRule>
  </conditionalFormatting>
  <conditionalFormatting sqref="AQ63">
    <cfRule type="cellIs" dxfId="6414" priority="341" operator="lessThan">
      <formula>0</formula>
    </cfRule>
  </conditionalFormatting>
  <conditionalFormatting sqref="AQ63">
    <cfRule type="cellIs" dxfId="6413" priority="340" operator="lessThan">
      <formula>0</formula>
    </cfRule>
  </conditionalFormatting>
  <conditionalFormatting sqref="AQ63">
    <cfRule type="cellIs" dxfId="6412" priority="339" operator="lessThan">
      <formula>0</formula>
    </cfRule>
  </conditionalFormatting>
  <conditionalFormatting sqref="AQ63">
    <cfRule type="cellIs" dxfId="6411" priority="338" operator="lessThan">
      <formula>0</formula>
    </cfRule>
  </conditionalFormatting>
  <conditionalFormatting sqref="AQ63">
    <cfRule type="cellIs" dxfId="6410" priority="337" operator="lessThan">
      <formula>0</formula>
    </cfRule>
  </conditionalFormatting>
  <conditionalFormatting sqref="AQ63">
    <cfRule type="cellIs" dxfId="6409" priority="336" operator="lessThan">
      <formula>0</formula>
    </cfRule>
  </conditionalFormatting>
  <conditionalFormatting sqref="AQ63">
    <cfRule type="cellIs" dxfId="6408" priority="335" operator="lessThan">
      <formula>0</formula>
    </cfRule>
  </conditionalFormatting>
  <conditionalFormatting sqref="AQ63">
    <cfRule type="cellIs" dxfId="6407" priority="334" operator="lessThan">
      <formula>0</formula>
    </cfRule>
  </conditionalFormatting>
  <conditionalFormatting sqref="AQ63">
    <cfRule type="cellIs" dxfId="6406" priority="333" operator="lessThan">
      <formula>0</formula>
    </cfRule>
  </conditionalFormatting>
  <conditionalFormatting sqref="AQ63">
    <cfRule type="cellIs" dxfId="6405" priority="332" operator="lessThan">
      <formula>0</formula>
    </cfRule>
  </conditionalFormatting>
  <conditionalFormatting sqref="AQ63">
    <cfRule type="cellIs" dxfId="6404" priority="331" operator="lessThan">
      <formula>0</formula>
    </cfRule>
  </conditionalFormatting>
  <conditionalFormatting sqref="AQ63">
    <cfRule type="cellIs" dxfId="6403" priority="330" operator="lessThan">
      <formula>0</formula>
    </cfRule>
  </conditionalFormatting>
  <conditionalFormatting sqref="AQ63">
    <cfRule type="cellIs" dxfId="6402" priority="329" operator="lessThan">
      <formula>0</formula>
    </cfRule>
  </conditionalFormatting>
  <conditionalFormatting sqref="AQ63">
    <cfRule type="cellIs" dxfId="6401" priority="328" operator="lessThan">
      <formula>0</formula>
    </cfRule>
  </conditionalFormatting>
  <conditionalFormatting sqref="AQ63">
    <cfRule type="cellIs" dxfId="6400" priority="327" operator="lessThan">
      <formula>0</formula>
    </cfRule>
  </conditionalFormatting>
  <conditionalFormatting sqref="AQ63">
    <cfRule type="cellIs" dxfId="6399" priority="326" operator="lessThan">
      <formula>0</formula>
    </cfRule>
  </conditionalFormatting>
  <conditionalFormatting sqref="AQ63">
    <cfRule type="cellIs" dxfId="6398" priority="325" operator="lessThan">
      <formula>0</formula>
    </cfRule>
  </conditionalFormatting>
  <conditionalFormatting sqref="AQ63">
    <cfRule type="cellIs" dxfId="6397" priority="324" operator="lessThan">
      <formula>0</formula>
    </cfRule>
  </conditionalFormatting>
  <conditionalFormatting sqref="AQ63">
    <cfRule type="cellIs" dxfId="6396" priority="323" operator="lessThan">
      <formula>0</formula>
    </cfRule>
  </conditionalFormatting>
  <conditionalFormatting sqref="AQ63">
    <cfRule type="cellIs" dxfId="6395" priority="322" operator="lessThan">
      <formula>0</formula>
    </cfRule>
  </conditionalFormatting>
  <conditionalFormatting sqref="AQ63">
    <cfRule type="cellIs" dxfId="6394" priority="321" operator="lessThan">
      <formula>0</formula>
    </cfRule>
  </conditionalFormatting>
  <conditionalFormatting sqref="AQ63">
    <cfRule type="cellIs" dxfId="6393" priority="320" operator="lessThan">
      <formula>0</formula>
    </cfRule>
  </conditionalFormatting>
  <conditionalFormatting sqref="AQ63">
    <cfRule type="cellIs" dxfId="6392" priority="319" operator="lessThan">
      <formula>0</formula>
    </cfRule>
  </conditionalFormatting>
  <conditionalFormatting sqref="AQ63">
    <cfRule type="cellIs" dxfId="6391" priority="318" operator="lessThan">
      <formula>0</formula>
    </cfRule>
  </conditionalFormatting>
  <conditionalFormatting sqref="AQ63">
    <cfRule type="cellIs" dxfId="6390" priority="317" operator="lessThan">
      <formula>0</formula>
    </cfRule>
  </conditionalFormatting>
  <conditionalFormatting sqref="AQ63">
    <cfRule type="cellIs" dxfId="6389" priority="316" operator="lessThan">
      <formula>0</formula>
    </cfRule>
  </conditionalFormatting>
  <conditionalFormatting sqref="AQ63">
    <cfRule type="cellIs" dxfId="6388" priority="315" operator="lessThan">
      <formula>0</formula>
    </cfRule>
  </conditionalFormatting>
  <conditionalFormatting sqref="AQ63">
    <cfRule type="cellIs" dxfId="6387" priority="314" operator="lessThan">
      <formula>0</formula>
    </cfRule>
  </conditionalFormatting>
  <conditionalFormatting sqref="AQ63">
    <cfRule type="cellIs" dxfId="6386" priority="313" operator="lessThan">
      <formula>0</formula>
    </cfRule>
  </conditionalFormatting>
  <conditionalFormatting sqref="AQ63">
    <cfRule type="cellIs" dxfId="6385" priority="312" operator="lessThan">
      <formula>0</formula>
    </cfRule>
  </conditionalFormatting>
  <conditionalFormatting sqref="AQ63">
    <cfRule type="cellIs" dxfId="6384" priority="311" operator="lessThan">
      <formula>0</formula>
    </cfRule>
  </conditionalFormatting>
  <conditionalFormatting sqref="AQ63">
    <cfRule type="cellIs" dxfId="6383" priority="310" operator="lessThan">
      <formula>0</formula>
    </cfRule>
  </conditionalFormatting>
  <conditionalFormatting sqref="AQ63">
    <cfRule type="cellIs" dxfId="6382" priority="309" operator="lessThan">
      <formula>0</formula>
    </cfRule>
  </conditionalFormatting>
  <conditionalFormatting sqref="AQ63">
    <cfRule type="cellIs" dxfId="6381" priority="308" operator="lessThan">
      <formula>0</formula>
    </cfRule>
  </conditionalFormatting>
  <conditionalFormatting sqref="AQ63">
    <cfRule type="cellIs" dxfId="6380" priority="307" operator="lessThan">
      <formula>0</formula>
    </cfRule>
  </conditionalFormatting>
  <conditionalFormatting sqref="AQ63">
    <cfRule type="cellIs" dxfId="6379" priority="306" operator="lessThan">
      <formula>0</formula>
    </cfRule>
  </conditionalFormatting>
  <conditionalFormatting sqref="AQ63">
    <cfRule type="cellIs" dxfId="6378" priority="305" operator="lessThan">
      <formula>0</formula>
    </cfRule>
  </conditionalFormatting>
  <conditionalFormatting sqref="AQ63">
    <cfRule type="cellIs" dxfId="6377" priority="304" operator="lessThan">
      <formula>0</formula>
    </cfRule>
  </conditionalFormatting>
  <conditionalFormatting sqref="AQ63">
    <cfRule type="cellIs" dxfId="6376" priority="303" operator="lessThan">
      <formula>0</formula>
    </cfRule>
  </conditionalFormatting>
  <conditionalFormatting sqref="AQ63">
    <cfRule type="cellIs" dxfId="6375" priority="302" operator="lessThan">
      <formula>0</formula>
    </cfRule>
  </conditionalFormatting>
  <conditionalFormatting sqref="AQ63">
    <cfRule type="cellIs" dxfId="6374" priority="301" operator="lessThan">
      <formula>0</formula>
    </cfRule>
  </conditionalFormatting>
  <conditionalFormatting sqref="AQ63">
    <cfRule type="cellIs" dxfId="6373" priority="300" operator="lessThan">
      <formula>0</formula>
    </cfRule>
  </conditionalFormatting>
  <conditionalFormatting sqref="AQ63">
    <cfRule type="cellIs" dxfId="6372" priority="299" operator="lessThan">
      <formula>0</formula>
    </cfRule>
  </conditionalFormatting>
  <conditionalFormatting sqref="AQ63">
    <cfRule type="cellIs" dxfId="6371" priority="298" operator="lessThan">
      <formula>0</formula>
    </cfRule>
  </conditionalFormatting>
  <conditionalFormatting sqref="AQ63">
    <cfRule type="cellIs" dxfId="6370" priority="297" operator="lessThan">
      <formula>0</formula>
    </cfRule>
  </conditionalFormatting>
  <conditionalFormatting sqref="AQ63">
    <cfRule type="cellIs" dxfId="6369" priority="296" operator="lessThan">
      <formula>0</formula>
    </cfRule>
  </conditionalFormatting>
  <conditionalFormatting sqref="AQ63">
    <cfRule type="cellIs" dxfId="6368" priority="295" operator="lessThan">
      <formula>0</formula>
    </cfRule>
  </conditionalFormatting>
  <conditionalFormatting sqref="AQ63">
    <cfRule type="cellIs" dxfId="6367" priority="294" operator="lessThan">
      <formula>0</formula>
    </cfRule>
  </conditionalFormatting>
  <conditionalFormatting sqref="AQ63">
    <cfRule type="cellIs" dxfId="6366" priority="293" operator="lessThan">
      <formula>0</formula>
    </cfRule>
  </conditionalFormatting>
  <conditionalFormatting sqref="AQ63">
    <cfRule type="cellIs" dxfId="6365" priority="292" operator="lessThan">
      <formula>0</formula>
    </cfRule>
  </conditionalFormatting>
  <conditionalFormatting sqref="AQ63">
    <cfRule type="cellIs" dxfId="6364" priority="291" operator="lessThan">
      <formula>0</formula>
    </cfRule>
  </conditionalFormatting>
  <conditionalFormatting sqref="AQ63">
    <cfRule type="cellIs" dxfId="6363" priority="290" operator="lessThan">
      <formula>0</formula>
    </cfRule>
  </conditionalFormatting>
  <conditionalFormatting sqref="AQ63">
    <cfRule type="cellIs" dxfId="6362" priority="289" operator="lessThan">
      <formula>0</formula>
    </cfRule>
  </conditionalFormatting>
  <conditionalFormatting sqref="AQ63">
    <cfRule type="cellIs" dxfId="6361" priority="288" operator="lessThan">
      <formula>0</formula>
    </cfRule>
  </conditionalFormatting>
  <conditionalFormatting sqref="AQ63">
    <cfRule type="cellIs" dxfId="6360" priority="287" operator="lessThan">
      <formula>0</formula>
    </cfRule>
  </conditionalFormatting>
  <conditionalFormatting sqref="AQ63">
    <cfRule type="cellIs" dxfId="6359" priority="286" operator="lessThan">
      <formula>0</formula>
    </cfRule>
  </conditionalFormatting>
  <conditionalFormatting sqref="AQ63">
    <cfRule type="cellIs" dxfId="6358" priority="285" operator="lessThan">
      <formula>0</formula>
    </cfRule>
  </conditionalFormatting>
  <conditionalFormatting sqref="AQ63">
    <cfRule type="cellIs" dxfId="6357" priority="284" operator="lessThan">
      <formula>0</formula>
    </cfRule>
  </conditionalFormatting>
  <conditionalFormatting sqref="AQ63">
    <cfRule type="cellIs" dxfId="6356" priority="283" operator="lessThan">
      <formula>0</formula>
    </cfRule>
  </conditionalFormatting>
  <conditionalFormatting sqref="AQ63">
    <cfRule type="cellIs" dxfId="6355" priority="282" operator="lessThan">
      <formula>0</formula>
    </cfRule>
  </conditionalFormatting>
  <conditionalFormatting sqref="AQ63">
    <cfRule type="cellIs" dxfId="6354" priority="281" operator="lessThan">
      <formula>0</formula>
    </cfRule>
  </conditionalFormatting>
  <conditionalFormatting sqref="AQ63">
    <cfRule type="cellIs" dxfId="6353" priority="280" operator="lessThan">
      <formula>0</formula>
    </cfRule>
  </conditionalFormatting>
  <conditionalFormatting sqref="AQ63">
    <cfRule type="cellIs" dxfId="6352" priority="279" operator="lessThan">
      <formula>0</formula>
    </cfRule>
  </conditionalFormatting>
  <conditionalFormatting sqref="AQ63">
    <cfRule type="cellIs" dxfId="6351" priority="278" operator="lessThan">
      <formula>0</formula>
    </cfRule>
  </conditionalFormatting>
  <conditionalFormatting sqref="AQ63">
    <cfRule type="cellIs" dxfId="6350" priority="277" operator="lessThan">
      <formula>0</formula>
    </cfRule>
  </conditionalFormatting>
  <conditionalFormatting sqref="AQ63">
    <cfRule type="cellIs" dxfId="6349" priority="276" operator="lessThan">
      <formula>0</formula>
    </cfRule>
  </conditionalFormatting>
  <conditionalFormatting sqref="AQ63">
    <cfRule type="cellIs" dxfId="6348" priority="275" operator="lessThan">
      <formula>0</formula>
    </cfRule>
  </conditionalFormatting>
  <conditionalFormatting sqref="AQ63">
    <cfRule type="cellIs" dxfId="6347" priority="274" operator="lessThan">
      <formula>0</formula>
    </cfRule>
  </conditionalFormatting>
  <conditionalFormatting sqref="AQ63">
    <cfRule type="cellIs" dxfId="6346" priority="273" operator="lessThan">
      <formula>0</formula>
    </cfRule>
  </conditionalFormatting>
  <conditionalFormatting sqref="AQ63">
    <cfRule type="cellIs" dxfId="6345" priority="272" operator="lessThan">
      <formula>0</formula>
    </cfRule>
  </conditionalFormatting>
  <conditionalFormatting sqref="AQ63">
    <cfRule type="cellIs" dxfId="6344" priority="271" operator="lessThan">
      <formula>0</formula>
    </cfRule>
  </conditionalFormatting>
  <conditionalFormatting sqref="AQ63">
    <cfRule type="cellIs" dxfId="6343" priority="270" operator="lessThan">
      <formula>0</formula>
    </cfRule>
  </conditionalFormatting>
  <conditionalFormatting sqref="AQ63">
    <cfRule type="cellIs" dxfId="6342" priority="269" operator="lessThan">
      <formula>0</formula>
    </cfRule>
  </conditionalFormatting>
  <conditionalFormatting sqref="AQ63">
    <cfRule type="cellIs" dxfId="6341" priority="268" operator="lessThan">
      <formula>0</formula>
    </cfRule>
  </conditionalFormatting>
  <conditionalFormatting sqref="AQ63">
    <cfRule type="cellIs" dxfId="6340" priority="267" operator="lessThan">
      <formula>0</formula>
    </cfRule>
  </conditionalFormatting>
  <conditionalFormatting sqref="AQ63">
    <cfRule type="cellIs" dxfId="6339" priority="266" operator="lessThan">
      <formula>0</formula>
    </cfRule>
  </conditionalFormatting>
  <conditionalFormatting sqref="AQ63">
    <cfRule type="cellIs" dxfId="6338" priority="265" operator="lessThan">
      <formula>0</formula>
    </cfRule>
  </conditionalFormatting>
  <conditionalFormatting sqref="AQ63">
    <cfRule type="cellIs" dxfId="6337" priority="264" operator="lessThan">
      <formula>0</formula>
    </cfRule>
  </conditionalFormatting>
  <conditionalFormatting sqref="AQ63">
    <cfRule type="cellIs" dxfId="6336" priority="248" operator="lessThan">
      <formula>0</formula>
    </cfRule>
  </conditionalFormatting>
  <conditionalFormatting sqref="AQ63">
    <cfRule type="cellIs" dxfId="6335" priority="263" operator="lessThan">
      <formula>0</formula>
    </cfRule>
  </conditionalFormatting>
  <conditionalFormatting sqref="AQ63">
    <cfRule type="cellIs" dxfId="6334" priority="262" operator="lessThan">
      <formula>0</formula>
    </cfRule>
  </conditionalFormatting>
  <conditionalFormatting sqref="AQ63">
    <cfRule type="cellIs" dxfId="6333" priority="261" operator="lessThan">
      <formula>0</formula>
    </cfRule>
  </conditionalFormatting>
  <conditionalFormatting sqref="AQ63">
    <cfRule type="cellIs" dxfId="6332" priority="260" operator="lessThan">
      <formula>0</formula>
    </cfRule>
  </conditionalFormatting>
  <conditionalFormatting sqref="AQ63">
    <cfRule type="cellIs" dxfId="6331" priority="259" operator="lessThan">
      <formula>0</formula>
    </cfRule>
  </conditionalFormatting>
  <conditionalFormatting sqref="AQ63">
    <cfRule type="cellIs" dxfId="6330" priority="258" operator="lessThan">
      <formula>0</formula>
    </cfRule>
  </conditionalFormatting>
  <conditionalFormatting sqref="AQ63">
    <cfRule type="cellIs" dxfId="6329" priority="257" operator="lessThan">
      <formula>0</formula>
    </cfRule>
  </conditionalFormatting>
  <conditionalFormatting sqref="AQ63">
    <cfRule type="cellIs" dxfId="6328" priority="256" operator="lessThan">
      <formula>0</formula>
    </cfRule>
  </conditionalFormatting>
  <conditionalFormatting sqref="AQ63">
    <cfRule type="cellIs" dxfId="6327" priority="255" operator="lessThan">
      <formula>0</formula>
    </cfRule>
  </conditionalFormatting>
  <conditionalFormatting sqref="AQ63">
    <cfRule type="cellIs" dxfId="6326" priority="254" operator="lessThan">
      <formula>0</formula>
    </cfRule>
  </conditionalFormatting>
  <conditionalFormatting sqref="AQ63">
    <cfRule type="cellIs" dxfId="6325" priority="253" operator="lessThan">
      <formula>0</formula>
    </cfRule>
  </conditionalFormatting>
  <conditionalFormatting sqref="AQ63">
    <cfRule type="cellIs" dxfId="6324" priority="252" operator="lessThan">
      <formula>0</formula>
    </cfRule>
  </conditionalFormatting>
  <conditionalFormatting sqref="AQ63">
    <cfRule type="cellIs" dxfId="6323" priority="251" operator="lessThan">
      <formula>0</formula>
    </cfRule>
  </conditionalFormatting>
  <conditionalFormatting sqref="AQ63">
    <cfRule type="cellIs" dxfId="6322" priority="250" operator="lessThan">
      <formula>0</formula>
    </cfRule>
  </conditionalFormatting>
  <conditionalFormatting sqref="AQ63">
    <cfRule type="cellIs" dxfId="6321" priority="249" operator="lessThan">
      <formula>0</formula>
    </cfRule>
  </conditionalFormatting>
  <conditionalFormatting sqref="X63">
    <cfRule type="iconSet" priority="247">
      <iconSet>
        <cfvo type="percent" val="0"/>
        <cfvo type="percent" val="&quot;$I$6&quot;"/>
        <cfvo type="percent" val="#REF!"/>
      </iconSet>
    </cfRule>
  </conditionalFormatting>
  <conditionalFormatting sqref="X64">
    <cfRule type="cellIs" dxfId="6320" priority="246" operator="lessThan">
      <formula>0</formula>
    </cfRule>
  </conditionalFormatting>
  <conditionalFormatting sqref="X62:X65">
    <cfRule type="cellIs" dxfId="6319" priority="245" operator="lessThan">
      <formula>0</formula>
    </cfRule>
  </conditionalFormatting>
  <conditionalFormatting sqref="AQ78">
    <cfRule type="cellIs" dxfId="6318" priority="243" operator="lessThan">
      <formula>0</formula>
    </cfRule>
  </conditionalFormatting>
  <conditionalFormatting sqref="AM78:AM81">
    <cfRule type="cellIs" dxfId="6317" priority="241" operator="notEqual">
      <formula>0</formula>
    </cfRule>
  </conditionalFormatting>
  <conditionalFormatting sqref="I80">
    <cfRule type="cellIs" dxfId="6316" priority="240" operator="greaterThan">
      <formula>0</formula>
    </cfRule>
  </conditionalFormatting>
  <conditionalFormatting sqref="J80">
    <cfRule type="cellIs" dxfId="6315" priority="239" operator="greaterThan">
      <formula>0</formula>
    </cfRule>
  </conditionalFormatting>
  <conditionalFormatting sqref="Y80">
    <cfRule type="cellIs" dxfId="6314" priority="238" operator="lessThan">
      <formula>0</formula>
    </cfRule>
  </conditionalFormatting>
  <conditionalFormatting sqref="Y78:Y80">
    <cfRule type="cellIs" dxfId="6313" priority="237" operator="lessThan">
      <formula>0</formula>
    </cfRule>
  </conditionalFormatting>
  <conditionalFormatting sqref="Y81">
    <cfRule type="cellIs" dxfId="6312" priority="236" operator="lessThan">
      <formula>0</formula>
    </cfRule>
  </conditionalFormatting>
  <conditionalFormatting sqref="Y79">
    <cfRule type="iconSet" priority="244">
      <iconSet>
        <cfvo type="percent" val="0"/>
        <cfvo type="percent" val="&quot;$I$6&quot;"/>
        <cfvo type="percent" val="#REF!"/>
      </iconSet>
    </cfRule>
  </conditionalFormatting>
  <conditionalFormatting sqref="AQ78">
    <cfRule type="cellIs" dxfId="6311" priority="235" operator="lessThan">
      <formula>0</formula>
    </cfRule>
  </conditionalFormatting>
  <conditionalFormatting sqref="AQ78">
    <cfRule type="cellIs" dxfId="6310" priority="234" operator="lessThan">
      <formula>0</formula>
    </cfRule>
  </conditionalFormatting>
  <conditionalFormatting sqref="AQ80:AQ81">
    <cfRule type="cellIs" dxfId="6309" priority="233" operator="lessThan">
      <formula>0</formula>
    </cfRule>
  </conditionalFormatting>
  <conditionalFormatting sqref="AQ80:AQ81">
    <cfRule type="cellIs" dxfId="6308" priority="232" operator="lessThan">
      <formula>0</formula>
    </cfRule>
  </conditionalFormatting>
  <conditionalFormatting sqref="AQ80:AQ81">
    <cfRule type="cellIs" dxfId="6307" priority="231" operator="lessThan">
      <formula>0</formula>
    </cfRule>
  </conditionalFormatting>
  <conditionalFormatting sqref="AQ80:AQ81">
    <cfRule type="cellIs" dxfId="6306" priority="230" operator="lessThan">
      <formula>0</formula>
    </cfRule>
  </conditionalFormatting>
  <conditionalFormatting sqref="AQ80:AQ81">
    <cfRule type="cellIs" dxfId="6305" priority="229" operator="lessThan">
      <formula>0</formula>
    </cfRule>
  </conditionalFormatting>
  <conditionalFormatting sqref="AQ80:AQ81">
    <cfRule type="cellIs" dxfId="6304" priority="228" operator="lessThan">
      <formula>0</formula>
    </cfRule>
  </conditionalFormatting>
  <conditionalFormatting sqref="AQ80:AQ81">
    <cfRule type="cellIs" dxfId="6303" priority="227" operator="lessThan">
      <formula>0</formula>
    </cfRule>
  </conditionalFormatting>
  <conditionalFormatting sqref="AQ80:AQ81">
    <cfRule type="cellIs" dxfId="6302" priority="226" operator="lessThan">
      <formula>0</formula>
    </cfRule>
  </conditionalFormatting>
  <conditionalFormatting sqref="AQ78">
    <cfRule type="cellIs" dxfId="6301" priority="225" operator="lessThan">
      <formula>0</formula>
    </cfRule>
  </conditionalFormatting>
  <conditionalFormatting sqref="AQ80:AQ81">
    <cfRule type="cellIs" dxfId="6300" priority="224" operator="lessThan">
      <formula>0</formula>
    </cfRule>
  </conditionalFormatting>
  <conditionalFormatting sqref="AQ80:AQ81">
    <cfRule type="cellIs" dxfId="6299" priority="223" operator="lessThan">
      <formula>0</formula>
    </cfRule>
  </conditionalFormatting>
  <conditionalFormatting sqref="AQ80:AQ81">
    <cfRule type="cellIs" dxfId="6298" priority="222" operator="lessThan">
      <formula>0</formula>
    </cfRule>
  </conditionalFormatting>
  <conditionalFormatting sqref="AQ80:AQ81">
    <cfRule type="cellIs" dxfId="6297" priority="221" operator="lessThan">
      <formula>0</formula>
    </cfRule>
  </conditionalFormatting>
  <conditionalFormatting sqref="AQ80:AQ81">
    <cfRule type="cellIs" dxfId="6296" priority="220" operator="lessThan">
      <formula>0</formula>
    </cfRule>
  </conditionalFormatting>
  <conditionalFormatting sqref="AQ80:AQ81">
    <cfRule type="cellIs" dxfId="6295" priority="219" operator="lessThan">
      <formula>0</formula>
    </cfRule>
  </conditionalFormatting>
  <conditionalFormatting sqref="AQ80:AQ81">
    <cfRule type="cellIs" dxfId="6294" priority="218" operator="lessThan">
      <formula>0</formula>
    </cfRule>
  </conditionalFormatting>
  <conditionalFormatting sqref="AQ80:AQ81">
    <cfRule type="cellIs" dxfId="6293" priority="217" operator="lessThan">
      <formula>0</formula>
    </cfRule>
  </conditionalFormatting>
  <conditionalFormatting sqref="AQ79">
    <cfRule type="cellIs" dxfId="6292" priority="216" operator="lessThan">
      <formula>0</formula>
    </cfRule>
  </conditionalFormatting>
  <conditionalFormatting sqref="AQ79">
    <cfRule type="cellIs" dxfId="6291" priority="215" operator="lessThan">
      <formula>0</formula>
    </cfRule>
  </conditionalFormatting>
  <conditionalFormatting sqref="AQ79">
    <cfRule type="cellIs" dxfId="6290" priority="214" operator="lessThan">
      <formula>0</formula>
    </cfRule>
  </conditionalFormatting>
  <conditionalFormatting sqref="AQ79">
    <cfRule type="cellIs" dxfId="6289" priority="213" operator="lessThan">
      <formula>0</formula>
    </cfRule>
  </conditionalFormatting>
  <conditionalFormatting sqref="AQ79">
    <cfRule type="cellIs" dxfId="6288" priority="212" operator="lessThan">
      <formula>0</formula>
    </cfRule>
  </conditionalFormatting>
  <conditionalFormatting sqref="AQ79">
    <cfRule type="cellIs" dxfId="6287" priority="211" operator="lessThan">
      <formula>0</formula>
    </cfRule>
  </conditionalFormatting>
  <conditionalFormatting sqref="AQ79">
    <cfRule type="cellIs" dxfId="6286" priority="210" operator="lessThan">
      <formula>0</formula>
    </cfRule>
  </conditionalFormatting>
  <conditionalFormatting sqref="AQ79">
    <cfRule type="cellIs" dxfId="6285" priority="209" operator="lessThan">
      <formula>0</formula>
    </cfRule>
  </conditionalFormatting>
  <conditionalFormatting sqref="AQ79">
    <cfRule type="cellIs" dxfId="6284" priority="208" operator="lessThan">
      <formula>0</formula>
    </cfRule>
  </conditionalFormatting>
  <conditionalFormatting sqref="AQ79">
    <cfRule type="cellIs" dxfId="6283" priority="207" operator="lessThan">
      <formula>0</formula>
    </cfRule>
  </conditionalFormatting>
  <conditionalFormatting sqref="AQ79">
    <cfRule type="cellIs" dxfId="6282" priority="206" operator="lessThan">
      <formula>0</formula>
    </cfRule>
  </conditionalFormatting>
  <conditionalFormatting sqref="AQ79">
    <cfRule type="cellIs" dxfId="6281" priority="205" operator="lessThan">
      <formula>0</formula>
    </cfRule>
  </conditionalFormatting>
  <conditionalFormatting sqref="AQ79">
    <cfRule type="cellIs" dxfId="6280" priority="204" operator="lessThan">
      <formula>0</formula>
    </cfRule>
  </conditionalFormatting>
  <conditionalFormatting sqref="AQ79">
    <cfRule type="cellIs" dxfId="6279" priority="203" operator="lessThan">
      <formula>0</formula>
    </cfRule>
  </conditionalFormatting>
  <conditionalFormatting sqref="AQ79">
    <cfRule type="cellIs" dxfId="6278" priority="202" operator="lessThan">
      <formula>0</formula>
    </cfRule>
  </conditionalFormatting>
  <conditionalFormatting sqref="AQ79">
    <cfRule type="cellIs" dxfId="6277" priority="201" operator="lessThan">
      <formula>0</formula>
    </cfRule>
  </conditionalFormatting>
  <conditionalFormatting sqref="AQ79">
    <cfRule type="cellIs" dxfId="6276" priority="200" operator="lessThan">
      <formula>0</formula>
    </cfRule>
  </conditionalFormatting>
  <conditionalFormatting sqref="AQ79">
    <cfRule type="cellIs" dxfId="6275" priority="199" operator="lessThan">
      <formula>0</formula>
    </cfRule>
  </conditionalFormatting>
  <conditionalFormatting sqref="AQ79">
    <cfRule type="cellIs" dxfId="6274" priority="198" operator="lessThan">
      <formula>0</formula>
    </cfRule>
  </conditionalFormatting>
  <conditionalFormatting sqref="AQ79">
    <cfRule type="cellIs" dxfId="6273" priority="197" operator="lessThan">
      <formula>0</formula>
    </cfRule>
  </conditionalFormatting>
  <conditionalFormatting sqref="AQ79">
    <cfRule type="cellIs" dxfId="6272" priority="196" operator="lessThan">
      <formula>0</formula>
    </cfRule>
  </conditionalFormatting>
  <conditionalFormatting sqref="AQ79">
    <cfRule type="cellIs" dxfId="6271" priority="195" operator="lessThan">
      <formula>0</formula>
    </cfRule>
  </conditionalFormatting>
  <conditionalFormatting sqref="AQ79">
    <cfRule type="cellIs" dxfId="6270" priority="194" operator="lessThan">
      <formula>0</formula>
    </cfRule>
  </conditionalFormatting>
  <conditionalFormatting sqref="AQ79">
    <cfRule type="cellIs" dxfId="6269" priority="193" operator="lessThan">
      <formula>0</formula>
    </cfRule>
  </conditionalFormatting>
  <conditionalFormatting sqref="AQ79">
    <cfRule type="cellIs" dxfId="6268" priority="192" operator="lessThan">
      <formula>0</formula>
    </cfRule>
  </conditionalFormatting>
  <conditionalFormatting sqref="AQ79">
    <cfRule type="cellIs" dxfId="6267" priority="191" operator="lessThan">
      <formula>0</formula>
    </cfRule>
  </conditionalFormatting>
  <conditionalFormatting sqref="AQ79">
    <cfRule type="cellIs" dxfId="6266" priority="190" operator="lessThan">
      <formula>0</formula>
    </cfRule>
  </conditionalFormatting>
  <conditionalFormatting sqref="AQ79">
    <cfRule type="cellIs" dxfId="6265" priority="189" operator="lessThan">
      <formula>0</formula>
    </cfRule>
  </conditionalFormatting>
  <conditionalFormatting sqref="AQ79">
    <cfRule type="cellIs" dxfId="6264" priority="188" operator="lessThan">
      <formula>0</formula>
    </cfRule>
  </conditionalFormatting>
  <conditionalFormatting sqref="AQ79">
    <cfRule type="cellIs" dxfId="6263" priority="187" operator="lessThan">
      <formula>0</formula>
    </cfRule>
  </conditionalFormatting>
  <conditionalFormatting sqref="AQ79">
    <cfRule type="cellIs" dxfId="6262" priority="186" operator="lessThan">
      <formula>0</formula>
    </cfRule>
  </conditionalFormatting>
  <conditionalFormatting sqref="AQ79">
    <cfRule type="cellIs" dxfId="6261" priority="185" operator="lessThan">
      <formula>0</formula>
    </cfRule>
  </conditionalFormatting>
  <conditionalFormatting sqref="AQ79">
    <cfRule type="cellIs" dxfId="6260" priority="184" operator="lessThan">
      <formula>0</formula>
    </cfRule>
  </conditionalFormatting>
  <conditionalFormatting sqref="AQ79">
    <cfRule type="cellIs" dxfId="6259" priority="183" operator="lessThan">
      <formula>0</formula>
    </cfRule>
  </conditionalFormatting>
  <conditionalFormatting sqref="AQ79">
    <cfRule type="cellIs" dxfId="6258" priority="182" operator="lessThan">
      <formula>0</formula>
    </cfRule>
  </conditionalFormatting>
  <conditionalFormatting sqref="AQ79">
    <cfRule type="cellIs" dxfId="6257" priority="181" operator="lessThan">
      <formula>0</formula>
    </cfRule>
  </conditionalFormatting>
  <conditionalFormatting sqref="AQ79">
    <cfRule type="cellIs" dxfId="6256" priority="180" operator="lessThan">
      <formula>0</formula>
    </cfRule>
  </conditionalFormatting>
  <conditionalFormatting sqref="AQ79">
    <cfRule type="cellIs" dxfId="6255" priority="179" operator="lessThan">
      <formula>0</formula>
    </cfRule>
  </conditionalFormatting>
  <conditionalFormatting sqref="AQ79">
    <cfRule type="cellIs" dxfId="6254" priority="178" operator="lessThan">
      <formula>0</formula>
    </cfRule>
  </conditionalFormatting>
  <conditionalFormatting sqref="AQ79">
    <cfRule type="cellIs" dxfId="6253" priority="177" operator="lessThan">
      <formula>0</formula>
    </cfRule>
  </conditionalFormatting>
  <conditionalFormatting sqref="AQ79">
    <cfRule type="cellIs" dxfId="6252" priority="176" operator="lessThan">
      <formula>0</formula>
    </cfRule>
  </conditionalFormatting>
  <conditionalFormatting sqref="AQ79">
    <cfRule type="cellIs" dxfId="6251" priority="175" operator="lessThan">
      <formula>0</formula>
    </cfRule>
  </conditionalFormatting>
  <conditionalFormatting sqref="AQ79">
    <cfRule type="cellIs" dxfId="6250" priority="174" operator="lessThan">
      <formula>0</formula>
    </cfRule>
  </conditionalFormatting>
  <conditionalFormatting sqref="AQ79">
    <cfRule type="cellIs" dxfId="6249" priority="173" operator="lessThan">
      <formula>0</formula>
    </cfRule>
  </conditionalFormatting>
  <conditionalFormatting sqref="AQ79">
    <cfRule type="cellIs" dxfId="6248" priority="172" operator="lessThan">
      <formula>0</formula>
    </cfRule>
  </conditionalFormatting>
  <conditionalFormatting sqref="AQ79">
    <cfRule type="cellIs" dxfId="6247" priority="171" operator="lessThan">
      <formula>0</formula>
    </cfRule>
  </conditionalFormatting>
  <conditionalFormatting sqref="AQ79">
    <cfRule type="cellIs" dxfId="6246" priority="170" operator="lessThan">
      <formula>0</formula>
    </cfRule>
  </conditionalFormatting>
  <conditionalFormatting sqref="AQ79">
    <cfRule type="cellIs" dxfId="6245" priority="169" operator="lessThan">
      <formula>0</formula>
    </cfRule>
  </conditionalFormatting>
  <conditionalFormatting sqref="AQ79">
    <cfRule type="cellIs" dxfId="6244" priority="168" operator="lessThan">
      <formula>0</formula>
    </cfRule>
  </conditionalFormatting>
  <conditionalFormatting sqref="AQ79">
    <cfRule type="cellIs" dxfId="6243" priority="167" operator="lessThan">
      <formula>0</formula>
    </cfRule>
  </conditionalFormatting>
  <conditionalFormatting sqref="AQ79">
    <cfRule type="cellIs" dxfId="6242" priority="166" operator="lessThan">
      <formula>0</formula>
    </cfRule>
  </conditionalFormatting>
  <conditionalFormatting sqref="AQ79">
    <cfRule type="cellIs" dxfId="6241" priority="165" operator="lessThan">
      <formula>0</formula>
    </cfRule>
  </conditionalFormatting>
  <conditionalFormatting sqref="AQ79">
    <cfRule type="cellIs" dxfId="6240" priority="164" operator="lessThan">
      <formula>0</formula>
    </cfRule>
  </conditionalFormatting>
  <conditionalFormatting sqref="AQ79">
    <cfRule type="cellIs" dxfId="6239" priority="163" operator="lessThan">
      <formula>0</formula>
    </cfRule>
  </conditionalFormatting>
  <conditionalFormatting sqref="AQ79">
    <cfRule type="cellIs" dxfId="6238" priority="162" operator="lessThan">
      <formula>0</formula>
    </cfRule>
  </conditionalFormatting>
  <conditionalFormatting sqref="AQ79">
    <cfRule type="cellIs" dxfId="6237" priority="161" operator="lessThan">
      <formula>0</formula>
    </cfRule>
  </conditionalFormatting>
  <conditionalFormatting sqref="AQ79">
    <cfRule type="cellIs" dxfId="6236" priority="160" operator="lessThan">
      <formula>0</formula>
    </cfRule>
  </conditionalFormatting>
  <conditionalFormatting sqref="AQ79">
    <cfRule type="cellIs" dxfId="6235" priority="159" operator="lessThan">
      <formula>0</formula>
    </cfRule>
  </conditionalFormatting>
  <conditionalFormatting sqref="AQ79">
    <cfRule type="cellIs" dxfId="6234" priority="158" operator="lessThan">
      <formula>0</formula>
    </cfRule>
  </conditionalFormatting>
  <conditionalFormatting sqref="AQ79">
    <cfRule type="cellIs" dxfId="6233" priority="157" operator="lessThan">
      <formula>0</formula>
    </cfRule>
  </conditionalFormatting>
  <conditionalFormatting sqref="AQ79">
    <cfRule type="cellIs" dxfId="6232" priority="156" operator="lessThan">
      <formula>0</formula>
    </cfRule>
  </conditionalFormatting>
  <conditionalFormatting sqref="AQ79">
    <cfRule type="cellIs" dxfId="6231" priority="155" operator="lessThan">
      <formula>0</formula>
    </cfRule>
  </conditionalFormatting>
  <conditionalFormatting sqref="AQ79">
    <cfRule type="cellIs" dxfId="6230" priority="154" operator="lessThan">
      <formula>0</formula>
    </cfRule>
  </conditionalFormatting>
  <conditionalFormatting sqref="AQ79">
    <cfRule type="cellIs" dxfId="6229" priority="153" operator="lessThan">
      <formula>0</formula>
    </cfRule>
  </conditionalFormatting>
  <conditionalFormatting sqref="AQ79">
    <cfRule type="cellIs" dxfId="6228" priority="152" operator="lessThan">
      <formula>0</formula>
    </cfRule>
  </conditionalFormatting>
  <conditionalFormatting sqref="AQ79">
    <cfRule type="cellIs" dxfId="6227" priority="151" operator="lessThan">
      <formula>0</formula>
    </cfRule>
  </conditionalFormatting>
  <conditionalFormatting sqref="AQ79">
    <cfRule type="cellIs" dxfId="6226" priority="150" operator="lessThan">
      <formula>0</formula>
    </cfRule>
  </conditionalFormatting>
  <conditionalFormatting sqref="AQ79">
    <cfRule type="cellIs" dxfId="6225" priority="149" operator="lessThan">
      <formula>0</formula>
    </cfRule>
  </conditionalFormatting>
  <conditionalFormatting sqref="AQ79">
    <cfRule type="cellIs" dxfId="6224" priority="148" operator="lessThan">
      <formula>0</formula>
    </cfRule>
  </conditionalFormatting>
  <conditionalFormatting sqref="AQ79">
    <cfRule type="cellIs" dxfId="6223" priority="147" operator="lessThan">
      <formula>0</formula>
    </cfRule>
  </conditionalFormatting>
  <conditionalFormatting sqref="AQ79">
    <cfRule type="cellIs" dxfId="6222" priority="146" operator="lessThan">
      <formula>0</formula>
    </cfRule>
  </conditionalFormatting>
  <conditionalFormatting sqref="AQ79">
    <cfRule type="cellIs" dxfId="6221" priority="145" operator="lessThan">
      <formula>0</formula>
    </cfRule>
  </conditionalFormatting>
  <conditionalFormatting sqref="AQ79">
    <cfRule type="cellIs" dxfId="6220" priority="144" operator="lessThan">
      <formula>0</formula>
    </cfRule>
  </conditionalFormatting>
  <conditionalFormatting sqref="AQ79">
    <cfRule type="cellIs" dxfId="6219" priority="143" operator="lessThan">
      <formula>0</formula>
    </cfRule>
  </conditionalFormatting>
  <conditionalFormatting sqref="AQ79">
    <cfRule type="cellIs" dxfId="6218" priority="142" operator="lessThan">
      <formula>0</formula>
    </cfRule>
  </conditionalFormatting>
  <conditionalFormatting sqref="AQ79">
    <cfRule type="cellIs" dxfId="6217" priority="141" operator="lessThan">
      <formula>0</formula>
    </cfRule>
  </conditionalFormatting>
  <conditionalFormatting sqref="AQ79">
    <cfRule type="cellIs" dxfId="6216" priority="140" operator="lessThan">
      <formula>0</formula>
    </cfRule>
  </conditionalFormatting>
  <conditionalFormatting sqref="AQ79">
    <cfRule type="cellIs" dxfId="6215" priority="139" operator="lessThan">
      <formula>0</formula>
    </cfRule>
  </conditionalFormatting>
  <conditionalFormatting sqref="AQ79">
    <cfRule type="cellIs" dxfId="6214" priority="138" operator="lessThan">
      <formula>0</formula>
    </cfRule>
  </conditionalFormatting>
  <conditionalFormatting sqref="AQ79">
    <cfRule type="cellIs" dxfId="6213" priority="137" operator="lessThan">
      <formula>0</formula>
    </cfRule>
  </conditionalFormatting>
  <conditionalFormatting sqref="AQ79">
    <cfRule type="cellIs" dxfId="6212" priority="121" operator="lessThan">
      <formula>0</formula>
    </cfRule>
  </conditionalFormatting>
  <conditionalFormatting sqref="AQ79">
    <cfRule type="cellIs" dxfId="6211" priority="136" operator="lessThan">
      <formula>0</formula>
    </cfRule>
  </conditionalFormatting>
  <conditionalFormatting sqref="AQ79">
    <cfRule type="cellIs" dxfId="6210" priority="135" operator="lessThan">
      <formula>0</formula>
    </cfRule>
  </conditionalFormatting>
  <conditionalFormatting sqref="AQ79">
    <cfRule type="cellIs" dxfId="6209" priority="134" operator="lessThan">
      <formula>0</formula>
    </cfRule>
  </conditionalFormatting>
  <conditionalFormatting sqref="AQ79">
    <cfRule type="cellIs" dxfId="6208" priority="133" operator="lessThan">
      <formula>0</formula>
    </cfRule>
  </conditionalFormatting>
  <conditionalFormatting sqref="AQ79">
    <cfRule type="cellIs" dxfId="6207" priority="132" operator="lessThan">
      <formula>0</formula>
    </cfRule>
  </conditionalFormatting>
  <conditionalFormatting sqref="AQ79">
    <cfRule type="cellIs" dxfId="6206" priority="131" operator="lessThan">
      <formula>0</formula>
    </cfRule>
  </conditionalFormatting>
  <conditionalFormatting sqref="AQ79">
    <cfRule type="cellIs" dxfId="6205" priority="130" operator="lessThan">
      <formula>0</formula>
    </cfRule>
  </conditionalFormatting>
  <conditionalFormatting sqref="AQ79">
    <cfRule type="cellIs" dxfId="6204" priority="129" operator="lessThan">
      <formula>0</formula>
    </cfRule>
  </conditionalFormatting>
  <conditionalFormatting sqref="AQ79">
    <cfRule type="cellIs" dxfId="6203" priority="128" operator="lessThan">
      <formula>0</formula>
    </cfRule>
  </conditionalFormatting>
  <conditionalFormatting sqref="AQ79">
    <cfRule type="cellIs" dxfId="6202" priority="127" operator="lessThan">
      <formula>0</formula>
    </cfRule>
  </conditionalFormatting>
  <conditionalFormatting sqref="AQ79">
    <cfRule type="cellIs" dxfId="6201" priority="126" operator="lessThan">
      <formula>0</formula>
    </cfRule>
  </conditionalFormatting>
  <conditionalFormatting sqref="AQ79">
    <cfRule type="cellIs" dxfId="6200" priority="125" operator="lessThan">
      <formula>0</formula>
    </cfRule>
  </conditionalFormatting>
  <conditionalFormatting sqref="AQ79">
    <cfRule type="cellIs" dxfId="6199" priority="124" operator="lessThan">
      <formula>0</formula>
    </cfRule>
  </conditionalFormatting>
  <conditionalFormatting sqref="AQ79">
    <cfRule type="cellIs" dxfId="6198" priority="123" operator="lessThan">
      <formula>0</formula>
    </cfRule>
  </conditionalFormatting>
  <conditionalFormatting sqref="AQ79">
    <cfRule type="cellIs" dxfId="6197" priority="122" operator="lessThan">
      <formula>0</formula>
    </cfRule>
  </conditionalFormatting>
  <conditionalFormatting sqref="AQ78">
    <cfRule type="cellIs" dxfId="6196" priority="120" operator="lessThan">
      <formula>0</formula>
    </cfRule>
  </conditionalFormatting>
  <conditionalFormatting sqref="AQ78">
    <cfRule type="cellIs" dxfId="6195" priority="119" operator="lessThan">
      <formula>0</formula>
    </cfRule>
  </conditionalFormatting>
  <conditionalFormatting sqref="AQ80:AQ81">
    <cfRule type="cellIs" dxfId="6194" priority="118" operator="lessThan">
      <formula>0</formula>
    </cfRule>
  </conditionalFormatting>
  <conditionalFormatting sqref="AQ80:AQ81">
    <cfRule type="cellIs" dxfId="6193" priority="117" operator="lessThan">
      <formula>0</formula>
    </cfRule>
  </conditionalFormatting>
  <conditionalFormatting sqref="AQ80:AQ81">
    <cfRule type="cellIs" dxfId="6192" priority="116" operator="lessThan">
      <formula>0</formula>
    </cfRule>
  </conditionalFormatting>
  <conditionalFormatting sqref="AQ80:AQ81">
    <cfRule type="cellIs" dxfId="6191" priority="115" operator="lessThan">
      <formula>0</formula>
    </cfRule>
  </conditionalFormatting>
  <conditionalFormatting sqref="AQ80:AQ81">
    <cfRule type="cellIs" dxfId="6190" priority="114" operator="lessThan">
      <formula>0</formula>
    </cfRule>
  </conditionalFormatting>
  <conditionalFormatting sqref="AQ80:AQ81">
    <cfRule type="cellIs" dxfId="6189" priority="113" operator="lessThan">
      <formula>0</formula>
    </cfRule>
  </conditionalFormatting>
  <conditionalFormatting sqref="AQ80:AQ81">
    <cfRule type="cellIs" dxfId="6188" priority="112" operator="lessThan">
      <formula>0</formula>
    </cfRule>
  </conditionalFormatting>
  <conditionalFormatting sqref="AQ80:AQ81">
    <cfRule type="cellIs" dxfId="6187" priority="111" operator="lessThan">
      <formula>0</formula>
    </cfRule>
  </conditionalFormatting>
  <conditionalFormatting sqref="AQ78">
    <cfRule type="cellIs" dxfId="6186" priority="110" operator="lessThan">
      <formula>0</formula>
    </cfRule>
  </conditionalFormatting>
  <conditionalFormatting sqref="AQ78 AQ80:AQ81">
    <cfRule type="cellIs" dxfId="6185" priority="109" operator="lessThan">
      <formula>0</formula>
    </cfRule>
  </conditionalFormatting>
  <conditionalFormatting sqref="AQ78 AQ80:AQ81">
    <cfRule type="cellIs" dxfId="6184" priority="108" operator="lessThan">
      <formula>0</formula>
    </cfRule>
  </conditionalFormatting>
  <conditionalFormatting sqref="AQ78 AQ80:AQ81">
    <cfRule type="cellIs" dxfId="6183" priority="107" operator="lessThan">
      <formula>0</formula>
    </cfRule>
  </conditionalFormatting>
  <conditionalFormatting sqref="AQ78 AQ80:AQ81">
    <cfRule type="cellIs" dxfId="6182" priority="106" operator="lessThan">
      <formula>0</formula>
    </cfRule>
  </conditionalFormatting>
  <conditionalFormatting sqref="AQ80:AQ81">
    <cfRule type="cellIs" dxfId="6181" priority="105" operator="lessThan">
      <formula>0</formula>
    </cfRule>
  </conditionalFormatting>
  <conditionalFormatting sqref="AQ80:AQ81">
    <cfRule type="cellIs" dxfId="6180" priority="104" operator="lessThan">
      <formula>0</formula>
    </cfRule>
  </conditionalFormatting>
  <conditionalFormatting sqref="AQ80:AQ81">
    <cfRule type="cellIs" dxfId="6179" priority="103" operator="lessThan">
      <formula>0</formula>
    </cfRule>
  </conditionalFormatting>
  <conditionalFormatting sqref="AQ80:AQ81">
    <cfRule type="cellIs" dxfId="6178" priority="102" operator="lessThan">
      <formula>0</formula>
    </cfRule>
  </conditionalFormatting>
  <conditionalFormatting sqref="AQ79">
    <cfRule type="cellIs" dxfId="6177" priority="101" operator="lessThan">
      <formula>0</formula>
    </cfRule>
  </conditionalFormatting>
  <conditionalFormatting sqref="AQ79">
    <cfRule type="cellIs" dxfId="6176" priority="100" operator="lessThan">
      <formula>0</formula>
    </cfRule>
  </conditionalFormatting>
  <conditionalFormatting sqref="AQ79">
    <cfRule type="cellIs" dxfId="6175" priority="99" operator="lessThan">
      <formula>0</formula>
    </cfRule>
  </conditionalFormatting>
  <conditionalFormatting sqref="AQ79">
    <cfRule type="cellIs" dxfId="6174" priority="98" operator="lessThan">
      <formula>0</formula>
    </cfRule>
  </conditionalFormatting>
  <conditionalFormatting sqref="AQ79">
    <cfRule type="cellIs" dxfId="6173" priority="97" operator="lessThan">
      <formula>0</formula>
    </cfRule>
  </conditionalFormatting>
  <conditionalFormatting sqref="AQ79">
    <cfRule type="cellIs" dxfId="6172" priority="96" operator="lessThan">
      <formula>0</formula>
    </cfRule>
  </conditionalFormatting>
  <conditionalFormatting sqref="AQ79">
    <cfRule type="cellIs" dxfId="6171" priority="95" operator="lessThan">
      <formula>0</formula>
    </cfRule>
  </conditionalFormatting>
  <conditionalFormatting sqref="AQ79">
    <cfRule type="cellIs" dxfId="6170" priority="94" operator="lessThan">
      <formula>0</formula>
    </cfRule>
  </conditionalFormatting>
  <conditionalFormatting sqref="AQ79">
    <cfRule type="cellIs" dxfId="6169" priority="93" operator="lessThan">
      <formula>0</formula>
    </cfRule>
  </conditionalFormatting>
  <conditionalFormatting sqref="AQ79">
    <cfRule type="cellIs" dxfId="6168" priority="92" operator="lessThan">
      <formula>0</formula>
    </cfRule>
  </conditionalFormatting>
  <conditionalFormatting sqref="AQ79">
    <cfRule type="cellIs" dxfId="6167" priority="91" operator="lessThan">
      <formula>0</formula>
    </cfRule>
  </conditionalFormatting>
  <conditionalFormatting sqref="AQ79">
    <cfRule type="cellIs" dxfId="6166" priority="90" operator="lessThan">
      <formula>0</formula>
    </cfRule>
  </conditionalFormatting>
  <conditionalFormatting sqref="AQ79">
    <cfRule type="cellIs" dxfId="6165" priority="89" operator="lessThan">
      <formula>0</formula>
    </cfRule>
  </conditionalFormatting>
  <conditionalFormatting sqref="AQ79">
    <cfRule type="cellIs" dxfId="6164" priority="88" operator="lessThan">
      <formula>0</formula>
    </cfRule>
  </conditionalFormatting>
  <conditionalFormatting sqref="AQ79">
    <cfRule type="cellIs" dxfId="6163" priority="87" operator="lessThan">
      <formula>0</formula>
    </cfRule>
  </conditionalFormatting>
  <conditionalFormatting sqref="AQ79">
    <cfRule type="cellIs" dxfId="6162" priority="86" operator="lessThan">
      <formula>0</formula>
    </cfRule>
  </conditionalFormatting>
  <conditionalFormatting sqref="AQ79">
    <cfRule type="cellIs" dxfId="6161" priority="85" operator="lessThan">
      <formula>0</formula>
    </cfRule>
  </conditionalFormatting>
  <conditionalFormatting sqref="AQ79">
    <cfRule type="cellIs" dxfId="6160" priority="84" operator="lessThan">
      <formula>0</formula>
    </cfRule>
  </conditionalFormatting>
  <conditionalFormatting sqref="AQ79">
    <cfRule type="cellIs" dxfId="6159" priority="83" operator="lessThan">
      <formula>0</formula>
    </cfRule>
  </conditionalFormatting>
  <conditionalFormatting sqref="AQ79">
    <cfRule type="cellIs" dxfId="6158" priority="82" operator="lessThan">
      <formula>0</formula>
    </cfRule>
  </conditionalFormatting>
  <conditionalFormatting sqref="AQ79">
    <cfRule type="cellIs" dxfId="6157" priority="81" operator="lessThan">
      <formula>0</formula>
    </cfRule>
  </conditionalFormatting>
  <conditionalFormatting sqref="AQ79">
    <cfRule type="cellIs" dxfId="6156" priority="80" operator="lessThan">
      <formula>0</formula>
    </cfRule>
  </conditionalFormatting>
  <conditionalFormatting sqref="AQ79">
    <cfRule type="cellIs" dxfId="6155" priority="79" operator="lessThan">
      <formula>0</formula>
    </cfRule>
  </conditionalFormatting>
  <conditionalFormatting sqref="AQ79">
    <cfRule type="cellIs" dxfId="6154" priority="78" operator="lessThan">
      <formula>0</formula>
    </cfRule>
  </conditionalFormatting>
  <conditionalFormatting sqref="AQ79">
    <cfRule type="cellIs" dxfId="6153" priority="77" operator="lessThan">
      <formula>0</formula>
    </cfRule>
  </conditionalFormatting>
  <conditionalFormatting sqref="AQ79">
    <cfRule type="cellIs" dxfId="6152" priority="76" operator="lessThan">
      <formula>0</formula>
    </cfRule>
  </conditionalFormatting>
  <conditionalFormatting sqref="AQ79">
    <cfRule type="cellIs" dxfId="6151" priority="75" operator="lessThan">
      <formula>0</formula>
    </cfRule>
  </conditionalFormatting>
  <conditionalFormatting sqref="AQ79">
    <cfRule type="cellIs" dxfId="6150" priority="74" operator="lessThan">
      <formula>0</formula>
    </cfRule>
  </conditionalFormatting>
  <conditionalFormatting sqref="AQ79">
    <cfRule type="cellIs" dxfId="6149" priority="73" operator="lessThan">
      <formula>0</formula>
    </cfRule>
  </conditionalFormatting>
  <conditionalFormatting sqref="AQ79">
    <cfRule type="cellIs" dxfId="6148" priority="72" operator="lessThan">
      <formula>0</formula>
    </cfRule>
  </conditionalFormatting>
  <conditionalFormatting sqref="AQ79">
    <cfRule type="cellIs" dxfId="6147" priority="71" operator="lessThan">
      <formula>0</formula>
    </cfRule>
  </conditionalFormatting>
  <conditionalFormatting sqref="AQ79">
    <cfRule type="cellIs" dxfId="6146" priority="70" operator="lessThan">
      <formula>0</formula>
    </cfRule>
  </conditionalFormatting>
  <conditionalFormatting sqref="AQ79">
    <cfRule type="cellIs" dxfId="6145" priority="69" operator="lessThan">
      <formula>0</formula>
    </cfRule>
  </conditionalFormatting>
  <conditionalFormatting sqref="AQ79">
    <cfRule type="cellIs" dxfId="6144" priority="68" operator="lessThan">
      <formula>0</formula>
    </cfRule>
  </conditionalFormatting>
  <conditionalFormatting sqref="AQ79">
    <cfRule type="cellIs" dxfId="6143" priority="67" operator="lessThan">
      <formula>0</formula>
    </cfRule>
  </conditionalFormatting>
  <conditionalFormatting sqref="AQ79">
    <cfRule type="cellIs" dxfId="6142" priority="66" operator="lessThan">
      <formula>0</formula>
    </cfRule>
  </conditionalFormatting>
  <conditionalFormatting sqref="AQ79">
    <cfRule type="cellIs" dxfId="6141" priority="65" operator="lessThan">
      <formula>0</formula>
    </cfRule>
  </conditionalFormatting>
  <conditionalFormatting sqref="AQ79">
    <cfRule type="cellIs" dxfId="6140" priority="64" operator="lessThan">
      <formula>0</formula>
    </cfRule>
  </conditionalFormatting>
  <conditionalFormatting sqref="AQ79">
    <cfRule type="cellIs" dxfId="6139" priority="63" operator="lessThan">
      <formula>0</formula>
    </cfRule>
  </conditionalFormatting>
  <conditionalFormatting sqref="AQ79">
    <cfRule type="cellIs" dxfId="6138" priority="62" operator="lessThan">
      <formula>0</formula>
    </cfRule>
  </conditionalFormatting>
  <conditionalFormatting sqref="AQ79">
    <cfRule type="cellIs" dxfId="6137" priority="61" operator="lessThan">
      <formula>0</formula>
    </cfRule>
  </conditionalFormatting>
  <conditionalFormatting sqref="AQ79">
    <cfRule type="cellIs" dxfId="6136" priority="60" operator="lessThan">
      <formula>0</formula>
    </cfRule>
  </conditionalFormatting>
  <conditionalFormatting sqref="AQ79">
    <cfRule type="cellIs" dxfId="6135" priority="59" operator="lessThan">
      <formula>0</formula>
    </cfRule>
  </conditionalFormatting>
  <conditionalFormatting sqref="AQ79">
    <cfRule type="cellIs" dxfId="6134" priority="58" operator="lessThan">
      <formula>0</formula>
    </cfRule>
  </conditionalFormatting>
  <conditionalFormatting sqref="AQ79">
    <cfRule type="cellIs" dxfId="6133" priority="57" operator="lessThan">
      <formula>0</formula>
    </cfRule>
  </conditionalFormatting>
  <conditionalFormatting sqref="AQ79">
    <cfRule type="cellIs" dxfId="6132" priority="56" operator="lessThan">
      <formula>0</formula>
    </cfRule>
  </conditionalFormatting>
  <conditionalFormatting sqref="AQ79">
    <cfRule type="cellIs" dxfId="6131" priority="55" operator="lessThan">
      <formula>0</formula>
    </cfRule>
  </conditionalFormatting>
  <conditionalFormatting sqref="AQ79">
    <cfRule type="cellIs" dxfId="6130" priority="54" operator="lessThan">
      <formula>0</formula>
    </cfRule>
  </conditionalFormatting>
  <conditionalFormatting sqref="AQ79">
    <cfRule type="cellIs" dxfId="6129" priority="53" operator="lessThan">
      <formula>0</formula>
    </cfRule>
  </conditionalFormatting>
  <conditionalFormatting sqref="AQ79">
    <cfRule type="cellIs" dxfId="6128" priority="52" operator="lessThan">
      <formula>0</formula>
    </cfRule>
  </conditionalFormatting>
  <conditionalFormatting sqref="AQ79">
    <cfRule type="cellIs" dxfId="6127" priority="51" operator="lessThan">
      <formula>0</formula>
    </cfRule>
  </conditionalFormatting>
  <conditionalFormatting sqref="AQ79">
    <cfRule type="cellIs" dxfId="6126" priority="50" operator="lessThan">
      <formula>0</formula>
    </cfRule>
  </conditionalFormatting>
  <conditionalFormatting sqref="AQ79">
    <cfRule type="cellIs" dxfId="6125" priority="49" operator="lessThan">
      <formula>0</formula>
    </cfRule>
  </conditionalFormatting>
  <conditionalFormatting sqref="AQ79">
    <cfRule type="cellIs" dxfId="6124" priority="48" operator="lessThan">
      <formula>0</formula>
    </cfRule>
  </conditionalFormatting>
  <conditionalFormatting sqref="AQ79">
    <cfRule type="cellIs" dxfId="6123" priority="47" operator="lessThan">
      <formula>0</formula>
    </cfRule>
  </conditionalFormatting>
  <conditionalFormatting sqref="AQ79">
    <cfRule type="cellIs" dxfId="6122" priority="46" operator="lessThan">
      <formula>0</formula>
    </cfRule>
  </conditionalFormatting>
  <conditionalFormatting sqref="AQ79">
    <cfRule type="cellIs" dxfId="6121" priority="45" operator="lessThan">
      <formula>0</formula>
    </cfRule>
  </conditionalFormatting>
  <conditionalFormatting sqref="AQ79">
    <cfRule type="cellIs" dxfId="6120" priority="44" operator="lessThan">
      <formula>0</formula>
    </cfRule>
  </conditionalFormatting>
  <conditionalFormatting sqref="AQ79">
    <cfRule type="cellIs" dxfId="6119" priority="43" operator="lessThan">
      <formula>0</formula>
    </cfRule>
  </conditionalFormatting>
  <conditionalFormatting sqref="AQ79">
    <cfRule type="cellIs" dxfId="6118" priority="42" operator="lessThan">
      <formula>0</formula>
    </cfRule>
  </conditionalFormatting>
  <conditionalFormatting sqref="AQ79">
    <cfRule type="cellIs" dxfId="6117" priority="41" operator="lessThan">
      <formula>0</formula>
    </cfRule>
  </conditionalFormatting>
  <conditionalFormatting sqref="AQ79">
    <cfRule type="cellIs" dxfId="6116" priority="40" operator="lessThan">
      <formula>0</formula>
    </cfRule>
  </conditionalFormatting>
  <conditionalFormatting sqref="AQ79">
    <cfRule type="cellIs" dxfId="6115" priority="39" operator="lessThan">
      <formula>0</formula>
    </cfRule>
  </conditionalFormatting>
  <conditionalFormatting sqref="AQ79">
    <cfRule type="cellIs" dxfId="6114" priority="38" operator="lessThan">
      <formula>0</formula>
    </cfRule>
  </conditionalFormatting>
  <conditionalFormatting sqref="AQ79">
    <cfRule type="cellIs" dxfId="6113" priority="37" operator="lessThan">
      <formula>0</formula>
    </cfRule>
  </conditionalFormatting>
  <conditionalFormatting sqref="AQ79">
    <cfRule type="cellIs" dxfId="6112" priority="36" operator="lessThan">
      <formula>0</formula>
    </cfRule>
  </conditionalFormatting>
  <conditionalFormatting sqref="AQ79">
    <cfRule type="cellIs" dxfId="6111" priority="35" operator="lessThan">
      <formula>0</formula>
    </cfRule>
  </conditionalFormatting>
  <conditionalFormatting sqref="AQ79">
    <cfRule type="cellIs" dxfId="6110" priority="34" operator="lessThan">
      <formula>0</formula>
    </cfRule>
  </conditionalFormatting>
  <conditionalFormatting sqref="AQ79">
    <cfRule type="cellIs" dxfId="6109" priority="33" operator="lessThan">
      <formula>0</formula>
    </cfRule>
  </conditionalFormatting>
  <conditionalFormatting sqref="AQ79">
    <cfRule type="cellIs" dxfId="6108" priority="32" operator="lessThan">
      <formula>0</formula>
    </cfRule>
  </conditionalFormatting>
  <conditionalFormatting sqref="AQ79">
    <cfRule type="cellIs" dxfId="6107" priority="31" operator="lessThan">
      <formula>0</formula>
    </cfRule>
  </conditionalFormatting>
  <conditionalFormatting sqref="AQ79">
    <cfRule type="cellIs" dxfId="6106" priority="30" operator="lessThan">
      <formula>0</formula>
    </cfRule>
  </conditionalFormatting>
  <conditionalFormatting sqref="AQ79">
    <cfRule type="cellIs" dxfId="6105" priority="29" operator="lessThan">
      <formula>0</formula>
    </cfRule>
  </conditionalFormatting>
  <conditionalFormatting sqref="AQ79">
    <cfRule type="cellIs" dxfId="6104" priority="28" operator="lessThan">
      <formula>0</formula>
    </cfRule>
  </conditionalFormatting>
  <conditionalFormatting sqref="AQ79">
    <cfRule type="cellIs" dxfId="6103" priority="27" operator="lessThan">
      <formula>0</formula>
    </cfRule>
  </conditionalFormatting>
  <conditionalFormatting sqref="AQ79">
    <cfRule type="cellIs" dxfId="6102" priority="26" operator="lessThan">
      <formula>0</formula>
    </cfRule>
  </conditionalFormatting>
  <conditionalFormatting sqref="AQ79">
    <cfRule type="cellIs" dxfId="6101" priority="25" operator="lessThan">
      <formula>0</formula>
    </cfRule>
  </conditionalFormatting>
  <conditionalFormatting sqref="AQ79">
    <cfRule type="cellIs" dxfId="6100" priority="24" operator="lessThan">
      <formula>0</formula>
    </cfRule>
  </conditionalFormatting>
  <conditionalFormatting sqref="AQ79">
    <cfRule type="cellIs" dxfId="6099" priority="23" operator="lessThan">
      <formula>0</formula>
    </cfRule>
  </conditionalFormatting>
  <conditionalFormatting sqref="AQ79">
    <cfRule type="cellIs" dxfId="6098" priority="22" operator="lessThan">
      <formula>0</formula>
    </cfRule>
  </conditionalFormatting>
  <conditionalFormatting sqref="AQ79">
    <cfRule type="cellIs" dxfId="6097" priority="6" operator="lessThan">
      <formula>0</formula>
    </cfRule>
  </conditionalFormatting>
  <conditionalFormatting sqref="AQ79">
    <cfRule type="cellIs" dxfId="6096" priority="21" operator="lessThan">
      <formula>0</formula>
    </cfRule>
  </conditionalFormatting>
  <conditionalFormatting sqref="AQ79">
    <cfRule type="cellIs" dxfId="6095" priority="20" operator="lessThan">
      <formula>0</formula>
    </cfRule>
  </conditionalFormatting>
  <conditionalFormatting sqref="AQ79">
    <cfRule type="cellIs" dxfId="6094" priority="19" operator="lessThan">
      <formula>0</formula>
    </cfRule>
  </conditionalFormatting>
  <conditionalFormatting sqref="AQ79">
    <cfRule type="cellIs" dxfId="6093" priority="18" operator="lessThan">
      <formula>0</formula>
    </cfRule>
  </conditionalFormatting>
  <conditionalFormatting sqref="AQ79">
    <cfRule type="cellIs" dxfId="6092" priority="17" operator="lessThan">
      <formula>0</formula>
    </cfRule>
  </conditionalFormatting>
  <conditionalFormatting sqref="AQ79">
    <cfRule type="cellIs" dxfId="6091" priority="16" operator="lessThan">
      <formula>0</formula>
    </cfRule>
  </conditionalFormatting>
  <conditionalFormatting sqref="AQ79">
    <cfRule type="cellIs" dxfId="6090" priority="15" operator="lessThan">
      <formula>0</formula>
    </cfRule>
  </conditionalFormatting>
  <conditionalFormatting sqref="AQ79">
    <cfRule type="cellIs" dxfId="6089" priority="14" operator="lessThan">
      <formula>0</formula>
    </cfRule>
  </conditionalFormatting>
  <conditionalFormatting sqref="AQ79">
    <cfRule type="cellIs" dxfId="6088" priority="13" operator="lessThan">
      <formula>0</formula>
    </cfRule>
  </conditionalFormatting>
  <conditionalFormatting sqref="AQ79">
    <cfRule type="cellIs" dxfId="6087" priority="12" operator="lessThan">
      <formula>0</formula>
    </cfRule>
  </conditionalFormatting>
  <conditionalFormatting sqref="AQ79">
    <cfRule type="cellIs" dxfId="6086" priority="11" operator="lessThan">
      <formula>0</formula>
    </cfRule>
  </conditionalFormatting>
  <conditionalFormatting sqref="AQ79">
    <cfRule type="cellIs" dxfId="6085" priority="10" operator="lessThan">
      <formula>0</formula>
    </cfRule>
  </conditionalFormatting>
  <conditionalFormatting sqref="AQ79">
    <cfRule type="cellIs" dxfId="6084" priority="9" operator="lessThan">
      <formula>0</formula>
    </cfRule>
  </conditionalFormatting>
  <conditionalFormatting sqref="AQ79">
    <cfRule type="cellIs" dxfId="6083" priority="8" operator="lessThan">
      <formula>0</formula>
    </cfRule>
  </conditionalFormatting>
  <conditionalFormatting sqref="AQ79">
    <cfRule type="cellIs" dxfId="6082" priority="7" operator="lessThan">
      <formula>0</formula>
    </cfRule>
  </conditionalFormatting>
  <conditionalFormatting sqref="X79">
    <cfRule type="iconSet" priority="5">
      <iconSet>
        <cfvo type="percent" val="0"/>
        <cfvo type="percent" val="&quot;$I$6&quot;"/>
        <cfvo type="percent" val="#REF!"/>
      </iconSet>
    </cfRule>
  </conditionalFormatting>
  <conditionalFormatting sqref="X80">
    <cfRule type="cellIs" dxfId="6081" priority="4" operator="lessThan">
      <formula>0</formula>
    </cfRule>
  </conditionalFormatting>
  <conditionalFormatting sqref="X78:X81">
    <cfRule type="cellIs" dxfId="6080" priority="3" operator="lessThan">
      <formula>0</formula>
    </cfRule>
  </conditionalFormatting>
  <conditionalFormatting sqref="J12">
    <cfRule type="cellIs" dxfId="6079" priority="2" operator="greaterThan">
      <formula>0</formula>
    </cfRule>
  </conditionalFormatting>
  <conditionalFormatting sqref="J28">
    <cfRule type="cellIs" dxfId="6078" priority="1" operator="greater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330" id="{836DF20E-5919-4C9B-954D-E167B2E0853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1323" id="{F2553390-6634-4B97-B8E0-466CB633544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1319" id="{462129E9-488C-4809-94E6-9297AEEB7C7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1313" id="{08EB297F-160B-42B1-867F-B9B0EAA6089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1309" id="{87EE884B-5D41-4924-830B-8B35C2EAF7A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1305" id="{C2E6D343-3A9F-4086-AB14-5F7F895957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  <x14:conditionalFormatting xmlns:xm="http://schemas.microsoft.com/office/excel/2006/main">
          <x14:cfRule type="iconSet" priority="1302" id="{2D8C4C5C-FF9C-4162-B2AB-6983EDCFA9F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1295" id="{642EFA0F-7F4D-498C-9120-35927BA0ED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1288" id="{241B9007-9F0D-414B-80D4-ECD9C694E83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1281" id="{ED8B5DFC-1B05-401B-8FF1-367111841C9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1274" id="{5E4D8C4E-4DD0-4629-88A7-6769382F85C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1268" id="{939BD210-0058-4B71-9195-785478C3693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1261" id="{F90E9456-B315-4B72-94ED-34C62E9F9DA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1232" id="{F1B77AB7-3B3B-4A88-8CF1-110AD968F3A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1224" id="{52C386D0-D1F7-454C-9844-8F75C7B919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1217" id="{D8758600-DE62-42CF-A54A-B73D1F56C40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1109" id="{10069A66-6A1F-4F34-B52C-0208F1101B8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954" id="{7C2F7FEC-D403-4AE2-BAAD-7E99483E2D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617" id="{1D0A787B-F515-4EFB-9203-2D2C13588F0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485" id="{222A8567-B4C2-4487-9392-A515CA6B81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242" id="{7299753B-20EC-4909-88A2-257DE34B85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85"/>
  <sheetViews>
    <sheetView zoomScale="19" zoomScaleNormal="19" zoomScaleSheetLayoutView="10" workbookViewId="0">
      <pane xSplit="11" ySplit="5" topLeftCell="Z6" activePane="bottomRight" state="frozen"/>
      <selection pane="topRight" activeCell="L1" sqref="L1"/>
      <selection pane="bottomLeft" activeCell="A6" sqref="A6"/>
      <selection pane="bottomRight" activeCell="AW7" sqref="AW7:BF7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0.74744046191960367</v>
      </c>
      <c r="AE2" s="520"/>
      <c r="AH2" s="183">
        <f>+SUBTOTAL(9,AH6:AH107)</f>
        <v>250260</v>
      </c>
      <c r="AI2" s="183">
        <f>+SUBTOTAL(9,AI6:AI107)</f>
        <v>187054.45</v>
      </c>
      <c r="AT2" s="91">
        <v>0.59793648334624327</v>
      </c>
    </row>
    <row r="3" spans="2:58" ht="94.5" customHeight="1" x14ac:dyDescent="0.9">
      <c r="B3" s="496"/>
      <c r="C3" s="496"/>
      <c r="D3" s="496"/>
      <c r="E3" s="496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496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+SUMIF($L$6:$L$90,AA3,$AA$6:$AA$90)</f>
        <v>5965</v>
      </c>
      <c r="AB4" s="144" t="s">
        <v>28</v>
      </c>
      <c r="AC4" s="145"/>
      <c r="AD4" s="524" t="str">
        <f ca="1">RIGHT(CELL("filename",A1),LEN(CELL("filename",A1))-FIND("]",CELL("filename",A1)))</f>
        <v>17-01-2026</v>
      </c>
      <c r="AE4" s="524"/>
      <c r="AF4" s="397">
        <f>+SUM(AF6:AF95)</f>
        <v>4171</v>
      </c>
      <c r="AG4" s="397"/>
      <c r="AH4" s="98"/>
      <c r="AI4" s="98"/>
      <c r="AJ4" s="398">
        <v>7.25</v>
      </c>
      <c r="AQ4" s="437">
        <f>+SUBTOTAL(9,AQ6:AQ91)</f>
        <v>53.5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494</v>
      </c>
      <c r="H6" s="106"/>
      <c r="I6" s="106"/>
      <c r="J6" s="107" t="s">
        <v>20</v>
      </c>
      <c r="K6" s="108" t="s">
        <v>23</v>
      </c>
      <c r="L6" s="100" t="s">
        <v>21</v>
      </c>
      <c r="M6" s="448">
        <v>50</v>
      </c>
      <c r="N6" s="448">
        <v>100</v>
      </c>
      <c r="O6" s="448">
        <v>50</v>
      </c>
      <c r="P6" s="448">
        <v>50</v>
      </c>
      <c r="Q6" s="448">
        <v>50</v>
      </c>
      <c r="R6" s="448">
        <v>50</v>
      </c>
      <c r="S6" s="448"/>
      <c r="T6" s="448"/>
      <c r="U6" s="448"/>
      <c r="V6" s="448"/>
      <c r="W6" s="448"/>
      <c r="X6" s="447">
        <f>IF(AQ7="","",SUM(M6:W6)-(-(AQ7-SUM(M6:W6))/$AQ$3)*SUM($M$2:$W$2))</f>
        <v>350</v>
      </c>
      <c r="Y6" s="466">
        <v>-415.25</v>
      </c>
      <c r="Z6" s="533">
        <f>+X8</f>
        <v>-108.25</v>
      </c>
      <c r="AA6" s="447">
        <f t="shared" ref="AA6:AA67" si="0">+SUM(L6:W6)</f>
        <v>350</v>
      </c>
      <c r="AB6" s="343">
        <f>+AC6+AA6</f>
        <v>983</v>
      </c>
      <c r="AC6" s="343">
        <v>633</v>
      </c>
      <c r="AD6" s="344"/>
      <c r="AE6" s="345"/>
      <c r="AF6" s="346"/>
      <c r="AG6" s="347">
        <f t="shared" ref="AG6:AG73" si="1">TRUNC(AF6)+(AF6-TRUNC(AF6))*60/100</f>
        <v>0</v>
      </c>
      <c r="AH6" s="341">
        <f t="shared" ref="AH6:AH73" si="2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493</v>
      </c>
      <c r="E7" s="111"/>
      <c r="F7" s="111" t="s">
        <v>35</v>
      </c>
      <c r="G7" s="541" t="str">
        <f>+G6</f>
        <v>2395-582-401</v>
      </c>
      <c r="H7" s="111"/>
      <c r="I7" s="111" t="s">
        <v>33</v>
      </c>
      <c r="J7" s="113">
        <v>41.85</v>
      </c>
      <c r="K7" s="130">
        <v>57</v>
      </c>
      <c r="L7" s="101" t="s">
        <v>17</v>
      </c>
      <c r="M7" s="214">
        <v>40</v>
      </c>
      <c r="N7" s="214">
        <v>40</v>
      </c>
      <c r="O7" s="214">
        <v>40</v>
      </c>
      <c r="P7" s="214">
        <v>40</v>
      </c>
      <c r="Q7" s="214">
        <v>40</v>
      </c>
      <c r="R7" s="214">
        <v>45</v>
      </c>
      <c r="S7" s="214">
        <v>45</v>
      </c>
      <c r="T7" s="214">
        <v>15</v>
      </c>
      <c r="U7" s="214"/>
      <c r="V7" s="214"/>
      <c r="W7" s="214"/>
      <c r="X7" s="123">
        <f>+IF(H8="s",0,IF(AA7=0,0,IF(COUNTA(M7:W7)=AK9+0.75,SUMIF($C:$C,B7,$AA:$AA)/AK9,SUMIF($C:$C,B7,$AA:$AA)/(COUNTA(M7:W7)))))</f>
        <v>42.068965517241381</v>
      </c>
      <c r="Y7" s="466"/>
      <c r="Z7" s="534"/>
      <c r="AA7" s="134">
        <f t="shared" si="0"/>
        <v>305</v>
      </c>
      <c r="AB7" s="354">
        <f>+AA7+AC7</f>
        <v>360</v>
      </c>
      <c r="AC7" s="354">
        <v>55</v>
      </c>
      <c r="AD7" s="355">
        <f>+AB6-AB7</f>
        <v>623</v>
      </c>
      <c r="AE7" s="131">
        <f>+IF(((AA8+(AA9/2))*60)=0,"",(J7*AA7)/((AA8+(AA9/2))*60))</f>
        <v>0.61774954627949186</v>
      </c>
      <c r="AF7" s="347">
        <f>+AA8+AA9/2</f>
        <v>344.375</v>
      </c>
      <c r="AG7" s="347">
        <f t="shared" si="1"/>
        <v>344.22500000000002</v>
      </c>
      <c r="AH7" s="341">
        <f t="shared" si="2"/>
        <v>20662.5</v>
      </c>
      <c r="AI7" s="341">
        <f>+AA7*J7</f>
        <v>12764.25</v>
      </c>
      <c r="AJ7" s="356">
        <f>+AA7-(AF7*K7/K9)</f>
        <v>-112.64627659574467</v>
      </c>
      <c r="AK7" s="348"/>
      <c r="AL7" s="349"/>
      <c r="AM7" s="341"/>
      <c r="AN7" s="341"/>
      <c r="AO7" s="341"/>
      <c r="AP7" s="341"/>
      <c r="AQ7" s="339">
        <f t="shared" ref="AQ7" si="3">IF(AR7=0,"",AT7-(($AQ$3*K7)+($AQ$3*K7)*AR7)+AA6)</f>
        <v>-69.5</v>
      </c>
      <c r="AR7" s="434">
        <v>1</v>
      </c>
      <c r="AT7" s="390">
        <v>578</v>
      </c>
      <c r="AV7" s="390">
        <f>+AT7-AD7</f>
        <v>-45</v>
      </c>
      <c r="AW7" s="535" t="s">
        <v>484</v>
      </c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2395-582-401</v>
      </c>
      <c r="H8" s="411" t="s">
        <v>412</v>
      </c>
      <c r="I8" s="113">
        <f>+IFERROR(IF(K9=0,0,IF((LOOKUP(2,1/(M8:W8&lt;&gt;""),M8:W8)-K9)&lt;0,0,IF(K9=0,"",LOOKUP(2,1/(M8:W8&lt;&gt;""),M8:W8)-K9))),0)</f>
        <v>0</v>
      </c>
      <c r="J8" s="113"/>
      <c r="K8" s="114" t="s">
        <v>22</v>
      </c>
      <c r="L8" s="102" t="s">
        <v>18</v>
      </c>
      <c r="M8" s="448">
        <v>47</v>
      </c>
      <c r="N8" s="448">
        <v>47</v>
      </c>
      <c r="O8" s="448">
        <v>47</v>
      </c>
      <c r="P8" s="448">
        <v>47</v>
      </c>
      <c r="Q8" s="448">
        <v>47</v>
      </c>
      <c r="R8" s="448">
        <v>47</v>
      </c>
      <c r="S8" s="448">
        <v>47</v>
      </c>
      <c r="T8" s="448">
        <v>47</v>
      </c>
      <c r="U8" s="448"/>
      <c r="V8" s="448"/>
      <c r="W8" s="448"/>
      <c r="X8" s="160">
        <f>+IF(H8="l",IF(COUNTA(M7:W7)=AK9+0.75,AA7-K7*AK9,AA7-(K7*COUNTA(M7:W7))),IF(H8="s",0,IF(COUNTA(M7:W7)=AK9+0.75,SUMIF($C:$C,B7,$AA:$AA)-K7*AK9,SUMIF($C:$C,B7,$AA:$AA)-K7*COUNTA(M7:W7))))</f>
        <v>-108.25</v>
      </c>
      <c r="Y8" s="466"/>
      <c r="Z8" s="534"/>
      <c r="AA8" s="498">
        <f>+SUM(M8:W8)-T8*0.75</f>
        <v>340.75</v>
      </c>
      <c r="AB8" s="360"/>
      <c r="AC8" s="360"/>
      <c r="AD8" s="362"/>
      <c r="AE8" s="363"/>
      <c r="AF8" s="346"/>
      <c r="AG8" s="347">
        <f t="shared" si="1"/>
        <v>0</v>
      </c>
      <c r="AH8" s="341">
        <f t="shared" si="2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340.75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2395-582-401</v>
      </c>
      <c r="H9" s="117"/>
      <c r="I9" s="442"/>
      <c r="J9" s="165">
        <f>+IF(K9="","",IF(K7=0,"",(K7*J7)/(K9*60)))</f>
        <v>0.84590425531914903</v>
      </c>
      <c r="K9" s="118">
        <v>47</v>
      </c>
      <c r="L9" s="104" t="s">
        <v>19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>
        <v>1</v>
      </c>
      <c r="U9" s="216"/>
      <c r="V9" s="216"/>
      <c r="W9" s="216"/>
      <c r="X9" s="173"/>
      <c r="Y9" s="467">
        <v>10.050000000000001</v>
      </c>
      <c r="Z9" s="371">
        <f>+IF(COUNTA(M7:W7)=$AJ$4+0.25,$AJ$4-(AA7/K7),COUNTA(M7:W7)-(AA7/K7))+Y9</f>
        <v>12.699122807017545</v>
      </c>
      <c r="AA9" s="465">
        <f>+SUM(M9:W9)-T9*0.75</f>
        <v>7.25</v>
      </c>
      <c r="AB9" s="367"/>
      <c r="AC9" s="367"/>
      <c r="AD9" s="368">
        <f>+IFERROR(AD7/(K7*$AQ$3),"")</f>
        <v>1.249122807017544</v>
      </c>
      <c r="AE9" s="369"/>
      <c r="AF9" s="347"/>
      <c r="AG9" s="347">
        <f t="shared" si="1"/>
        <v>0</v>
      </c>
      <c r="AH9" s="341">
        <f t="shared" si="2"/>
        <v>0</v>
      </c>
      <c r="AI9" s="341"/>
      <c r="AJ9" s="356"/>
      <c r="AK9" s="370">
        <f>+$AJ$4</f>
        <v>7.25</v>
      </c>
      <c r="AL9" s="349">
        <f>+IF(AK9=7.75,SUM(M9:S9)+T9*0.75,IF(AK9=8,SUM(M9:T9),IF(AK9=7.25,SUM(M9:S9)+T9*0.25,IF(AK9=8.25,SUM(M9:T9)+U9*0.25,IF(AK9=8.75,SUM(M9:T9)+U9*0.75,0)))))</f>
        <v>7.25</v>
      </c>
      <c r="AM9" s="341">
        <f>+AL9-AA9</f>
        <v>0</v>
      </c>
      <c r="AN9" s="341"/>
      <c r="AO9" s="341"/>
      <c r="AP9" s="341"/>
      <c r="AQ9" s="369"/>
      <c r="AR9" s="434"/>
      <c r="AT9" s="390">
        <v>1.1588972431077693</v>
      </c>
      <c r="AV9" s="390"/>
    </row>
    <row r="10" spans="2:58" s="98" customFormat="1" ht="62.25" customHeight="1" thickTop="1" x14ac:dyDescent="0.9">
      <c r="B10" s="342">
        <f>+B11</f>
        <v>2</v>
      </c>
      <c r="C10" s="405"/>
      <c r="D10" s="106"/>
      <c r="E10" s="106"/>
      <c r="F10" s="106"/>
      <c r="G10" s="540" t="s">
        <v>481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180</v>
      </c>
      <c r="N10" s="448">
        <v>180</v>
      </c>
      <c r="O10" s="448"/>
      <c r="P10" s="448">
        <v>60</v>
      </c>
      <c r="Q10" s="448"/>
      <c r="R10" s="448"/>
      <c r="S10" s="448"/>
      <c r="T10" s="448"/>
      <c r="U10" s="448"/>
      <c r="V10" s="448"/>
      <c r="W10" s="448"/>
      <c r="X10" s="447">
        <f t="shared" ref="X10" si="4">IF(AQ11="","",SUM(M10:W10)-(-(AQ11-SUM(M10:W10))/$AQ$3)*SUM($M$2:$W$2))</f>
        <v>420</v>
      </c>
      <c r="Y10" s="466">
        <v>0.75</v>
      </c>
      <c r="Z10" s="533">
        <f>+X12</f>
        <v>0.75</v>
      </c>
      <c r="AA10" s="447">
        <f t="shared" si="0"/>
        <v>420</v>
      </c>
      <c r="AB10" s="343">
        <f>+AC10+AA10</f>
        <v>4296</v>
      </c>
      <c r="AC10" s="343">
        <v>3876</v>
      </c>
      <c r="AD10" s="344"/>
      <c r="AE10" s="345"/>
      <c r="AF10" s="346"/>
      <c r="AG10" s="347">
        <f t="shared" si="1"/>
        <v>0</v>
      </c>
      <c r="AH10" s="341">
        <f t="shared" si="2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2</v>
      </c>
      <c r="C11" s="406">
        <f>+B11</f>
        <v>2</v>
      </c>
      <c r="D11" s="407" t="s">
        <v>480</v>
      </c>
      <c r="E11" s="111"/>
      <c r="F11" s="111" t="s">
        <v>35</v>
      </c>
      <c r="G11" s="541" t="str">
        <f t="shared" ref="G11:G13" si="5">+G10</f>
        <v>2396-593-600</v>
      </c>
      <c r="H11" s="111"/>
      <c r="I11" s="111" t="s">
        <v>33</v>
      </c>
      <c r="J11" s="113">
        <v>38.82</v>
      </c>
      <c r="K11" s="494">
        <v>61</v>
      </c>
      <c r="L11" s="101" t="s">
        <v>17</v>
      </c>
      <c r="M11" s="214">
        <v>56</v>
      </c>
      <c r="N11" s="214">
        <v>58</v>
      </c>
      <c r="O11" s="214">
        <v>63</v>
      </c>
      <c r="P11" s="214">
        <v>61</v>
      </c>
      <c r="Q11" s="214">
        <v>65</v>
      </c>
      <c r="R11" s="214">
        <v>63</v>
      </c>
      <c r="S11" s="214">
        <v>61</v>
      </c>
      <c r="T11" s="214">
        <v>16</v>
      </c>
      <c r="U11" s="214"/>
      <c r="V11" s="214"/>
      <c r="W11" s="214"/>
      <c r="X11" s="123">
        <f>+IF(H12="s",0,IF(AA11=0,0,IF(COUNTA(M11:W11)=AK13+0.75,SUMIF($C:$C,B11,$AA:$AA)/AK13,SUMIF($C:$C,B11,$AA:$AA)/(COUNTA(M11:W11)))))</f>
        <v>61.103448275862071</v>
      </c>
      <c r="Y11" s="466"/>
      <c r="Z11" s="534"/>
      <c r="AA11" s="134">
        <f t="shared" si="0"/>
        <v>443</v>
      </c>
      <c r="AB11" s="354">
        <f>+AA11+AC11</f>
        <v>3499</v>
      </c>
      <c r="AC11" s="354">
        <v>3056</v>
      </c>
      <c r="AD11" s="355">
        <f>+AB10-AB11</f>
        <v>797</v>
      </c>
      <c r="AE11" s="131">
        <f>+IF(((AA12+(AA13/2))*60)=0,"",(J11*AA11)/((AA12+(AA13/2))*60))</f>
        <v>0.89849843260188078</v>
      </c>
      <c r="AF11" s="347">
        <f>+AA12+AA13/2</f>
        <v>319</v>
      </c>
      <c r="AG11" s="347">
        <f t="shared" si="1"/>
        <v>319</v>
      </c>
      <c r="AH11" s="341">
        <f t="shared" si="2"/>
        <v>19140</v>
      </c>
      <c r="AI11" s="341">
        <f>+AA11*J11</f>
        <v>17197.259999999998</v>
      </c>
      <c r="AJ11" s="356">
        <f>+AA11-(AF11*K11/K13)</f>
        <v>-9.5348837209302246</v>
      </c>
      <c r="AK11" s="348"/>
      <c r="AL11" s="349"/>
      <c r="AM11" s="341"/>
      <c r="AN11" s="341"/>
      <c r="AO11" s="341"/>
      <c r="AP11" s="341"/>
      <c r="AQ11" s="339">
        <f>-420+AA10</f>
        <v>0</v>
      </c>
      <c r="AR11" s="434">
        <v>1.48</v>
      </c>
      <c r="AT11" s="390">
        <v>820</v>
      </c>
      <c r="AV11" s="390">
        <f>+AT11-AD11</f>
        <v>23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2</v>
      </c>
      <c r="C12" s="408"/>
      <c r="D12" s="184"/>
      <c r="E12" s="111"/>
      <c r="F12" s="409"/>
      <c r="G12" s="541" t="str">
        <f t="shared" si="5"/>
        <v>2396-593-600</v>
      </c>
      <c r="H12" s="411" t="s">
        <v>412</v>
      </c>
      <c r="I12" s="113">
        <f>+IFERROR(IF(K13=0,0,IF((LOOKUP(2,1/(M12:W12&lt;&gt;""),M12:W12)-K13)&lt;0,0,IF(K13=0,"",LOOKUP(2,1/(M12:W12&lt;&gt;""),M12:W12)-K13))),0)</f>
        <v>1</v>
      </c>
      <c r="J12" s="113">
        <v>3</v>
      </c>
      <c r="K12" s="114" t="s">
        <v>22</v>
      </c>
      <c r="L12" s="102" t="s">
        <v>18</v>
      </c>
      <c r="M12" s="448">
        <v>44</v>
      </c>
      <c r="N12" s="448">
        <v>44</v>
      </c>
      <c r="O12" s="448">
        <v>44</v>
      </c>
      <c r="P12" s="448">
        <v>44</v>
      </c>
      <c r="Q12" s="448">
        <v>44</v>
      </c>
      <c r="R12" s="448">
        <v>44</v>
      </c>
      <c r="S12" s="448">
        <v>44</v>
      </c>
      <c r="T12" s="448">
        <v>44</v>
      </c>
      <c r="U12" s="448"/>
      <c r="V12" s="448"/>
      <c r="W12" s="448"/>
      <c r="X12" s="160">
        <f>+IF(H12="l",IF(COUNTA(M11:W11)=AK13+0.75,AA11-K11*AK13,AA11-(K11*COUNTA(M11:W11))),IF(H12="s",0,IF(COUNTA(M11:W11)=AK13+0.75,SUMIF($C:$C,B11,$AA:$AA)-K11*AK13,SUMIF($C:$C,B11,$AA:$AA)-K11*COUNTA(M11:W11))))</f>
        <v>0.75</v>
      </c>
      <c r="Y12" s="466"/>
      <c r="Z12" s="534"/>
      <c r="AA12" s="498">
        <f t="shared" ref="AA12:AA13" si="6">+SUM(M12:W12)-T12*0.75</f>
        <v>319</v>
      </c>
      <c r="AB12" s="360"/>
      <c r="AC12" s="360"/>
      <c r="AD12" s="362"/>
      <c r="AE12" s="363"/>
      <c r="AF12" s="346"/>
      <c r="AG12" s="347">
        <f t="shared" si="1"/>
        <v>0</v>
      </c>
      <c r="AH12" s="341">
        <f t="shared" si="2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319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2</v>
      </c>
      <c r="C13" s="410"/>
      <c r="D13" s="174" t="s">
        <v>419</v>
      </c>
      <c r="E13" s="175"/>
      <c r="F13" s="175"/>
      <c r="G13" s="542" t="str">
        <f t="shared" si="5"/>
        <v>2396-593-600</v>
      </c>
      <c r="H13" s="117"/>
      <c r="I13" s="442"/>
      <c r="J13" s="165">
        <f>+IF(K13="","",IF(K11=0,"",(K11*J11)/(K13*60)))</f>
        <v>0.9178372093023256</v>
      </c>
      <c r="K13" s="118">
        <v>43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9.8341269841269856</v>
      </c>
      <c r="Z13" s="365">
        <v>9.8341269841269856</v>
      </c>
      <c r="AA13" s="465">
        <f t="shared" si="6"/>
        <v>0</v>
      </c>
      <c r="AB13" s="367"/>
      <c r="AC13" s="367"/>
      <c r="AD13" s="368">
        <f>+IFERROR(AD11/(K11*$AQ$3),"")</f>
        <v>1.4932084309133489</v>
      </c>
      <c r="AE13" s="369"/>
      <c r="AF13" s="347"/>
      <c r="AG13" s="347">
        <f t="shared" si="1"/>
        <v>0</v>
      </c>
      <c r="AH13" s="341">
        <f t="shared" si="2"/>
        <v>0</v>
      </c>
      <c r="AI13" s="341"/>
      <c r="AJ13" s="356"/>
      <c r="AK13" s="370">
        <f>+$AJ$4</f>
        <v>7.25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1.5362997658079625</v>
      </c>
      <c r="AV13" s="390"/>
    </row>
    <row r="14" spans="2:58" s="98" customFormat="1" ht="62.25" customHeight="1" thickTop="1" x14ac:dyDescent="0.9">
      <c r="B14" s="342">
        <f>+B15</f>
        <v>3</v>
      </c>
      <c r="C14" s="405"/>
      <c r="D14" s="106"/>
      <c r="E14" s="106"/>
      <c r="F14" s="106"/>
      <c r="G14" s="540" t="s">
        <v>489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210</v>
      </c>
      <c r="N14" s="448">
        <v>148</v>
      </c>
      <c r="O14" s="448">
        <v>140</v>
      </c>
      <c r="P14" s="448">
        <v>70</v>
      </c>
      <c r="Q14" s="448">
        <v>70</v>
      </c>
      <c r="R14" s="448"/>
      <c r="S14" s="448"/>
      <c r="T14" s="448"/>
      <c r="U14" s="448"/>
      <c r="V14" s="448"/>
      <c r="W14" s="448"/>
      <c r="X14" s="447">
        <f t="shared" ref="X14" si="7">IF(AQ15="","",SUM(M14:W14)-(-(AQ15-SUM(M14:W14))/$AQ$3)*SUM($M$2:$W$2))</f>
        <v>638</v>
      </c>
      <c r="Y14" s="466">
        <v>0</v>
      </c>
      <c r="Z14" s="533">
        <f>+X16</f>
        <v>0</v>
      </c>
      <c r="AA14" s="447">
        <f t="shared" si="0"/>
        <v>638</v>
      </c>
      <c r="AB14" s="343">
        <f>+AC14+AA14</f>
        <v>2591</v>
      </c>
      <c r="AC14" s="343">
        <v>1953</v>
      </c>
      <c r="AD14" s="344"/>
      <c r="AE14" s="345"/>
      <c r="AF14" s="346"/>
      <c r="AG14" s="347"/>
      <c r="AH14" s="341"/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3</v>
      </c>
      <c r="C15" s="406">
        <v>3</v>
      </c>
      <c r="D15" s="407" t="s">
        <v>490</v>
      </c>
      <c r="E15" s="111"/>
      <c r="F15" s="111" t="s">
        <v>475</v>
      </c>
      <c r="G15" s="541" t="str">
        <f>+G14</f>
        <v xml:space="preserve">PAULSON  </v>
      </c>
      <c r="H15" s="111"/>
      <c r="I15" s="111" t="s">
        <v>41</v>
      </c>
      <c r="J15" s="113"/>
      <c r="K15" s="130">
        <v>80</v>
      </c>
      <c r="L15" s="101" t="s">
        <v>17</v>
      </c>
      <c r="M15" s="214">
        <v>40</v>
      </c>
      <c r="N15" s="214">
        <v>60</v>
      </c>
      <c r="O15" s="214">
        <v>50</v>
      </c>
      <c r="P15" s="214">
        <v>70</v>
      </c>
      <c r="Q15" s="214">
        <v>70</v>
      </c>
      <c r="R15" s="214">
        <v>70</v>
      </c>
      <c r="S15" s="214">
        <v>70</v>
      </c>
      <c r="T15" s="214">
        <v>18</v>
      </c>
      <c r="U15" s="214"/>
      <c r="V15" s="214"/>
      <c r="W15" s="214"/>
      <c r="X15" s="123">
        <f>+IF(H16="s",0,IF(AA15=0,0,IF(COUNTA(M15:W15)=AK17+0.75,SUMIF($C:$C,B15,$AA:$AA)/AK17,SUMIF($C:$C,B15,$AA:$AA)/(COUNTA(M15:W15)))))</f>
        <v>0</v>
      </c>
      <c r="Y15" s="466"/>
      <c r="Z15" s="534"/>
      <c r="AA15" s="134">
        <f t="shared" si="0"/>
        <v>448</v>
      </c>
      <c r="AB15" s="354">
        <f>+AA15+AC15</f>
        <v>979</v>
      </c>
      <c r="AC15" s="354">
        <v>531</v>
      </c>
      <c r="AD15" s="355">
        <f>+AB14-AB15</f>
        <v>1612</v>
      </c>
      <c r="AE15" s="131" t="str">
        <f>+IF(((AA16+(AA17/2))*60)=0,"",(J15*AA15)/((AA16+(AA17/2))*60))</f>
        <v/>
      </c>
      <c r="AF15" s="347"/>
      <c r="AG15" s="347"/>
      <c r="AH15" s="341"/>
      <c r="AI15" s="341"/>
      <c r="AJ15" s="356"/>
      <c r="AK15" s="348"/>
      <c r="AL15" s="349"/>
      <c r="AM15" s="341"/>
      <c r="AN15" s="341"/>
      <c r="AO15" s="341"/>
      <c r="AP15" s="341"/>
      <c r="AQ15" s="339">
        <f t="shared" ref="AQ15" si="8">IF(AR15=0,"",AT15-(($AQ$3*K15)+($AQ$3*K15)*AR15)+AA14)</f>
        <v>310</v>
      </c>
      <c r="AR15" s="434">
        <v>1.5</v>
      </c>
      <c r="AT15" s="390">
        <v>1422</v>
      </c>
      <c r="AV15" s="390">
        <f t="shared" ref="AV15" si="9">+AT15-AD15</f>
        <v>-190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3</v>
      </c>
      <c r="C16" s="408"/>
      <c r="D16" s="184"/>
      <c r="E16" s="111">
        <f>+B15</f>
        <v>3</v>
      </c>
      <c r="F16" s="409"/>
      <c r="G16" s="541" t="str">
        <f>+G14</f>
        <v xml:space="preserve">PAULSON  </v>
      </c>
      <c r="H16" s="411" t="s">
        <v>414</v>
      </c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160">
        <f>+IF(H16="l",IF(COUNTA(M15:W15)=AK17+0.75,AA15-K15*AK17,AA15-(K15*COUNTA(M15:W15))),IF(H16="s",0,IF(COUNTA(M15:W15)=AK17+0.75,SUMIF($C:$C,B15,$AA:$AA)-K15*AK17,SUMIF($C:$C,B15,$AA:$AA)-K15*COUNTA(M15:W15))))</f>
        <v>0</v>
      </c>
      <c r="Y16" s="466"/>
      <c r="Z16" s="534"/>
      <c r="AA16" s="498">
        <f t="shared" ref="AA16:AA17" si="10">+SUM(M16:W16)-T16*0.75</f>
        <v>0</v>
      </c>
      <c r="AB16" s="360"/>
      <c r="AC16" s="360"/>
      <c r="AD16" s="362"/>
      <c r="AE16" s="363"/>
      <c r="AF16" s="346"/>
      <c r="AG16" s="347"/>
      <c r="AH16" s="341"/>
      <c r="AI16" s="341"/>
      <c r="AJ16" s="341"/>
      <c r="AK16" s="348"/>
      <c r="AL16" s="349"/>
      <c r="AM16" s="341"/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3</v>
      </c>
      <c r="C17" s="410"/>
      <c r="D17" s="174"/>
      <c r="E17" s="175">
        <f>+E16+100</f>
        <v>103</v>
      </c>
      <c r="F17" s="175"/>
      <c r="G17" s="542" t="str">
        <f>+G14</f>
        <v xml:space="preserve">PAULSON  </v>
      </c>
      <c r="H17" s="117"/>
      <c r="I17" s="442"/>
      <c r="J17" s="165" t="str">
        <f>+IF(K17="","",IF(K15=0,"",(K15*J15)/(K17*60)))</f>
        <v/>
      </c>
      <c r="K17" s="118"/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41.172727272727272</v>
      </c>
      <c r="Z17" s="371">
        <f>+IF(COUNTA(M15:W15)=$AJ$4+0.25,$AJ$4-(AA15/K15),COUNTA(M15:W15)-(AA15/K15))+Y17</f>
        <v>43.572727272727271</v>
      </c>
      <c r="AA17" s="465">
        <f t="shared" si="10"/>
        <v>0</v>
      </c>
      <c r="AB17" s="367"/>
      <c r="AC17" s="367"/>
      <c r="AD17" s="368">
        <f>+IFERROR(AD15/(K15*$AQ$3),"")</f>
        <v>2.3028571428571429</v>
      </c>
      <c r="AE17" s="369"/>
      <c r="AF17" s="347"/>
      <c r="AG17" s="347"/>
      <c r="AH17" s="341"/>
      <c r="AI17" s="341"/>
      <c r="AJ17" s="356"/>
      <c r="AK17" s="370">
        <f>+$AJ$4</f>
        <v>7.25</v>
      </c>
      <c r="AL17" s="349"/>
      <c r="AM17" s="341"/>
      <c r="AN17" s="341"/>
      <c r="AO17" s="341"/>
      <c r="AP17" s="341"/>
      <c r="AQ17" s="369"/>
      <c r="AR17" s="434"/>
      <c r="AT17" s="390">
        <v>1.4774025974025975</v>
      </c>
      <c r="AV17" s="390"/>
    </row>
    <row r="18" spans="2:58" s="98" customFormat="1" ht="62.25" customHeight="1" thickTop="1" x14ac:dyDescent="0.9">
      <c r="B18" s="342">
        <f>+B19</f>
        <v>4</v>
      </c>
      <c r="C18" s="405"/>
      <c r="D18" s="106"/>
      <c r="E18" s="106"/>
      <c r="F18" s="106"/>
      <c r="G18" s="540" t="s">
        <v>442</v>
      </c>
      <c r="H18" s="106"/>
      <c r="I18" s="106"/>
      <c r="J18" s="107" t="s">
        <v>20</v>
      </c>
      <c r="K18" s="108" t="s">
        <v>23</v>
      </c>
      <c r="L18" s="100" t="s">
        <v>21</v>
      </c>
      <c r="M18" s="448"/>
      <c r="N18" s="448"/>
      <c r="O18" s="448"/>
      <c r="P18" s="448"/>
      <c r="Q18" s="448"/>
      <c r="R18" s="448"/>
      <c r="S18" s="448"/>
      <c r="T18" s="448"/>
      <c r="U18" s="448"/>
      <c r="V18" s="448"/>
      <c r="W18" s="448"/>
      <c r="X18" s="447" t="str">
        <f t="shared" ref="X18" si="11">IF(AQ19="","",SUM(M18:W18)-(-(AQ19-SUM(M18:W18))/$AQ$3)*SUM($M$2:$W$2))</f>
        <v/>
      </c>
      <c r="Y18" s="466">
        <v>0.75</v>
      </c>
      <c r="Z18" s="533">
        <f>+X20</f>
        <v>0</v>
      </c>
      <c r="AA18" s="447">
        <f t="shared" si="0"/>
        <v>0</v>
      </c>
      <c r="AB18" s="343">
        <f>+AC18+AA18</f>
        <v>4741</v>
      </c>
      <c r="AC18" s="343">
        <v>4741</v>
      </c>
      <c r="AD18" s="344"/>
      <c r="AE18" s="345"/>
      <c r="AF18" s="346"/>
      <c r="AG18" s="347">
        <f t="shared" si="1"/>
        <v>0</v>
      </c>
      <c r="AH18" s="341">
        <f t="shared" si="2"/>
        <v>0</v>
      </c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0.9">
      <c r="B19" s="351">
        <v>4</v>
      </c>
      <c r="C19" s="406">
        <f>+B19</f>
        <v>4</v>
      </c>
      <c r="D19" s="407" t="s">
        <v>441</v>
      </c>
      <c r="E19" s="111"/>
      <c r="F19" s="111" t="s">
        <v>35</v>
      </c>
      <c r="G19" s="541" t="str">
        <f t="shared" ref="G19:G21" si="12">+G18</f>
        <v>2259-600-730</v>
      </c>
      <c r="H19" s="111"/>
      <c r="I19" s="111" t="s">
        <v>33</v>
      </c>
      <c r="J19" s="113">
        <v>34.450000000000003</v>
      </c>
      <c r="K19" s="494">
        <v>61</v>
      </c>
      <c r="L19" s="101" t="s">
        <v>17</v>
      </c>
      <c r="M19" s="214">
        <v>22</v>
      </c>
      <c r="N19" s="214">
        <v>35</v>
      </c>
      <c r="O19" s="214">
        <v>45</v>
      </c>
      <c r="P19" s="214">
        <v>46</v>
      </c>
      <c r="Q19" s="214">
        <v>63</v>
      </c>
      <c r="R19" s="214"/>
      <c r="S19" s="214"/>
      <c r="T19" s="214"/>
      <c r="U19" s="214"/>
      <c r="V19" s="214"/>
      <c r="W19" s="214"/>
      <c r="X19" s="123">
        <f>+IF(H20="s",0,IF(AA19=0,0,IF(COUNTA(M19:W19)=AK21+0.75,SUMIF($C:$C,B19,$AA:$AA)/AK21,SUMIF($C:$C,B19,$AA:$AA)/(COUNTA(M19:W19)))))</f>
        <v>0</v>
      </c>
      <c r="Y19" s="466"/>
      <c r="Z19" s="534"/>
      <c r="AA19" s="134">
        <f t="shared" si="0"/>
        <v>211</v>
      </c>
      <c r="AB19" s="354">
        <f>+AA19+AC19</f>
        <v>4741</v>
      </c>
      <c r="AC19" s="354">
        <v>4530</v>
      </c>
      <c r="AD19" s="355">
        <f>+AB18-AB19</f>
        <v>0</v>
      </c>
      <c r="AE19" s="131">
        <f>+IF(((AA20+(AA21/2))*60)=0,"",(J19*AA19)/((AA20+(AA21/2))*60))</f>
        <v>3.36525462962963</v>
      </c>
      <c r="AF19" s="347">
        <f>+AA20+AA21/2</f>
        <v>36</v>
      </c>
      <c r="AG19" s="347">
        <f t="shared" si="1"/>
        <v>36</v>
      </c>
      <c r="AH19" s="341">
        <f t="shared" si="2"/>
        <v>2160</v>
      </c>
      <c r="AI19" s="341">
        <f>+AA19*J19</f>
        <v>7268.9500000000007</v>
      </c>
      <c r="AJ19" s="356">
        <f>+AA19-(AF19*K19/K21)</f>
        <v>153.21052631578948</v>
      </c>
      <c r="AK19" s="348"/>
      <c r="AL19" s="349"/>
      <c r="AM19" s="341"/>
      <c r="AN19" s="341"/>
      <c r="AO19" s="341"/>
      <c r="AP19" s="341"/>
      <c r="AQ19" s="339" t="str">
        <f t="shared" ref="AQ19:AQ67" si="13">IF(AR19=0,"",AT19-(($AQ$3*K19)+($AQ$3*K19)*AR19)+AA18)</f>
        <v/>
      </c>
      <c r="AR19" s="434"/>
      <c r="AT19" s="390">
        <v>211</v>
      </c>
      <c r="AV19" s="390">
        <f t="shared" ref="AV19" si="14">+AT19-AD19</f>
        <v>211</v>
      </c>
    </row>
    <row r="20" spans="2:58" s="98" customFormat="1" ht="62.25" customHeight="1" x14ac:dyDescent="0.9">
      <c r="B20" s="357">
        <f>+B19</f>
        <v>4</v>
      </c>
      <c r="C20" s="408"/>
      <c r="D20" s="184"/>
      <c r="E20" s="111">
        <f>+B19</f>
        <v>4</v>
      </c>
      <c r="F20" s="409"/>
      <c r="G20" s="541" t="str">
        <f t="shared" si="12"/>
        <v>2259-600-730</v>
      </c>
      <c r="H20" s="411" t="s">
        <v>414</v>
      </c>
      <c r="I20" s="113">
        <f>+IFERROR(IF(K21=0,0,IF((LOOKUP(2,1/(M20:W20&lt;&gt;""),M20:W20)-K21)&lt;0,0,IF(K21=0,"",LOOKUP(2,1/(M20:W20&lt;&gt;""),M20:W20)-K21))),0)</f>
        <v>0</v>
      </c>
      <c r="J20" s="113">
        <v>1</v>
      </c>
      <c r="K20" s="114" t="s">
        <v>22</v>
      </c>
      <c r="L20" s="102" t="s">
        <v>18</v>
      </c>
      <c r="M20" s="448">
        <v>10</v>
      </c>
      <c r="N20" s="448">
        <v>8</v>
      </c>
      <c r="O20" s="448">
        <v>7</v>
      </c>
      <c r="P20" s="448">
        <v>6</v>
      </c>
      <c r="Q20" s="448">
        <v>5</v>
      </c>
      <c r="R20" s="448"/>
      <c r="S20" s="448"/>
      <c r="T20" s="448"/>
      <c r="U20" s="448"/>
      <c r="V20" s="448"/>
      <c r="W20" s="448"/>
      <c r="X20" s="160">
        <f>+IF(H20="l",IF(COUNTA(M19:W19)=AK21+0.75,AA19-K19*AK21,AA19-(K19*COUNTA(M19:W19))),IF(H20="s",0,IF(COUNTA(M19:W19)=AK21+0.75,SUMIF($C:$C,B19,$AA:$AA)-K19*AK21,SUMIF($C:$C,B19,$AA:$AA)-K19*COUNTA(M19:W19))))</f>
        <v>0</v>
      </c>
      <c r="Y20" s="466"/>
      <c r="Z20" s="534"/>
      <c r="AA20" s="498">
        <f t="shared" ref="AA20:AA21" si="15">+SUM(M20:W20)-T20*0.75</f>
        <v>36</v>
      </c>
      <c r="AB20" s="360"/>
      <c r="AC20" s="360"/>
      <c r="AD20" s="362"/>
      <c r="AE20" s="363"/>
      <c r="AF20" s="346"/>
      <c r="AG20" s="347">
        <f t="shared" si="1"/>
        <v>0</v>
      </c>
      <c r="AH20" s="341">
        <f t="shared" si="2"/>
        <v>0</v>
      </c>
      <c r="AI20" s="341"/>
      <c r="AJ20" s="341"/>
      <c r="AK20" s="348"/>
      <c r="AL20" s="349">
        <f>+IF(AK21=7.75,SUM(M20:S20)+T20*0.75,IF(AK21=8,SUM(M20:T20),IF(AK21=7.25,SUM(M20:S20)+T20*0.25,IF(AK21=8.25,SUM(M20:T20)+U20*0.25,IF(AK21=8.75,SUM(M20:T20)+U20*0.75,0)))))</f>
        <v>36</v>
      </c>
      <c r="AM20" s="341">
        <f>+AL20-AA20</f>
        <v>0</v>
      </c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4</v>
      </c>
      <c r="C21" s="410"/>
      <c r="D21" s="174" t="s">
        <v>420</v>
      </c>
      <c r="E21" s="175">
        <f>+E20+100</f>
        <v>104</v>
      </c>
      <c r="F21" s="175"/>
      <c r="G21" s="542" t="str">
        <f t="shared" si="12"/>
        <v>2259-600-730</v>
      </c>
      <c r="H21" s="117"/>
      <c r="I21" s="442"/>
      <c r="J21" s="165">
        <f>+IF(K21="","",IF(K19=0,"",(K19*J19)/(K21*60)))</f>
        <v>0.92168859649122814</v>
      </c>
      <c r="K21" s="118">
        <v>38</v>
      </c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>
        <v>18.90949978982766</v>
      </c>
      <c r="Z21" s="467">
        <v>18.90949978982766</v>
      </c>
      <c r="AA21" s="465">
        <f t="shared" si="15"/>
        <v>0</v>
      </c>
      <c r="AB21" s="367"/>
      <c r="AC21" s="367"/>
      <c r="AD21" s="368">
        <f>+IFERROR(AD19/(K19*$AQ$3),"")</f>
        <v>0</v>
      </c>
      <c r="AE21" s="369"/>
      <c r="AF21" s="347"/>
      <c r="AG21" s="347">
        <f t="shared" si="1"/>
        <v>0</v>
      </c>
      <c r="AH21" s="341">
        <f t="shared" si="2"/>
        <v>0</v>
      </c>
      <c r="AI21" s="341"/>
      <c r="AJ21" s="356"/>
      <c r="AK21" s="370">
        <f>+$AJ$4</f>
        <v>7.25</v>
      </c>
      <c r="AL21" s="349">
        <f>+IF(AK21=7.75,SUM(M21:S21)+T21*0.75,IF(AK21=8,SUM(M21:T21),IF(AK21=7.25,SUM(M21:S21)+T21*0.25,IF(AK21=8.25,SUM(M21:T21)+U21*0.25,IF(AK21=8.75,SUM(M21:T21)+U21*0.75,0)))))</f>
        <v>0</v>
      </c>
      <c r="AM21" s="341">
        <f>+AL21-AA21</f>
        <v>0</v>
      </c>
      <c r="AN21" s="341"/>
      <c r="AO21" s="341"/>
      <c r="AP21" s="341"/>
      <c r="AQ21" s="369"/>
      <c r="AR21" s="434"/>
      <c r="AT21" s="390">
        <v>0.3953161592505855</v>
      </c>
      <c r="AV21" s="390"/>
    </row>
    <row r="22" spans="2:58" s="98" customFormat="1" ht="62.25" customHeight="1" thickTop="1" x14ac:dyDescent="0.9">
      <c r="B22" s="342">
        <f>+B23</f>
        <v>4</v>
      </c>
      <c r="C22" s="405"/>
      <c r="D22" s="106"/>
      <c r="E22" s="106"/>
      <c r="F22" s="106"/>
      <c r="G22" s="540" t="s">
        <v>494</v>
      </c>
      <c r="H22" s="106"/>
      <c r="I22" s="106"/>
      <c r="J22" s="107" t="s">
        <v>20</v>
      </c>
      <c r="K22" s="108" t="s">
        <v>23</v>
      </c>
      <c r="L22" s="100" t="s">
        <v>21</v>
      </c>
      <c r="M22" s="448"/>
      <c r="N22" s="448">
        <v>50</v>
      </c>
      <c r="O22" s="448">
        <v>50</v>
      </c>
      <c r="P22" s="448">
        <v>50</v>
      </c>
      <c r="Q22" s="448">
        <v>50</v>
      </c>
      <c r="R22" s="448">
        <v>50</v>
      </c>
      <c r="S22" s="448"/>
      <c r="T22" s="448"/>
      <c r="U22" s="448"/>
      <c r="V22" s="448"/>
      <c r="W22" s="448"/>
      <c r="X22" s="447">
        <f t="shared" ref="X22" si="16">IF(AQ23="","",SUM(M22:W22)-(-(AQ23-SUM(M22:W22))/$AQ$3)*SUM($M$2:$W$2))</f>
        <v>250</v>
      </c>
      <c r="Y22" s="466">
        <v>0</v>
      </c>
      <c r="Z22" s="533">
        <f>+X24</f>
        <v>-171</v>
      </c>
      <c r="AA22" s="447">
        <f t="shared" si="0"/>
        <v>250</v>
      </c>
      <c r="AB22" s="343">
        <f>+AC22+AA22</f>
        <v>350</v>
      </c>
      <c r="AC22" s="343">
        <v>100</v>
      </c>
      <c r="AD22" s="344"/>
      <c r="AE22" s="345"/>
      <c r="AF22" s="346"/>
      <c r="AG22" s="347">
        <f t="shared" si="1"/>
        <v>0</v>
      </c>
      <c r="AH22" s="341">
        <f t="shared" si="2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1.35">
      <c r="B23" s="351">
        <v>4</v>
      </c>
      <c r="C23" s="406">
        <f>+B23</f>
        <v>4</v>
      </c>
      <c r="D23" s="407" t="s">
        <v>493</v>
      </c>
      <c r="E23" s="111"/>
      <c r="F23" s="111" t="s">
        <v>35</v>
      </c>
      <c r="G23" s="541" t="str">
        <f>+G22</f>
        <v>2395-582-401</v>
      </c>
      <c r="H23" s="111"/>
      <c r="I23" s="111" t="s">
        <v>33</v>
      </c>
      <c r="J23" s="113">
        <v>41.85</v>
      </c>
      <c r="K23" s="130">
        <v>57</v>
      </c>
      <c r="L23" s="101" t="s">
        <v>17</v>
      </c>
      <c r="M23" s="214"/>
      <c r="N23" s="214"/>
      <c r="O23" s="214"/>
      <c r="P23" s="214"/>
      <c r="Q23" s="214"/>
      <c r="R23" s="214">
        <v>0</v>
      </c>
      <c r="S23" s="214">
        <v>0</v>
      </c>
      <c r="T23" s="214">
        <v>0</v>
      </c>
      <c r="U23" s="214"/>
      <c r="V23" s="214"/>
      <c r="W23" s="214"/>
      <c r="X23" s="123">
        <f>+IF(H24="s",0,IF(AA23=0,0,IF(COUNTA(M23:W23)=AK25+0.75,SUMIF($C:$C,B23,$AA:$AA)/AK25,SUMIF($C:$C,B23,$AA:$AA)/(COUNTA(M23:W23)))))</f>
        <v>0</v>
      </c>
      <c r="Y23" s="466"/>
      <c r="Z23" s="534"/>
      <c r="AA23" s="134">
        <f t="shared" si="0"/>
        <v>0</v>
      </c>
      <c r="AB23" s="354">
        <f>+AA23+AC23</f>
        <v>0</v>
      </c>
      <c r="AC23" s="354">
        <v>0</v>
      </c>
      <c r="AD23" s="355">
        <f>+AB22-AB23</f>
        <v>350</v>
      </c>
      <c r="AE23" s="131">
        <f>+IF(((AA24+(AA25/2))*60)=0,"",(J23*AA23)/((AA24+(AA25/2))*60))</f>
        <v>0</v>
      </c>
      <c r="AF23" s="347">
        <f>+AA24+AA25/2</f>
        <v>246.75</v>
      </c>
      <c r="AG23" s="347">
        <f t="shared" si="1"/>
        <v>246.45</v>
      </c>
      <c r="AH23" s="341">
        <f t="shared" si="2"/>
        <v>14805</v>
      </c>
      <c r="AI23" s="341">
        <f>+AA23*J23</f>
        <v>0</v>
      </c>
      <c r="AJ23" s="356">
        <f>+AA23-(AF23*K23/K25)</f>
        <v>-299.25</v>
      </c>
      <c r="AK23" s="348"/>
      <c r="AL23" s="349"/>
      <c r="AM23" s="341"/>
      <c r="AN23" s="341"/>
      <c r="AO23" s="341"/>
      <c r="AP23" s="341"/>
      <c r="AQ23" s="339">
        <f>-300+AA22</f>
        <v>-50</v>
      </c>
      <c r="AR23" s="434">
        <v>1.5</v>
      </c>
      <c r="AT23" s="390">
        <v>100</v>
      </c>
      <c r="AV23" s="390">
        <f t="shared" ref="AV23" si="17">+AT23-AD23</f>
        <v>-250</v>
      </c>
      <c r="AW23" s="535" t="s">
        <v>484</v>
      </c>
      <c r="AX23" s="535"/>
      <c r="AY23" s="535"/>
      <c r="AZ23" s="535"/>
      <c r="BA23" s="535"/>
      <c r="BB23" s="535"/>
      <c r="BC23" s="535"/>
      <c r="BD23" s="535"/>
      <c r="BE23" s="535"/>
      <c r="BF23" s="535"/>
    </row>
    <row r="24" spans="2:58" s="98" customFormat="1" ht="62.25" customHeight="1" x14ac:dyDescent="0.9">
      <c r="B24" s="357">
        <f>+B23</f>
        <v>4</v>
      </c>
      <c r="C24" s="408"/>
      <c r="D24" s="184"/>
      <c r="E24" s="111">
        <f>+B23</f>
        <v>4</v>
      </c>
      <c r="F24" s="409"/>
      <c r="G24" s="541" t="str">
        <f>+G22</f>
        <v>2395-582-401</v>
      </c>
      <c r="H24" s="411" t="s">
        <v>413</v>
      </c>
      <c r="I24" s="113">
        <f>+IFERROR(IF(K25=0,0,IF((LOOKUP(2,1/(M24:W24&lt;&gt;""),M24:W24)-K25)&lt;0,0,IF(K25=0,"",LOOKUP(2,1/(M24:W24&lt;&gt;""),M24:W24)-K25))),0)</f>
        <v>0</v>
      </c>
      <c r="J24" s="113"/>
      <c r="K24" s="114" t="s">
        <v>22</v>
      </c>
      <c r="L24" s="102" t="s">
        <v>18</v>
      </c>
      <c r="M24" s="448">
        <v>29</v>
      </c>
      <c r="N24" s="448">
        <v>31</v>
      </c>
      <c r="O24" s="448">
        <v>32</v>
      </c>
      <c r="P24" s="448">
        <v>33</v>
      </c>
      <c r="Q24" s="448">
        <v>34</v>
      </c>
      <c r="R24" s="448">
        <v>39</v>
      </c>
      <c r="S24" s="448">
        <v>39</v>
      </c>
      <c r="T24" s="448">
        <v>39</v>
      </c>
      <c r="U24" s="448"/>
      <c r="V24" s="448"/>
      <c r="W24" s="448"/>
      <c r="X24" s="160">
        <f>+IF(H24="l",IF(COUNTA(M23:W23)=AK25+0.75,AA23-K23*AK25,AA23-(K23*COUNTA(M23:W23))),IF(H24="s",0,IF(COUNTA(M23:W23)=AK25+0.75,SUMIF($C:$C,B23,$AA:$AA)-K23*AK25,SUMIF($C:$C,B23,$AA:$AA)-K23*COUNTA(M23:W23))))</f>
        <v>-171</v>
      </c>
      <c r="Y24" s="466"/>
      <c r="Z24" s="534"/>
      <c r="AA24" s="498">
        <f t="shared" ref="AA24:AA25" si="18">+SUM(M24:W24)-T24*0.75</f>
        <v>246.75</v>
      </c>
      <c r="AB24" s="360"/>
      <c r="AC24" s="360"/>
      <c r="AD24" s="362"/>
      <c r="AE24" s="363"/>
      <c r="AF24" s="346"/>
      <c r="AG24" s="347">
        <f t="shared" si="1"/>
        <v>0</v>
      </c>
      <c r="AH24" s="341">
        <f t="shared" si="2"/>
        <v>0</v>
      </c>
      <c r="AI24" s="341"/>
      <c r="AJ24" s="341"/>
      <c r="AK24" s="348"/>
      <c r="AL24" s="349">
        <f>+IF(AK25=7.75,SUM(M24:S24)+T24*0.75,IF(AK25=8,SUM(M24:T24),IF(AK25=7.25,SUM(M24:S24)+T24*0.25,IF(AK25=8.25,SUM(M24:T24)+U24*0.25,IF(AK25=8.75,SUM(M24:T24)+U24*0.75,0)))))</f>
        <v>246.75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+B23</f>
        <v>4</v>
      </c>
      <c r="C25" s="410"/>
      <c r="D25" s="174" t="s">
        <v>420</v>
      </c>
      <c r="E25" s="175">
        <f>+E24+100</f>
        <v>104</v>
      </c>
      <c r="F25" s="175"/>
      <c r="G25" s="542" t="str">
        <f>+G22</f>
        <v>2395-582-401</v>
      </c>
      <c r="H25" s="117"/>
      <c r="I25" s="442"/>
      <c r="J25" s="165">
        <f>+IF(K25="","",IF(K23=0,"",(K23*J23)/(K25*60)))</f>
        <v>0.84590425531914903</v>
      </c>
      <c r="K25" s="118">
        <v>47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0</v>
      </c>
      <c r="Z25" s="371">
        <f>+IF(COUNTA(M23:W23)=$AJ$4+0.25,$AJ$4-(AA23/K23),COUNTA(M23:W23)-(AA23/K23))+Y25</f>
        <v>3</v>
      </c>
      <c r="AA25" s="465">
        <f t="shared" si="18"/>
        <v>0</v>
      </c>
      <c r="AB25" s="367"/>
      <c r="AC25" s="367"/>
      <c r="AD25" s="368">
        <f>+IFERROR(AD23/(K23*$AQ$3),"")</f>
        <v>0.70175438596491224</v>
      </c>
      <c r="AE25" s="369"/>
      <c r="AF25" s="347"/>
      <c r="AG25" s="347">
        <f t="shared" si="1"/>
        <v>0</v>
      </c>
      <c r="AH25" s="341">
        <f t="shared" si="2"/>
        <v>0</v>
      </c>
      <c r="AI25" s="341"/>
      <c r="AJ25" s="356"/>
      <c r="AK25" s="370">
        <f>+$AJ$4</f>
        <v>7.25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0.20050125313283207</v>
      </c>
      <c r="AV25" s="390"/>
    </row>
    <row r="26" spans="2:58" s="98" customFormat="1" ht="62.25" customHeight="1" thickTop="1" x14ac:dyDescent="0.9">
      <c r="B26" s="342">
        <f>+B27</f>
        <v>5</v>
      </c>
      <c r="C26" s="405"/>
      <c r="D26" s="106"/>
      <c r="E26" s="106"/>
      <c r="F26" s="106"/>
      <c r="G26" s="540" t="s">
        <v>434</v>
      </c>
      <c r="H26" s="106"/>
      <c r="I26" s="111"/>
      <c r="J26" s="107" t="s">
        <v>20</v>
      </c>
      <c r="K26" s="108" t="s">
        <v>23</v>
      </c>
      <c r="L26" s="100" t="s">
        <v>21</v>
      </c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7" t="str">
        <f t="shared" ref="X26" si="19">IF(AQ27="","",SUM(M26:W26)-(-(AQ27-SUM(M26:W26))/$AQ$3)*SUM($M$2:$W$2))</f>
        <v/>
      </c>
      <c r="Y26" s="466">
        <v>0</v>
      </c>
      <c r="Z26" s="533">
        <f>+X28</f>
        <v>0</v>
      </c>
      <c r="AA26" s="447">
        <f t="shared" si="0"/>
        <v>0</v>
      </c>
      <c r="AB26" s="343">
        <f>+AC26+AA26</f>
        <v>4060</v>
      </c>
      <c r="AC26" s="343">
        <v>4060</v>
      </c>
      <c r="AD26" s="344"/>
      <c r="AE26" s="345"/>
      <c r="AF26" s="346"/>
      <c r="AG26" s="347">
        <f t="shared" si="1"/>
        <v>0</v>
      </c>
      <c r="AH26" s="341">
        <f t="shared" si="2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5</v>
      </c>
      <c r="C27" s="406">
        <f>+B27</f>
        <v>5</v>
      </c>
      <c r="D27" s="407" t="s">
        <v>433</v>
      </c>
      <c r="E27" s="111"/>
      <c r="F27" s="111" t="s">
        <v>428</v>
      </c>
      <c r="G27" s="541" t="str">
        <f t="shared" ref="G27:G29" si="20">+G26</f>
        <v>ATENAS-203645</v>
      </c>
      <c r="H27" s="111"/>
      <c r="I27" s="111" t="s">
        <v>33</v>
      </c>
      <c r="J27" s="113">
        <v>61</v>
      </c>
      <c r="K27" s="130">
        <v>47</v>
      </c>
      <c r="L27" s="101" t="s">
        <v>17</v>
      </c>
      <c r="M27" s="214">
        <v>18</v>
      </c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123">
        <f>+IF(H28="s",0,IF(AA27=0,0,IF(COUNTA(M27:W27)=AK29+0.75,SUMIF($C:$C,B27,$AA:$AA)/AK29,SUMIF($C:$C,B27,$AA:$AA)/(COUNTA(M27:W27)))))</f>
        <v>0</v>
      </c>
      <c r="Y27" s="466"/>
      <c r="Z27" s="534"/>
      <c r="AA27" s="134">
        <f t="shared" si="0"/>
        <v>18</v>
      </c>
      <c r="AB27" s="354">
        <f>+AA27+AC27</f>
        <v>4060</v>
      </c>
      <c r="AC27" s="354">
        <v>4042</v>
      </c>
      <c r="AD27" s="355">
        <f>+AB26-AB27</f>
        <v>0</v>
      </c>
      <c r="AE27" s="131">
        <f>+IF(((AA28+(AA29/2))*60)=0,"",(J27*AA27)/((AA28+(AA29/2))*60))</f>
        <v>18.3</v>
      </c>
      <c r="AF27" s="347">
        <f>+AA28+AA29/2</f>
        <v>1</v>
      </c>
      <c r="AG27" s="347">
        <f t="shared" si="1"/>
        <v>1</v>
      </c>
      <c r="AH27" s="341">
        <f t="shared" si="2"/>
        <v>60</v>
      </c>
      <c r="AI27" s="341">
        <f>+AA27*J27</f>
        <v>1098</v>
      </c>
      <c r="AJ27" s="356">
        <f>+AA27-(AF27*K27/K29)</f>
        <v>17.160714285714285</v>
      </c>
      <c r="AK27" s="348"/>
      <c r="AL27" s="349"/>
      <c r="AM27" s="341"/>
      <c r="AN27" s="341"/>
      <c r="AO27" s="341"/>
      <c r="AP27" s="341"/>
      <c r="AQ27" s="339" t="str">
        <f t="shared" si="13"/>
        <v/>
      </c>
      <c r="AR27" s="434"/>
      <c r="AT27" s="390">
        <v>18</v>
      </c>
      <c r="AV27" s="390">
        <f t="shared" ref="AV27" si="21">+AT27-AD27</f>
        <v>18</v>
      </c>
    </row>
    <row r="28" spans="2:58" s="98" customFormat="1" ht="62.25" customHeight="1" x14ac:dyDescent="0.9">
      <c r="B28" s="357">
        <f>B27</f>
        <v>5</v>
      </c>
      <c r="C28" s="408"/>
      <c r="D28" s="184"/>
      <c r="E28" s="111">
        <f>+B27</f>
        <v>5</v>
      </c>
      <c r="F28" s="412"/>
      <c r="G28" s="541" t="str">
        <f t="shared" si="20"/>
        <v>ATENAS-203645</v>
      </c>
      <c r="H28" s="411" t="s">
        <v>414</v>
      </c>
      <c r="I28" s="113">
        <f>+IFERROR(IF(K29=0,0,IF((LOOKUP(2,1/(M28:W28&lt;&gt;""),M28:W28)-K29)&lt;0,0,IF(K29=0,"",LOOKUP(2,1/(M28:W28&lt;&gt;""),M28:W28)-K29))),0)</f>
        <v>0</v>
      </c>
      <c r="J28" s="113">
        <v>0</v>
      </c>
      <c r="K28" s="114" t="s">
        <v>22</v>
      </c>
      <c r="L28" s="102" t="s">
        <v>18</v>
      </c>
      <c r="M28" s="448">
        <v>1</v>
      </c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160">
        <f>+IF(H28="l",IF(COUNTA(M27:W27)=AK29+0.75,AA27-K27*AK29,AA27-(K27*COUNTA(M27:W27))),IF(H28="s",0,IF(COUNTA(M27:W27)=AK29+0.75,SUMIF($C:$C,B27,$AA:$AA)-K27*AK29,SUMIF($C:$C,B27,$AA:$AA)-K27*COUNTA(M27:W27))))</f>
        <v>0</v>
      </c>
      <c r="Y28" s="466"/>
      <c r="Z28" s="534"/>
      <c r="AA28" s="498">
        <f t="shared" ref="AA28:AA29" si="22">+SUM(M28:W28)-T28*0.75</f>
        <v>1</v>
      </c>
      <c r="AB28" s="360"/>
      <c r="AC28" s="360"/>
      <c r="AD28" s="362"/>
      <c r="AE28" s="363"/>
      <c r="AF28" s="346"/>
      <c r="AG28" s="347">
        <f t="shared" si="1"/>
        <v>0</v>
      </c>
      <c r="AH28" s="341">
        <f t="shared" si="2"/>
        <v>0</v>
      </c>
      <c r="AI28" s="341"/>
      <c r="AJ28" s="356"/>
      <c r="AK28" s="348"/>
      <c r="AL28" s="349">
        <f>+IF(AK29=7.75,SUM(M28:S28)+T28*0.75,IF(AK29=8,SUM(M28:T28),IF(AK29=7.25,SUM(M28:S28)+T28*0.25,IF(AK29=8.25,SUM(M28:T28)+U28*0.25,IF(AK29=8.75,SUM(M28:T28)+U28*0.75,0)))))</f>
        <v>1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B27</f>
        <v>5</v>
      </c>
      <c r="C29" s="410"/>
      <c r="D29" s="174" t="s">
        <v>380</v>
      </c>
      <c r="E29" s="175">
        <f>+E28+100</f>
        <v>105</v>
      </c>
      <c r="F29" s="175"/>
      <c r="G29" s="542" t="str">
        <f t="shared" si="20"/>
        <v>ATENAS-203645</v>
      </c>
      <c r="H29" s="117"/>
      <c r="I29" s="442"/>
      <c r="J29" s="165">
        <f>+IF(K29="","",IF(K27=0,"",(K27*J27)/(K29*60)))</f>
        <v>0.85327380952380949</v>
      </c>
      <c r="K29" s="118">
        <v>56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70.394680851063825</v>
      </c>
      <c r="Z29" s="371">
        <f>+IF(COUNTA(M27:W27)=$AJ$4+0.25,$AJ$4-(AA27/K27),COUNTA(M27:W27)-(AA27/K27))+Y29</f>
        <v>71.011702127659575</v>
      </c>
      <c r="AA29" s="465">
        <f t="shared" si="22"/>
        <v>0</v>
      </c>
      <c r="AB29" s="367"/>
      <c r="AC29" s="367"/>
      <c r="AD29" s="368">
        <f>+IFERROR(AD27/(K27*$AQ$3),"")</f>
        <v>0</v>
      </c>
      <c r="AE29" s="369"/>
      <c r="AF29" s="347"/>
      <c r="AG29" s="347">
        <f t="shared" si="1"/>
        <v>0</v>
      </c>
      <c r="AH29" s="341">
        <f t="shared" si="2"/>
        <v>0</v>
      </c>
      <c r="AI29" s="341"/>
      <c r="AJ29" s="356"/>
      <c r="AK29" s="370">
        <f>+$AJ$4</f>
        <v>7.25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4.376899696048632E-2</v>
      </c>
      <c r="AV29" s="390"/>
    </row>
    <row r="30" spans="2:58" s="98" customFormat="1" ht="62.25" customHeight="1" thickTop="1" x14ac:dyDescent="0.9">
      <c r="B30" s="342">
        <f>+B31</f>
        <v>5</v>
      </c>
      <c r="C30" s="405"/>
      <c r="D30" s="106"/>
      <c r="E30" s="106"/>
      <c r="F30" s="106"/>
      <c r="G30" s="540" t="s">
        <v>481</v>
      </c>
      <c r="H30" s="106"/>
      <c r="I30" s="111"/>
      <c r="J30" s="107" t="s">
        <v>20</v>
      </c>
      <c r="K30" s="108" t="s">
        <v>23</v>
      </c>
      <c r="L30" s="100" t="s">
        <v>21</v>
      </c>
      <c r="M30" s="448">
        <v>180</v>
      </c>
      <c r="N30" s="448">
        <v>180</v>
      </c>
      <c r="O30" s="448"/>
      <c r="P30" s="448"/>
      <c r="Q30" s="448"/>
      <c r="R30" s="448"/>
      <c r="S30" s="448"/>
      <c r="T30" s="448"/>
      <c r="U30" s="448"/>
      <c r="V30" s="448"/>
      <c r="W30" s="448"/>
      <c r="X30" s="447">
        <f t="shared" ref="X30" si="23">IF(AQ31="","",SUM(M30:W30)-(-(AQ31-SUM(M30:W30))/$AQ$3)*SUM($M$2:$W$2))</f>
        <v>360</v>
      </c>
      <c r="Y30" s="466">
        <v>0</v>
      </c>
      <c r="Z30" s="533">
        <f>+X32</f>
        <v>0</v>
      </c>
      <c r="AA30" s="447">
        <f t="shared" si="0"/>
        <v>360</v>
      </c>
      <c r="AB30" s="343">
        <f>+AC30+AA30</f>
        <v>2940</v>
      </c>
      <c r="AC30" s="343">
        <v>2580</v>
      </c>
      <c r="AD30" s="344"/>
      <c r="AE30" s="345"/>
      <c r="AF30" s="346"/>
      <c r="AG30" s="347">
        <f t="shared" si="1"/>
        <v>0</v>
      </c>
      <c r="AH30" s="341">
        <f t="shared" si="2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0.9">
      <c r="B31" s="351">
        <v>5</v>
      </c>
      <c r="C31" s="406">
        <f>+B31</f>
        <v>5</v>
      </c>
      <c r="D31" s="407" t="s">
        <v>480</v>
      </c>
      <c r="E31" s="111"/>
      <c r="F31" s="111" t="s">
        <v>35</v>
      </c>
      <c r="G31" s="541" t="str">
        <f t="shared" ref="G31:G33" si="24">+G30</f>
        <v>2396-593-600</v>
      </c>
      <c r="H31" s="111"/>
      <c r="I31" s="111" t="s">
        <v>33</v>
      </c>
      <c r="J31" s="113">
        <v>38.82</v>
      </c>
      <c r="K31" s="130">
        <v>60</v>
      </c>
      <c r="L31" s="101" t="s">
        <v>17</v>
      </c>
      <c r="M31" s="214">
        <v>60</v>
      </c>
      <c r="N31" s="214">
        <v>60</v>
      </c>
      <c r="O31" s="214">
        <v>60</v>
      </c>
      <c r="P31" s="214">
        <v>60</v>
      </c>
      <c r="Q31" s="214">
        <v>60</v>
      </c>
      <c r="R31" s="214">
        <v>60</v>
      </c>
      <c r="S31" s="214">
        <v>60</v>
      </c>
      <c r="T31" s="214">
        <v>15</v>
      </c>
      <c r="U31" s="214"/>
      <c r="V31" s="214"/>
      <c r="W31" s="214"/>
      <c r="X31" s="123">
        <f>+IF(H32="s",0,IF(AA31=0,0,IF(COUNTA(M31:W31)=AK33+0.75,SUMIF($C:$C,B31,$AA:$AA)/AK33,SUMIF($C:$C,B31,$AA:$AA)/(COUNTA(M31:W31)))))</f>
        <v>62.482758620689658</v>
      </c>
      <c r="Y31" s="466"/>
      <c r="Z31" s="534"/>
      <c r="AA31" s="134">
        <f t="shared" si="0"/>
        <v>435</v>
      </c>
      <c r="AB31" s="354">
        <f>+AA31+AC31</f>
        <v>2045</v>
      </c>
      <c r="AC31" s="354">
        <v>1610</v>
      </c>
      <c r="AD31" s="355">
        <f>+AB30-AB31</f>
        <v>895</v>
      </c>
      <c r="AE31" s="131">
        <f>+IF(((AA32+(AA33/2))*60)=0,"",(J31*AA31)/((AA32+(AA33/2))*60))</f>
        <v>0.90569589702333064</v>
      </c>
      <c r="AF31" s="347">
        <f>+AA32+AA33/2</f>
        <v>310.75</v>
      </c>
      <c r="AG31" s="347">
        <f t="shared" si="1"/>
        <v>310.45</v>
      </c>
      <c r="AH31" s="341">
        <f t="shared" si="2"/>
        <v>18645</v>
      </c>
      <c r="AI31" s="341">
        <f>+AA31*J31</f>
        <v>16886.7</v>
      </c>
      <c r="AJ31" s="356">
        <f>+AA31-(AF31*K31/K33)</f>
        <v>1.3953488372093261</v>
      </c>
      <c r="AK31" s="348"/>
      <c r="AL31" s="349"/>
      <c r="AM31" s="341"/>
      <c r="AN31" s="341"/>
      <c r="AO31" s="341"/>
      <c r="AP31" s="341"/>
      <c r="AQ31" s="339">
        <f>-360+AA30</f>
        <v>0</v>
      </c>
      <c r="AR31" s="434">
        <v>1.7</v>
      </c>
      <c r="AT31" s="390">
        <v>970</v>
      </c>
      <c r="AV31" s="390">
        <f t="shared" ref="AV31" si="25">+AT31-AD31</f>
        <v>75</v>
      </c>
    </row>
    <row r="32" spans="2:58" s="98" customFormat="1" ht="62.25" customHeight="1" x14ac:dyDescent="0.9">
      <c r="B32" s="357">
        <f>B31</f>
        <v>5</v>
      </c>
      <c r="C32" s="408"/>
      <c r="D32" s="184"/>
      <c r="E32" s="111">
        <f>+B31</f>
        <v>5</v>
      </c>
      <c r="F32" s="412"/>
      <c r="G32" s="541" t="str">
        <f t="shared" si="24"/>
        <v>2396-593-600</v>
      </c>
      <c r="H32" s="411" t="s">
        <v>412</v>
      </c>
      <c r="I32" s="113">
        <f>+IFERROR(IF(K33=0,0,IF((LOOKUP(2,1/(M32:W32&lt;&gt;""),M32:W32)-K33)&lt;0,0,IF(K33=0,"",LOOKUP(2,1/(M32:W32&lt;&gt;""),M32:W32)-K33))),0)</f>
        <v>0</v>
      </c>
      <c r="J32" s="113">
        <v>1</v>
      </c>
      <c r="K32" s="114" t="s">
        <v>22</v>
      </c>
      <c r="L32" s="102" t="s">
        <v>18</v>
      </c>
      <c r="M32" s="448">
        <v>42</v>
      </c>
      <c r="N32" s="448">
        <v>43</v>
      </c>
      <c r="O32" s="448">
        <v>43</v>
      </c>
      <c r="P32" s="448">
        <v>43</v>
      </c>
      <c r="Q32" s="448">
        <v>43</v>
      </c>
      <c r="R32" s="448">
        <v>43</v>
      </c>
      <c r="S32" s="448">
        <v>43</v>
      </c>
      <c r="T32" s="448">
        <v>43</v>
      </c>
      <c r="U32" s="448"/>
      <c r="V32" s="448"/>
      <c r="W32" s="448"/>
      <c r="X32" s="160">
        <f>+IF(H32="l",IF(COUNTA(M31:W31)=AK33+0.75,AA31-K31*AK33,AA31-(K31*COUNTA(M31:W31))),IF(H32="s",0,IF(COUNTA(M31:W31)=AK33+0.75,SUMIF($C:$C,B31,$AA:$AA)-K31*AK33,SUMIF($C:$C,B31,$AA:$AA)-K31*COUNTA(M31:W31))))</f>
        <v>0</v>
      </c>
      <c r="Y32" s="466"/>
      <c r="Z32" s="534"/>
      <c r="AA32" s="498">
        <f t="shared" ref="AA32:AA33" si="26">+SUM(M32:W32)-T32*0.75</f>
        <v>310.75</v>
      </c>
      <c r="AB32" s="360"/>
      <c r="AC32" s="360"/>
      <c r="AD32" s="362"/>
      <c r="AE32" s="363"/>
      <c r="AF32" s="346"/>
      <c r="AG32" s="347">
        <f t="shared" si="1"/>
        <v>0</v>
      </c>
      <c r="AH32" s="341">
        <f t="shared" si="2"/>
        <v>0</v>
      </c>
      <c r="AI32" s="341"/>
      <c r="AJ32" s="356"/>
      <c r="AK32" s="348"/>
      <c r="AL32" s="349">
        <f>+IF(AK33=7.75,SUM(M32:S32)+T32*0.75,IF(AK33=8,SUM(M32:T32),IF(AK33=7.25,SUM(M32:S32)+T32*0.25,IF(AK33=8.25,SUM(M32:T32)+U32*0.25,IF(AK33=8.75,SUM(M32:T32)+U32*0.75,0)))))</f>
        <v>310.75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64">
        <f>B31</f>
        <v>5</v>
      </c>
      <c r="C33" s="410"/>
      <c r="D33" s="174" t="s">
        <v>380</v>
      </c>
      <c r="E33" s="175">
        <f>+E32+100</f>
        <v>105</v>
      </c>
      <c r="F33" s="175"/>
      <c r="G33" s="542" t="str">
        <f t="shared" si="24"/>
        <v>2396-593-600</v>
      </c>
      <c r="H33" s="117"/>
      <c r="I33" s="442"/>
      <c r="J33" s="165">
        <f>+IF(K33="","",IF(K31=0,"",(K31*J31)/(K33*60)))</f>
        <v>0.90279069767441855</v>
      </c>
      <c r="K33" s="118">
        <v>43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8.8262666666666671</v>
      </c>
      <c r="Z33" s="497">
        <v>8.8262666666666671</v>
      </c>
      <c r="AA33" s="465">
        <f t="shared" si="26"/>
        <v>0</v>
      </c>
      <c r="AB33" s="367"/>
      <c r="AC33" s="367"/>
      <c r="AD33" s="368">
        <f>+IFERROR(AD31/(K31*$AQ$3),"")</f>
        <v>1.7047619047619047</v>
      </c>
      <c r="AE33" s="369"/>
      <c r="AF33" s="347"/>
      <c r="AG33" s="347">
        <f t="shared" si="1"/>
        <v>0</v>
      </c>
      <c r="AH33" s="341">
        <f t="shared" si="2"/>
        <v>0</v>
      </c>
      <c r="AI33" s="341"/>
      <c r="AJ33" s="356"/>
      <c r="AK33" s="370">
        <f>+$AJ$4</f>
        <v>7.25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1.8476190476190477</v>
      </c>
      <c r="AV33" s="390"/>
    </row>
    <row r="34" spans="2:58" s="98" customFormat="1" ht="62.25" customHeight="1" thickTop="1" x14ac:dyDescent="0.9">
      <c r="B34" s="342">
        <f>+B35</f>
        <v>6</v>
      </c>
      <c r="C34" s="405"/>
      <c r="D34" s="106"/>
      <c r="E34" s="106"/>
      <c r="F34" s="106"/>
      <c r="G34" s="540" t="s">
        <v>442</v>
      </c>
      <c r="H34" s="106"/>
      <c r="I34" s="111"/>
      <c r="J34" s="107" t="s">
        <v>20</v>
      </c>
      <c r="K34" s="108">
        <v>0</v>
      </c>
      <c r="L34" s="100" t="s">
        <v>21</v>
      </c>
      <c r="M34" s="448">
        <v>180</v>
      </c>
      <c r="N34" s="448"/>
      <c r="O34" s="448">
        <v>60</v>
      </c>
      <c r="P34" s="448">
        <v>60</v>
      </c>
      <c r="Q34" s="448">
        <v>120</v>
      </c>
      <c r="R34" s="448"/>
      <c r="S34" s="448"/>
      <c r="T34" s="448"/>
      <c r="U34" s="448"/>
      <c r="V34" s="448"/>
      <c r="W34" s="448"/>
      <c r="X34" s="447">
        <f t="shared" ref="X34" si="27">IF(AQ35="","",SUM(M34:W34)-(-(AQ35-SUM(M34:W34))/$AQ$3)*SUM($M$2:$W$2))</f>
        <v>420</v>
      </c>
      <c r="Y34" s="466">
        <v>0.75</v>
      </c>
      <c r="Z34" s="533">
        <f>+X36</f>
        <v>0.75</v>
      </c>
      <c r="AA34" s="447">
        <f t="shared" si="0"/>
        <v>420</v>
      </c>
      <c r="AB34" s="343">
        <f>+AC34+AA34</f>
        <v>5104</v>
      </c>
      <c r="AC34" s="343">
        <v>4684</v>
      </c>
      <c r="AD34" s="344"/>
      <c r="AE34" s="345"/>
      <c r="AF34" s="346"/>
      <c r="AG34" s="347">
        <f t="shared" si="1"/>
        <v>0</v>
      </c>
      <c r="AH34" s="341">
        <f t="shared" si="2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6</v>
      </c>
      <c r="C35" s="406">
        <f>+B35</f>
        <v>6</v>
      </c>
      <c r="D35" s="407" t="s">
        <v>441</v>
      </c>
      <c r="E35" s="111"/>
      <c r="F35" s="111" t="s">
        <v>35</v>
      </c>
      <c r="G35" s="541" t="str">
        <f t="shared" ref="G35:G37" si="28">+G34</f>
        <v>2259-600-730</v>
      </c>
      <c r="H35" s="111"/>
      <c r="I35" s="111" t="s">
        <v>33</v>
      </c>
      <c r="J35" s="113">
        <v>34.450000000000003</v>
      </c>
      <c r="K35" s="494">
        <v>61</v>
      </c>
      <c r="L35" s="101" t="s">
        <v>17</v>
      </c>
      <c r="M35" s="214">
        <v>55</v>
      </c>
      <c r="N35" s="214">
        <v>61</v>
      </c>
      <c r="O35" s="214">
        <v>67</v>
      </c>
      <c r="P35" s="214">
        <v>61</v>
      </c>
      <c r="Q35" s="214">
        <v>61</v>
      </c>
      <c r="R35" s="214">
        <v>61</v>
      </c>
      <c r="S35" s="214">
        <v>61</v>
      </c>
      <c r="T35" s="214">
        <v>16</v>
      </c>
      <c r="U35" s="214"/>
      <c r="V35" s="214"/>
      <c r="W35" s="214"/>
      <c r="X35" s="123">
        <f>+IF(H36="s",0,IF(AA35=0,0,IF(COUNTA(M35:W35)=AK37+0.75,SUMIF($C:$C,B35,$AA:$AA)/AK37,SUMIF($C:$C,B35,$AA:$AA)/(COUNTA(M35:W35)))))</f>
        <v>61.103448275862071</v>
      </c>
      <c r="Y35" s="466"/>
      <c r="Z35" s="534"/>
      <c r="AA35" s="134">
        <f t="shared" si="0"/>
        <v>443</v>
      </c>
      <c r="AB35" s="354">
        <f>+AA35+AC35</f>
        <v>4257</v>
      </c>
      <c r="AC35" s="354">
        <v>3814</v>
      </c>
      <c r="AD35" s="355">
        <f>+AB34-AB35</f>
        <v>847</v>
      </c>
      <c r="AE35" s="131">
        <f>+IF(((AA36+(AA37/2))*60)=0,"",(J35*AA35)/((AA36+(AA37/2))*60))</f>
        <v>0.88819147388331154</v>
      </c>
      <c r="AF35" s="347">
        <f>+AA36+AA37/2</f>
        <v>286.375</v>
      </c>
      <c r="AG35" s="347">
        <f t="shared" si="1"/>
        <v>286.22500000000002</v>
      </c>
      <c r="AH35" s="341">
        <f t="shared" si="2"/>
        <v>17182.5</v>
      </c>
      <c r="AI35" s="341">
        <f>+AA35*J35</f>
        <v>15261.35</v>
      </c>
      <c r="AJ35" s="356">
        <f>+AA35-(AF35*K35/K37)</f>
        <v>-16.70723684210526</v>
      </c>
      <c r="AK35" s="348"/>
      <c r="AL35" s="349"/>
      <c r="AM35" s="341"/>
      <c r="AN35" s="341"/>
      <c r="AO35" s="341"/>
      <c r="AP35" s="341"/>
      <c r="AQ35" s="339">
        <f>-420+AA34</f>
        <v>0</v>
      </c>
      <c r="AR35" s="434">
        <v>1.5</v>
      </c>
      <c r="AT35" s="390">
        <v>870</v>
      </c>
      <c r="AV35" s="390">
        <f t="shared" ref="AV35" si="29">+AT35-AD35</f>
        <v>23</v>
      </c>
    </row>
    <row r="36" spans="2:58" s="98" customFormat="1" ht="62.25" customHeight="1" x14ac:dyDescent="0.9">
      <c r="B36" s="357">
        <f>B35</f>
        <v>6</v>
      </c>
      <c r="C36" s="408"/>
      <c r="D36" s="184"/>
      <c r="E36" s="111">
        <f>+B35</f>
        <v>6</v>
      </c>
      <c r="F36" s="409"/>
      <c r="G36" s="541" t="str">
        <f t="shared" si="28"/>
        <v>2259-600-730</v>
      </c>
      <c r="H36" s="411" t="s">
        <v>413</v>
      </c>
      <c r="I36" s="113">
        <f>+IFERROR(IF(K37=0,0,IF((LOOKUP(2,1/(M36:W36&lt;&gt;""),M36:W36)-K37)&lt;0,0,IF(K37=0,"",LOOKUP(2,1/(M36:W36&lt;&gt;""),M36:W36)-K37))),0)</f>
        <v>1</v>
      </c>
      <c r="J36" s="113">
        <v>0</v>
      </c>
      <c r="K36" s="114" t="s">
        <v>22</v>
      </c>
      <c r="L36" s="102" t="s">
        <v>18</v>
      </c>
      <c r="M36" s="448">
        <v>39</v>
      </c>
      <c r="N36" s="448">
        <v>39</v>
      </c>
      <c r="O36" s="448">
        <v>39</v>
      </c>
      <c r="P36" s="448">
        <v>39</v>
      </c>
      <c r="Q36" s="448">
        <v>39</v>
      </c>
      <c r="R36" s="448">
        <v>39</v>
      </c>
      <c r="S36" s="448">
        <v>39</v>
      </c>
      <c r="T36" s="448">
        <v>39</v>
      </c>
      <c r="U36" s="448"/>
      <c r="V36" s="448"/>
      <c r="W36" s="448"/>
      <c r="X36" s="160">
        <f>+IF(H36="l",IF(COUNTA(M35:W35)=AK37+0.75,AA35-K35*AK37,AA35-(K35*COUNTA(M35:W35))),IF(H36="s",0,IF(COUNTA(M35:W35)=AK37+0.75,SUMIF($C:$C,B35,$AA:$AA)-K35*AK37,SUMIF($C:$C,B35,$AA:$AA)-K35*COUNTA(M35:W35))))</f>
        <v>0.75</v>
      </c>
      <c r="Y36" s="466"/>
      <c r="Z36" s="534"/>
      <c r="AA36" s="498">
        <f t="shared" ref="AA36:AA37" si="30">+SUM(M36:W36)-T36*0.75</f>
        <v>282.75</v>
      </c>
      <c r="AB36" s="360"/>
      <c r="AC36" s="360"/>
      <c r="AD36" s="362"/>
      <c r="AE36" s="363"/>
      <c r="AF36" s="346"/>
      <c r="AG36" s="347">
        <f t="shared" si="1"/>
        <v>0</v>
      </c>
      <c r="AH36" s="341">
        <f t="shared" si="2"/>
        <v>0</v>
      </c>
      <c r="AI36" s="341"/>
      <c r="AJ36" s="356"/>
      <c r="AK36" s="348"/>
      <c r="AL36" s="349">
        <f>+IF(AK37=7.75,SUM(M36:S36)+T36*0.75,IF(AK37=8,SUM(M36:T36),IF(AK37=7.25,SUM(M36:S36)+T36*0.25,IF(AK37=8.25,SUM(M36:T36)+U36*0.25,IF(AK37=8.75,SUM(M36:T36)+U36*0.75,0)))))</f>
        <v>282.75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B35</f>
        <v>6</v>
      </c>
      <c r="C37" s="410"/>
      <c r="D37" s="174" t="s">
        <v>366</v>
      </c>
      <c r="E37" s="175">
        <f>+E36+100</f>
        <v>106</v>
      </c>
      <c r="F37" s="175"/>
      <c r="G37" s="542" t="str">
        <f t="shared" si="28"/>
        <v>2259-600-730</v>
      </c>
      <c r="H37" s="117"/>
      <c r="I37" s="442"/>
      <c r="J37" s="165">
        <f>+IF(K37="","",IF(K35=0,"",(K35*J35)/(K37*60)))</f>
        <v>0.92168859649122814</v>
      </c>
      <c r="K37" s="118">
        <v>38</v>
      </c>
      <c r="L37" s="104" t="s">
        <v>19</v>
      </c>
      <c r="M37" s="216">
        <v>1</v>
      </c>
      <c r="N37" s="216">
        <v>1</v>
      </c>
      <c r="O37" s="216">
        <v>1</v>
      </c>
      <c r="P37" s="216">
        <v>1</v>
      </c>
      <c r="Q37" s="216">
        <v>1</v>
      </c>
      <c r="R37" s="216">
        <v>1</v>
      </c>
      <c r="S37" s="216">
        <v>1</v>
      </c>
      <c r="T37" s="216">
        <v>1</v>
      </c>
      <c r="U37" s="216"/>
      <c r="V37" s="216"/>
      <c r="W37" s="216"/>
      <c r="X37" s="173"/>
      <c r="Y37" s="467">
        <v>14.213333333333335</v>
      </c>
      <c r="Z37" s="365">
        <v>14.213333333333335</v>
      </c>
      <c r="AA37" s="465">
        <f t="shared" si="30"/>
        <v>7.25</v>
      </c>
      <c r="AB37" s="367"/>
      <c r="AC37" s="367"/>
      <c r="AD37" s="368">
        <f>+IFERROR(AD35/(K35*$AQ$3),"")</f>
        <v>1.5868852459016394</v>
      </c>
      <c r="AE37" s="369"/>
      <c r="AF37" s="347"/>
      <c r="AG37" s="347">
        <f t="shared" si="1"/>
        <v>0</v>
      </c>
      <c r="AH37" s="341">
        <f t="shared" si="2"/>
        <v>0</v>
      </c>
      <c r="AI37" s="341"/>
      <c r="AJ37" s="356"/>
      <c r="AK37" s="370">
        <f>+$AJ$4</f>
        <v>7.25</v>
      </c>
      <c r="AL37" s="349">
        <f>+IF(AK37=7.75,SUM(M37:S37)+T37*0.75,IF(AK37=8,SUM(M37:T37),IF(AK37=7.25,SUM(M37:S37)+T37*0.25,IF(AK37=8.25,SUM(M37:T37)+U37*0.25,IF(AK37=8.75,SUM(M37:T37)+U37*0.75,0)))))</f>
        <v>7.25</v>
      </c>
      <c r="AM37" s="341">
        <f>+AL37-AA37</f>
        <v>0</v>
      </c>
      <c r="AN37" s="341"/>
      <c r="AO37" s="341"/>
      <c r="AP37" s="341"/>
      <c r="AQ37" s="369"/>
      <c r="AR37" s="434"/>
      <c r="AT37" s="390">
        <v>1.629976580796253</v>
      </c>
      <c r="AV37" s="390"/>
    </row>
    <row r="38" spans="2:58" s="98" customFormat="1" ht="62.25" customHeight="1" thickTop="1" x14ac:dyDescent="0.9">
      <c r="B38" s="342">
        <f>+B39</f>
        <v>7</v>
      </c>
      <c r="C38" s="405"/>
      <c r="D38" s="106"/>
      <c r="E38" s="106"/>
      <c r="F38" s="106"/>
      <c r="G38" s="540" t="s">
        <v>442</v>
      </c>
      <c r="H38" s="106"/>
      <c r="I38" s="106"/>
      <c r="J38" s="107" t="s">
        <v>20</v>
      </c>
      <c r="K38" s="108" t="s">
        <v>23</v>
      </c>
      <c r="L38" s="100" t="s">
        <v>21</v>
      </c>
      <c r="M38" s="448">
        <v>180</v>
      </c>
      <c r="N38" s="448"/>
      <c r="O38" s="448">
        <v>60</v>
      </c>
      <c r="P38" s="448">
        <v>60</v>
      </c>
      <c r="Q38" s="448">
        <v>120</v>
      </c>
      <c r="R38" s="448"/>
      <c r="S38" s="448"/>
      <c r="T38" s="448"/>
      <c r="U38" s="473"/>
      <c r="V38" s="448"/>
      <c r="W38" s="448"/>
      <c r="X38" s="447">
        <f t="shared" ref="X38" si="31">IF(AQ39="","",SUM(M38:W38)-(-(AQ39-SUM(M38:W38))/$AQ$3)*SUM($M$2:$W$2))</f>
        <v>420</v>
      </c>
      <c r="Y38" s="466">
        <v>11.75</v>
      </c>
      <c r="Z38" s="533">
        <f>+X40</f>
        <v>0.75</v>
      </c>
      <c r="AA38" s="447">
        <f t="shared" si="0"/>
        <v>420</v>
      </c>
      <c r="AB38" s="343">
        <f>+AC38+AA38</f>
        <v>4209</v>
      </c>
      <c r="AC38" s="343">
        <v>3789</v>
      </c>
      <c r="AD38" s="344"/>
      <c r="AE38" s="345"/>
      <c r="AF38" s="346"/>
      <c r="AG38" s="347">
        <f t="shared" si="1"/>
        <v>0</v>
      </c>
      <c r="AH38" s="341">
        <f t="shared" si="2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1.35">
      <c r="B39" s="351">
        <v>7</v>
      </c>
      <c r="C39" s="406">
        <f>+B39</f>
        <v>7</v>
      </c>
      <c r="D39" s="407" t="s">
        <v>441</v>
      </c>
      <c r="E39" s="111"/>
      <c r="F39" s="111" t="s">
        <v>35</v>
      </c>
      <c r="G39" s="541" t="str">
        <f t="shared" ref="G39:G41" si="32">+G38</f>
        <v>2259-600-730</v>
      </c>
      <c r="H39" s="111"/>
      <c r="I39" s="111" t="s">
        <v>33</v>
      </c>
      <c r="J39" s="113">
        <v>34.450000000000003</v>
      </c>
      <c r="K39" s="494">
        <v>61</v>
      </c>
      <c r="L39" s="101" t="s">
        <v>17</v>
      </c>
      <c r="M39" s="214">
        <v>48</v>
      </c>
      <c r="N39" s="214">
        <v>65</v>
      </c>
      <c r="O39" s="214">
        <v>62</v>
      </c>
      <c r="P39" s="214">
        <v>65</v>
      </c>
      <c r="Q39" s="214">
        <v>61</v>
      </c>
      <c r="R39" s="214">
        <v>61</v>
      </c>
      <c r="S39" s="214">
        <v>65</v>
      </c>
      <c r="T39" s="214">
        <v>16</v>
      </c>
      <c r="U39" s="214"/>
      <c r="V39" s="214"/>
      <c r="W39" s="214"/>
      <c r="X39" s="123">
        <f>+IF(H40="s",0,IF(AA39=0,0,IF(COUNTA(M39:W39)=AK41+0.75,SUMIF($C:$C,B39,$AA:$AA)/AK41,SUMIF($C:$C,B39,$AA:$AA)/(COUNTA(M39:W39)))))</f>
        <v>61.103448275862071</v>
      </c>
      <c r="Y39" s="466"/>
      <c r="Z39" s="534"/>
      <c r="AA39" s="134">
        <f t="shared" si="0"/>
        <v>443</v>
      </c>
      <c r="AB39" s="354">
        <f>+AA39+AC39</f>
        <v>3374</v>
      </c>
      <c r="AC39" s="354">
        <v>2931</v>
      </c>
      <c r="AD39" s="355">
        <f>+AB38-AB39</f>
        <v>835</v>
      </c>
      <c r="AE39" s="131">
        <f>+IF(((AA40+(AA41/2))*60)=0,"",(J39*AA39)/((AA40+(AA41/2))*60))</f>
        <v>0.89957854406130267</v>
      </c>
      <c r="AF39" s="347">
        <f>+AA40+AA41/2</f>
        <v>282.75</v>
      </c>
      <c r="AG39" s="347">
        <f t="shared" si="1"/>
        <v>282.45</v>
      </c>
      <c r="AH39" s="341">
        <f t="shared" si="2"/>
        <v>16965</v>
      </c>
      <c r="AI39" s="341">
        <f>+AA39*J39</f>
        <v>15261.35</v>
      </c>
      <c r="AJ39" s="356">
        <f>+AA39-(AF39*K39/K41)</f>
        <v>-10.888157894736821</v>
      </c>
      <c r="AK39" s="348"/>
      <c r="AL39" s="349"/>
      <c r="AM39" s="341"/>
      <c r="AN39" s="341"/>
      <c r="AO39" s="341"/>
      <c r="AP39" s="341"/>
      <c r="AQ39" s="339">
        <f>-420+AA38</f>
        <v>0</v>
      </c>
      <c r="AR39" s="434">
        <v>1.5</v>
      </c>
      <c r="AT39" s="390">
        <v>858</v>
      </c>
      <c r="AV39" s="390">
        <f t="shared" ref="AV39" si="33">+AT39-AD39</f>
        <v>23</v>
      </c>
      <c r="AW39" s="535"/>
      <c r="AX39" s="535"/>
      <c r="AY39" s="535"/>
      <c r="AZ39" s="535"/>
      <c r="BA39" s="535"/>
      <c r="BB39" s="535"/>
      <c r="BC39" s="535"/>
      <c r="BD39" s="535"/>
      <c r="BE39" s="535"/>
      <c r="BF39" s="535"/>
    </row>
    <row r="40" spans="2:58" s="98" customFormat="1" ht="62.25" customHeight="1" x14ac:dyDescent="0.9">
      <c r="B40" s="357">
        <f>B39</f>
        <v>7</v>
      </c>
      <c r="C40" s="408"/>
      <c r="D40" s="184"/>
      <c r="E40" s="111">
        <f>+B39</f>
        <v>7</v>
      </c>
      <c r="F40" s="409"/>
      <c r="G40" s="541" t="str">
        <f t="shared" si="32"/>
        <v>2259-600-730</v>
      </c>
      <c r="H40" s="411" t="s">
        <v>413</v>
      </c>
      <c r="I40" s="113">
        <f>+IFERROR(IF(K41=0,0,IF((LOOKUP(2,1/(M40:W40&lt;&gt;""),M40:W40)-K41)&lt;0,0,IF(K41=0,"",LOOKUP(2,1/(M40:W40&lt;&gt;""),M40:W40)-K41))),0)</f>
        <v>1</v>
      </c>
      <c r="J40" s="113">
        <v>1</v>
      </c>
      <c r="K40" s="114" t="s">
        <v>22</v>
      </c>
      <c r="L40" s="102" t="s">
        <v>18</v>
      </c>
      <c r="M40" s="448">
        <v>39</v>
      </c>
      <c r="N40" s="448">
        <v>39</v>
      </c>
      <c r="O40" s="448">
        <v>39</v>
      </c>
      <c r="P40" s="448">
        <v>39</v>
      </c>
      <c r="Q40" s="448">
        <v>39</v>
      </c>
      <c r="R40" s="448">
        <v>39</v>
      </c>
      <c r="S40" s="448">
        <v>39</v>
      </c>
      <c r="T40" s="448">
        <v>39</v>
      </c>
      <c r="U40" s="448"/>
      <c r="V40" s="448"/>
      <c r="W40" s="448"/>
      <c r="X40" s="160">
        <f>+IF(H40="l",IF(COUNTA(M39:W39)=AK41+0.75,AA39-K39*AK41,AA39-(K39*COUNTA(M39:W39))),IF(H40="s",0,IF(COUNTA(M39:W39)=AK41+0.75,SUMIF($C:$C,B39,$AA:$AA)-K39*AK41,SUMIF($C:$C,B39,$AA:$AA)-K39*COUNTA(M39:W39))))</f>
        <v>0.75</v>
      </c>
      <c r="Y40" s="466"/>
      <c r="Z40" s="534"/>
      <c r="AA40" s="498">
        <f t="shared" ref="AA40:AA41" si="34">+SUM(M40:W40)-T40*0.75</f>
        <v>282.75</v>
      </c>
      <c r="AB40" s="360"/>
      <c r="AC40" s="360"/>
      <c r="AD40" s="362"/>
      <c r="AE40" s="363"/>
      <c r="AF40" s="346"/>
      <c r="AG40" s="347">
        <f t="shared" si="1"/>
        <v>0</v>
      </c>
      <c r="AH40" s="341">
        <f t="shared" si="2"/>
        <v>0</v>
      </c>
      <c r="AI40" s="341"/>
      <c r="AJ40" s="341"/>
      <c r="AK40" s="348"/>
      <c r="AL40" s="349">
        <f>+IF(AK41=7.75,SUM(M40:S40)+T40*0.75,IF(AK41=8,SUM(M40:T40),IF(AK41=7.25,SUM(M40:S40)+T40*0.25,IF(AK41=8.25,SUM(M40:T40)+U40*0.25,IF(AK41=8.75,SUM(M40:T40)+U40*0.75,0)))))</f>
        <v>282.75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72">
        <f>B39</f>
        <v>7</v>
      </c>
      <c r="C41" s="410"/>
      <c r="D41" s="174" t="s">
        <v>93</v>
      </c>
      <c r="E41" s="175">
        <f>+E40+100</f>
        <v>107</v>
      </c>
      <c r="F41" s="175"/>
      <c r="G41" s="542" t="str">
        <f t="shared" si="32"/>
        <v>2259-600-730</v>
      </c>
      <c r="H41" s="117"/>
      <c r="I41" s="442"/>
      <c r="J41" s="165">
        <f>+IF(K41="","",IF(K39=0,"",(K39*J39)/(K41*60)))</f>
        <v>0.92168859649122814</v>
      </c>
      <c r="K41" s="118">
        <v>38</v>
      </c>
      <c r="L41" s="104" t="s">
        <v>19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>
        <v>15.388301092896173</v>
      </c>
      <c r="Z41" s="365">
        <v>15.388301092896173</v>
      </c>
      <c r="AA41" s="465">
        <f t="shared" si="34"/>
        <v>0</v>
      </c>
      <c r="AB41" s="367"/>
      <c r="AC41" s="367"/>
      <c r="AD41" s="368">
        <f>+IFERROR(AD39/(K39*$AQ$3),"")</f>
        <v>1.5644028103044496</v>
      </c>
      <c r="AE41" s="369"/>
      <c r="AF41" s="347"/>
      <c r="AG41" s="347">
        <f t="shared" si="1"/>
        <v>0</v>
      </c>
      <c r="AH41" s="341">
        <f t="shared" si="2"/>
        <v>0</v>
      </c>
      <c r="AI41" s="341"/>
      <c r="AJ41" s="356"/>
      <c r="AK41" s="370">
        <f>+$AJ$4</f>
        <v>7.25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1.6074941451990632</v>
      </c>
      <c r="AV41" s="390"/>
    </row>
    <row r="42" spans="2:58" s="98" customFormat="1" ht="62.25" customHeight="1" thickTop="1" x14ac:dyDescent="0.9">
      <c r="B42" s="342">
        <f>+B43</f>
        <v>8</v>
      </c>
      <c r="C42" s="405"/>
      <c r="D42" s="106"/>
      <c r="E42" s="106"/>
      <c r="F42" s="106"/>
      <c r="G42" s="540" t="s">
        <v>432</v>
      </c>
      <c r="H42" s="106"/>
      <c r="I42" s="106"/>
      <c r="J42" s="107" t="s">
        <v>20</v>
      </c>
      <c r="K42" s="108" t="s">
        <v>23</v>
      </c>
      <c r="L42" s="100" t="s">
        <v>21</v>
      </c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7" t="str">
        <f t="shared" ref="X42" si="35">IF(AQ43="","",SUM(M42:W42)-(-(AQ43-SUM(M42:W42))/$AQ$3)*SUM($M$2:$W$2))</f>
        <v/>
      </c>
      <c r="Y42" s="466">
        <v>0.75</v>
      </c>
      <c r="Z42" s="533">
        <f>+X44</f>
        <v>0</v>
      </c>
      <c r="AA42" s="447">
        <f t="shared" si="0"/>
        <v>0</v>
      </c>
      <c r="AB42" s="343">
        <f>+AC42+AA42</f>
        <v>6529</v>
      </c>
      <c r="AC42" s="343">
        <v>6529</v>
      </c>
      <c r="AD42" s="344"/>
      <c r="AE42" s="345"/>
      <c r="AF42" s="346"/>
      <c r="AG42" s="347">
        <f t="shared" si="1"/>
        <v>0</v>
      </c>
      <c r="AH42" s="341">
        <f t="shared" si="2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0.9">
      <c r="B43" s="351">
        <v>8</v>
      </c>
      <c r="C43" s="406">
        <f>+B43</f>
        <v>8</v>
      </c>
      <c r="D43" s="407" t="s">
        <v>431</v>
      </c>
      <c r="E43" s="111"/>
      <c r="F43" s="111" t="s">
        <v>35</v>
      </c>
      <c r="G43" s="541" t="str">
        <f t="shared" ref="G43:G45" si="36">+G42</f>
        <v>2158-755-712</v>
      </c>
      <c r="H43" s="111"/>
      <c r="I43" s="111" t="s">
        <v>33</v>
      </c>
      <c r="J43" s="113">
        <v>51.42</v>
      </c>
      <c r="K43" s="494">
        <v>53</v>
      </c>
      <c r="L43" s="101" t="s">
        <v>17</v>
      </c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123">
        <f>+IF(H44="s",0,IF(AA43=0,0,IF(COUNTA(M43:W43)=AK45+0.75,SUMIF($C:$C,B43,$AA:$AA)/AK45,SUMIF($C:$C,B43,$AA:$AA)/(COUNTA(M43:W43)))))</f>
        <v>0</v>
      </c>
      <c r="Y43" s="466"/>
      <c r="Z43" s="534"/>
      <c r="AA43" s="134">
        <f t="shared" si="0"/>
        <v>0</v>
      </c>
      <c r="AB43" s="354">
        <f>+AA43+AC43</f>
        <v>5830</v>
      </c>
      <c r="AC43" s="354">
        <v>5830</v>
      </c>
      <c r="AD43" s="355">
        <f>+AB42-AB43</f>
        <v>699</v>
      </c>
      <c r="AE43" s="131" t="str">
        <f>+IF(((AA44+(AA45/2))*60)=0,"",(J43*AA43)/((AA44+(AA45/2))*60))</f>
        <v/>
      </c>
      <c r="AF43" s="347">
        <f>+AA44+AA45/2</f>
        <v>0</v>
      </c>
      <c r="AG43" s="347">
        <f t="shared" si="1"/>
        <v>0</v>
      </c>
      <c r="AH43" s="341">
        <f t="shared" si="2"/>
        <v>0</v>
      </c>
      <c r="AI43" s="341">
        <f>+AA43*J43</f>
        <v>0</v>
      </c>
      <c r="AJ43" s="356">
        <f>+AA43-(AF43*K43/K45)</f>
        <v>0</v>
      </c>
      <c r="AK43" s="348"/>
      <c r="AL43" s="349"/>
      <c r="AM43" s="341"/>
      <c r="AN43" s="341"/>
      <c r="AO43" s="341"/>
      <c r="AP43" s="341"/>
      <c r="AQ43" s="339"/>
      <c r="AR43" s="434">
        <v>1.45</v>
      </c>
      <c r="AT43" s="390">
        <v>699</v>
      </c>
      <c r="AV43" s="390">
        <f t="shared" ref="AV43" si="37">+AT43-AD43</f>
        <v>0</v>
      </c>
    </row>
    <row r="44" spans="2:58" s="98" customFormat="1" ht="62.25" customHeight="1" x14ac:dyDescent="0.9">
      <c r="B44" s="357">
        <f>+B43</f>
        <v>8</v>
      </c>
      <c r="C44" s="408"/>
      <c r="D44" s="184"/>
      <c r="E44" s="111">
        <f>+B43</f>
        <v>8</v>
      </c>
      <c r="F44" s="409"/>
      <c r="G44" s="541" t="str">
        <f t="shared" si="36"/>
        <v>2158-755-712</v>
      </c>
      <c r="H44" s="411"/>
      <c r="I44" s="113">
        <f>+IFERROR(IF(K45=0,0,IF((LOOKUP(2,1/(M44:W44&lt;&gt;""),M44:W44)-K45)&lt;0,0,IF(K45=0,"",LOOKUP(2,1/(M44:W44&lt;&gt;""),M44:W44)-K45))),0)</f>
        <v>0</v>
      </c>
      <c r="J44" s="113"/>
      <c r="K44" s="114" t="s">
        <v>22</v>
      </c>
      <c r="L44" s="102" t="s">
        <v>18</v>
      </c>
      <c r="M44" s="448"/>
      <c r="N44" s="448"/>
      <c r="O44" s="448"/>
      <c r="P44" s="448"/>
      <c r="Q44" s="448"/>
      <c r="R44" s="448"/>
      <c r="S44" s="448"/>
      <c r="T44" s="448"/>
      <c r="U44" s="448"/>
      <c r="V44" s="448"/>
      <c r="W44" s="448"/>
      <c r="X44" s="160">
        <f>+IF(H44="l",IF(COUNTA(M43:W43)=AK45+0.75,AA43-K43*AK45,AA43-(K43*COUNTA(M43:W43))),IF(H44="s",0,IF(COUNTA(M43:W43)=AK45+0.75,SUMIF($C:$C,B43,$AA:$AA)-K43*AK45,SUMIF($C:$C,B43,$AA:$AA)-K43*COUNTA(M43:W43))))</f>
        <v>0</v>
      </c>
      <c r="Y44" s="466"/>
      <c r="Z44" s="534"/>
      <c r="AA44" s="498">
        <f t="shared" ref="AA44:AA45" si="38">+SUM(M44:W44)-T44*0.75</f>
        <v>0</v>
      </c>
      <c r="AB44" s="360"/>
      <c r="AC44" s="360"/>
      <c r="AD44" s="362"/>
      <c r="AE44" s="363"/>
      <c r="AF44" s="346"/>
      <c r="AG44" s="347">
        <f t="shared" si="1"/>
        <v>0</v>
      </c>
      <c r="AH44" s="341">
        <f t="shared" si="2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0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64">
        <f>+B43</f>
        <v>8</v>
      </c>
      <c r="C45" s="410"/>
      <c r="D45" s="174" t="s">
        <v>373</v>
      </c>
      <c r="E45" s="175">
        <f>+E44+100</f>
        <v>108</v>
      </c>
      <c r="F45" s="175"/>
      <c r="G45" s="542" t="str">
        <f t="shared" si="36"/>
        <v>2158-755-712</v>
      </c>
      <c r="H45" s="117"/>
      <c r="I45" s="442"/>
      <c r="J45" s="165">
        <f>+IF(K45="","",IF(K43=0,"",(K43*J43)/(K45*60)))</f>
        <v>0.89060784313725494</v>
      </c>
      <c r="K45" s="118">
        <v>51</v>
      </c>
      <c r="L45" s="104" t="s">
        <v>422</v>
      </c>
      <c r="M45" s="216"/>
      <c r="N45" s="216"/>
      <c r="O45" s="216"/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12.75</v>
      </c>
      <c r="Z45" s="365">
        <v>12.75</v>
      </c>
      <c r="AA45" s="465">
        <f t="shared" si="38"/>
        <v>0</v>
      </c>
      <c r="AB45" s="367"/>
      <c r="AC45" s="367"/>
      <c r="AD45" s="368">
        <f>+IFERROR(AD43/(K43*$AQ$3),"")</f>
        <v>1.507277628032345</v>
      </c>
      <c r="AE45" s="369"/>
      <c r="AF45" s="347"/>
      <c r="AG45" s="347">
        <f t="shared" si="1"/>
        <v>0</v>
      </c>
      <c r="AH45" s="341">
        <f t="shared" si="2"/>
        <v>0</v>
      </c>
      <c r="AI45" s="341"/>
      <c r="AJ45" s="356"/>
      <c r="AK45" s="370">
        <f>+$AJ$4</f>
        <v>7.25</v>
      </c>
      <c r="AL45" s="349">
        <f>+IF(AK45=7.75,SUM(M45:S45)+T45*0.75,IF(AK45=8,SUM(M45:T45),IF(AK45=7.25,SUM(M45:S45)+T45*0.25,IF(AK45=8.25,SUM(M45:T45)+U45*0.25,IF(AK45=8.75,SUM(M45:T45)+U45*0.75,0)))))</f>
        <v>0</v>
      </c>
      <c r="AM45" s="341">
        <f>+AL45-AA45</f>
        <v>0</v>
      </c>
      <c r="AN45" s="341"/>
      <c r="AO45" s="341"/>
      <c r="AP45" s="341"/>
      <c r="AQ45" s="369"/>
      <c r="AR45" s="434"/>
      <c r="AT45" s="390">
        <v>1.507277628032345</v>
      </c>
      <c r="AV45" s="390"/>
    </row>
    <row r="46" spans="2:58" s="98" customFormat="1" ht="62.25" customHeight="1" thickTop="1" x14ac:dyDescent="0.9">
      <c r="B46" s="342">
        <f>+B47</f>
        <v>11</v>
      </c>
      <c r="C46" s="405"/>
      <c r="D46" s="106"/>
      <c r="E46" s="106"/>
      <c r="F46" s="106"/>
      <c r="G46" s="540" t="s">
        <v>481</v>
      </c>
      <c r="H46" s="106"/>
      <c r="I46" s="106"/>
      <c r="J46" s="107" t="s">
        <v>20</v>
      </c>
      <c r="K46" s="108" t="s">
        <v>23</v>
      </c>
      <c r="L46" s="100" t="s">
        <v>21</v>
      </c>
      <c r="M46" s="448">
        <v>180</v>
      </c>
      <c r="N46" s="448">
        <v>240</v>
      </c>
      <c r="O46" s="448"/>
      <c r="P46" s="448"/>
      <c r="Q46" s="448"/>
      <c r="R46" s="448"/>
      <c r="S46" s="448"/>
      <c r="T46" s="448"/>
      <c r="U46" s="448"/>
      <c r="V46" s="448"/>
      <c r="W46" s="448"/>
      <c r="X46" s="447">
        <f t="shared" ref="X46" si="39">IF(AQ47="","",SUM(M46:W46)-(-(AQ47-SUM(M46:W46))/$AQ$3)*SUM($M$2:$W$2))</f>
        <v>420</v>
      </c>
      <c r="Y46" s="466">
        <v>-68</v>
      </c>
      <c r="Z46" s="533">
        <f>+X48</f>
        <v>-26</v>
      </c>
      <c r="AA46" s="447">
        <f t="shared" si="0"/>
        <v>420</v>
      </c>
      <c r="AB46" s="343">
        <f>+AC46+AA46</f>
        <v>4020</v>
      </c>
      <c r="AC46" s="343">
        <v>3600</v>
      </c>
      <c r="AD46" s="344"/>
      <c r="AE46" s="345"/>
      <c r="AF46" s="346"/>
      <c r="AG46" s="347">
        <f t="shared" si="1"/>
        <v>0</v>
      </c>
      <c r="AH46" s="341">
        <f t="shared" si="2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1.35">
      <c r="B47" s="351">
        <v>11</v>
      </c>
      <c r="C47" s="406">
        <f>+B47</f>
        <v>11</v>
      </c>
      <c r="D47" s="407" t="s">
        <v>480</v>
      </c>
      <c r="E47" s="111"/>
      <c r="F47" s="111" t="s">
        <v>35</v>
      </c>
      <c r="G47" s="541" t="str">
        <f t="shared" ref="G47:G49" si="40">+G46</f>
        <v>2396-593-600</v>
      </c>
      <c r="H47" s="111"/>
      <c r="I47" s="111" t="s">
        <v>33</v>
      </c>
      <c r="J47" s="113">
        <v>38.82</v>
      </c>
      <c r="K47" s="130">
        <v>60</v>
      </c>
      <c r="L47" s="101" t="s">
        <v>17</v>
      </c>
      <c r="M47" s="214">
        <v>45</v>
      </c>
      <c r="N47" s="214">
        <v>64</v>
      </c>
      <c r="O47" s="214">
        <v>64</v>
      </c>
      <c r="P47" s="214">
        <v>65</v>
      </c>
      <c r="Q47" s="214">
        <v>32</v>
      </c>
      <c r="R47" s="214">
        <v>60</v>
      </c>
      <c r="S47" s="214">
        <v>60</v>
      </c>
      <c r="T47" s="214">
        <v>19</v>
      </c>
      <c r="U47" s="214"/>
      <c r="V47" s="214"/>
      <c r="W47" s="214"/>
      <c r="X47" s="123">
        <f>+IF(H48="s",0,IF(AA47=0,0,IF(COUNTA(M47:W47)=AK49+0.75,SUMIF($C:$C,B47,$AA:$AA)/AK49,SUMIF($C:$C,B47,$AA:$AA)/(COUNTA(M47:W47)))))</f>
        <v>56.413793103448278</v>
      </c>
      <c r="Y47" s="466"/>
      <c r="Z47" s="534"/>
      <c r="AA47" s="134">
        <f t="shared" si="0"/>
        <v>409</v>
      </c>
      <c r="AB47" s="354">
        <f>+AA47+AC47</f>
        <v>3096</v>
      </c>
      <c r="AC47" s="354">
        <v>2687</v>
      </c>
      <c r="AD47" s="355">
        <f>+AB46-AB47</f>
        <v>924</v>
      </c>
      <c r="AE47" s="131">
        <f>+IF(((AA48+(AA49/2))*60)=0,"",(J47*AA47)/((AA48+(AA49/2))*60))</f>
        <v>0.83907411811335719</v>
      </c>
      <c r="AF47" s="347">
        <f>+AA48+AA49/2</f>
        <v>315.375</v>
      </c>
      <c r="AG47" s="347">
        <f t="shared" si="1"/>
        <v>315.22500000000002</v>
      </c>
      <c r="AH47" s="341">
        <f t="shared" si="2"/>
        <v>18922.5</v>
      </c>
      <c r="AI47" s="341">
        <f>+AA47*J47</f>
        <v>15877.380000000001</v>
      </c>
      <c r="AJ47" s="356">
        <f>+AA47-(AF47*K47/K49)</f>
        <v>-31.058139534883708</v>
      </c>
      <c r="AK47" s="348"/>
      <c r="AL47" s="349"/>
      <c r="AM47" s="341"/>
      <c r="AN47" s="341"/>
      <c r="AO47" s="341"/>
      <c r="AP47" s="341"/>
      <c r="AQ47" s="339">
        <f>-420+AA46</f>
        <v>0</v>
      </c>
      <c r="AR47" s="434">
        <v>1.5</v>
      </c>
      <c r="AT47" s="390">
        <v>913</v>
      </c>
      <c r="AV47" s="390">
        <f t="shared" ref="AV47" si="41">+AT47-AD47</f>
        <v>-11</v>
      </c>
      <c r="AW47" s="535"/>
      <c r="AX47" s="535"/>
      <c r="AY47" s="535"/>
      <c r="AZ47" s="535"/>
      <c r="BA47" s="535"/>
      <c r="BB47" s="535"/>
      <c r="BC47" s="535"/>
      <c r="BD47" s="535"/>
      <c r="BE47" s="535"/>
      <c r="BF47" s="535"/>
    </row>
    <row r="48" spans="2:58" s="98" customFormat="1" ht="62.25" customHeight="1" x14ac:dyDescent="0.9">
      <c r="B48" s="357">
        <f>+B47</f>
        <v>11</v>
      </c>
      <c r="C48" s="408"/>
      <c r="D48" s="184"/>
      <c r="E48" s="111">
        <f>+B47</f>
        <v>11</v>
      </c>
      <c r="F48" s="412"/>
      <c r="G48" s="541" t="str">
        <f t="shared" si="40"/>
        <v>2396-593-600</v>
      </c>
      <c r="H48" s="411" t="s">
        <v>412</v>
      </c>
      <c r="I48" s="113">
        <f>+IFERROR(IF(K49=0,0,IF((LOOKUP(2,1/(M48:W48&lt;&gt;""),M48:W48)-K49)&lt;0,0,IF(K49=0,"",LOOKUP(2,1/(M48:W48&lt;&gt;""),M48:W48)-K49))),0)</f>
        <v>0</v>
      </c>
      <c r="J48" s="113">
        <v>2</v>
      </c>
      <c r="K48" s="114" t="s">
        <v>22</v>
      </c>
      <c r="L48" s="102" t="s">
        <v>18</v>
      </c>
      <c r="M48" s="448">
        <v>43</v>
      </c>
      <c r="N48" s="448">
        <v>43</v>
      </c>
      <c r="O48" s="448">
        <v>43</v>
      </c>
      <c r="P48" s="448">
        <v>43</v>
      </c>
      <c r="Q48" s="448">
        <v>43</v>
      </c>
      <c r="R48" s="448">
        <v>43</v>
      </c>
      <c r="S48" s="448">
        <v>43</v>
      </c>
      <c r="T48" s="448">
        <v>43</v>
      </c>
      <c r="U48" s="448"/>
      <c r="V48" s="448"/>
      <c r="W48" s="448"/>
      <c r="X48" s="160">
        <f>+IF(H48="l",IF(COUNTA(M47:W47)=AK49+0.75,AA47-K47*AK49,AA47-(K47*COUNTA(M47:W47))),IF(H48="s",0,IF(COUNTA(M47:W47)=AK49+0.75,SUMIF($C:$C,B47,$AA:$AA)-K47*AK49,SUMIF($C:$C,B47,$AA:$AA)-K47*COUNTA(M47:W47))))</f>
        <v>-26</v>
      </c>
      <c r="Y48" s="466"/>
      <c r="Z48" s="534"/>
      <c r="AA48" s="498">
        <f t="shared" ref="AA48:AA49" si="42">+SUM(M48:W48)-T48*0.75</f>
        <v>311.75</v>
      </c>
      <c r="AB48" s="360"/>
      <c r="AC48" s="360"/>
      <c r="AD48" s="362"/>
      <c r="AE48" s="363"/>
      <c r="AF48" s="346"/>
      <c r="AG48" s="347">
        <f t="shared" si="1"/>
        <v>0</v>
      </c>
      <c r="AH48" s="341">
        <f t="shared" si="2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311.75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48" s="98" customFormat="1" ht="62.25" customHeight="1" thickBot="1" x14ac:dyDescent="0.95">
      <c r="B49" s="364">
        <f>+B47</f>
        <v>11</v>
      </c>
      <c r="C49" s="410"/>
      <c r="D49" s="174" t="s">
        <v>418</v>
      </c>
      <c r="E49" s="175">
        <f>+E48+100</f>
        <v>111</v>
      </c>
      <c r="F49" s="175"/>
      <c r="G49" s="542" t="str">
        <f t="shared" si="40"/>
        <v>2396-593-600</v>
      </c>
      <c r="H49" s="117"/>
      <c r="I49" s="442"/>
      <c r="J49" s="165">
        <f>+IF(K49="","",IF(K47=0,"",(K47*J47)/(K49*60)))</f>
        <v>0.90279069767441855</v>
      </c>
      <c r="K49" s="118">
        <v>43</v>
      </c>
      <c r="L49" s="104" t="s">
        <v>422</v>
      </c>
      <c r="M49" s="216">
        <v>1</v>
      </c>
      <c r="N49" s="216">
        <v>1</v>
      </c>
      <c r="O49" s="216">
        <v>1</v>
      </c>
      <c r="P49" s="216">
        <v>1</v>
      </c>
      <c r="Q49" s="216">
        <v>1</v>
      </c>
      <c r="R49" s="216">
        <v>1</v>
      </c>
      <c r="S49" s="216">
        <v>1</v>
      </c>
      <c r="T49" s="216">
        <v>1</v>
      </c>
      <c r="U49" s="216"/>
      <c r="V49" s="216"/>
      <c r="W49" s="216"/>
      <c r="X49" s="173"/>
      <c r="Y49" s="467">
        <v>10.253933333333334</v>
      </c>
      <c r="Z49" s="365">
        <v>10.253933333333334</v>
      </c>
      <c r="AA49" s="465">
        <f t="shared" si="42"/>
        <v>7.25</v>
      </c>
      <c r="AB49" s="367"/>
      <c r="AC49" s="367"/>
      <c r="AD49" s="368">
        <f>+IFERROR(AD47/(K47*$AQ$3),"")</f>
        <v>1.76</v>
      </c>
      <c r="AE49" s="369"/>
      <c r="AF49" s="347"/>
      <c r="AG49" s="347">
        <f t="shared" si="1"/>
        <v>0</v>
      </c>
      <c r="AH49" s="341">
        <f t="shared" si="2"/>
        <v>0</v>
      </c>
      <c r="AI49" s="341"/>
      <c r="AJ49" s="356"/>
      <c r="AK49" s="370">
        <f>+$AJ$4</f>
        <v>7.25</v>
      </c>
      <c r="AL49" s="349">
        <f>+IF(AK49=7.75,SUM(M49:S49)+T49*0.75,IF(AK49=8,SUM(M49:T49),IF(AK49=7.25,SUM(M49:S49)+T49*0.25,IF(AK49=8.25,SUM(M49:T49)+U49*0.25,IF(AK49=8.75,SUM(M49:T49)+U49*0.75,0)))))</f>
        <v>7.25</v>
      </c>
      <c r="AM49" s="341">
        <f>+AL49-AA49</f>
        <v>0</v>
      </c>
      <c r="AN49" s="341"/>
      <c r="AO49" s="341"/>
      <c r="AP49" s="341"/>
      <c r="AQ49" s="369"/>
      <c r="AR49" s="434"/>
      <c r="AT49" s="390">
        <v>1.739047619047619</v>
      </c>
      <c r="AV49" s="390"/>
    </row>
    <row r="50" spans="2:48" s="98" customFormat="1" ht="62.25" customHeight="1" thickTop="1" x14ac:dyDescent="0.9">
      <c r="B50" s="342">
        <f>+B51</f>
        <v>12</v>
      </c>
      <c r="C50" s="405"/>
      <c r="D50" s="106"/>
      <c r="E50" s="106"/>
      <c r="F50" s="106"/>
      <c r="G50" s="540"/>
      <c r="H50" s="106"/>
      <c r="I50" s="106"/>
      <c r="J50" s="107" t="s">
        <v>20</v>
      </c>
      <c r="K50" s="108" t="s">
        <v>23</v>
      </c>
      <c r="L50" s="100" t="s">
        <v>21</v>
      </c>
      <c r="M50" s="453"/>
      <c r="N50" s="453"/>
      <c r="O50" s="453"/>
      <c r="P50" s="453"/>
      <c r="Q50" s="453"/>
      <c r="R50" s="453"/>
      <c r="S50" s="453"/>
      <c r="T50" s="453"/>
      <c r="U50" s="453"/>
      <c r="V50" s="453"/>
      <c r="W50" s="453"/>
      <c r="X50" s="447" t="str">
        <f t="shared" ref="X50" si="43">IF(AQ51="","",SUM(M50:W50)-(-(AQ51-SUM(M50:W50))/$AQ$3)*SUM($M$2:$W$2))</f>
        <v/>
      </c>
      <c r="Y50" s="466">
        <v>0</v>
      </c>
      <c r="Z50" s="533">
        <f>+X52</f>
        <v>0</v>
      </c>
      <c r="AA50" s="447">
        <f t="shared" si="0"/>
        <v>0</v>
      </c>
      <c r="AB50" s="343">
        <f>+AC50+AA50</f>
        <v>0</v>
      </c>
      <c r="AC50" s="343">
        <v>0</v>
      </c>
      <c r="AD50" s="344"/>
      <c r="AE50" s="345"/>
      <c r="AF50" s="346"/>
      <c r="AG50" s="347"/>
      <c r="AH50" s="341"/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48" s="98" customFormat="1" ht="62.25" customHeight="1" x14ac:dyDescent="0.9">
      <c r="B51" s="351">
        <v>12</v>
      </c>
      <c r="C51" s="406">
        <v>12</v>
      </c>
      <c r="D51" s="407"/>
      <c r="E51" s="111"/>
      <c r="F51" s="111"/>
      <c r="G51" s="541"/>
      <c r="H51" s="111"/>
      <c r="I51" s="111"/>
      <c r="J51" s="113"/>
      <c r="K51" s="130"/>
      <c r="L51" s="101" t="s">
        <v>17</v>
      </c>
      <c r="M51" s="454"/>
      <c r="N51" s="454"/>
      <c r="O51" s="454"/>
      <c r="P51" s="454"/>
      <c r="Q51" s="454"/>
      <c r="R51" s="454"/>
      <c r="S51" s="454"/>
      <c r="T51" s="454"/>
      <c r="U51" s="454"/>
      <c r="V51" s="454"/>
      <c r="W51" s="454"/>
      <c r="X51" s="123">
        <f>+IF(H52="s",0,IF(AA51=0,0,IF(COUNTA(M51:W51)=AK53+0.75,SUMIF($C:$C,B51,$AA:$AA)/AK53,SUMIF($C:$C,B51,$AA:$AA)/(COUNTA(M51:W51)))))</f>
        <v>0</v>
      </c>
      <c r="Y51" s="466"/>
      <c r="Z51" s="534"/>
      <c r="AA51" s="134">
        <f t="shared" si="0"/>
        <v>0</v>
      </c>
      <c r="AB51" s="354">
        <f>+AA51+AC51</f>
        <v>0</v>
      </c>
      <c r="AC51" s="354">
        <v>0</v>
      </c>
      <c r="AD51" s="355">
        <f>+AB50-AB51</f>
        <v>0</v>
      </c>
      <c r="AE51" s="131" t="str">
        <f>+IF(((AA52+(AA53/2))*60)=0,"",(J51*AA51)/((AA52+(AA53/2))*60))</f>
        <v/>
      </c>
      <c r="AF51" s="347"/>
      <c r="AG51" s="347"/>
      <c r="AH51" s="341"/>
      <c r="AI51" s="341"/>
      <c r="AJ51" s="356"/>
      <c r="AK51" s="348"/>
      <c r="AL51" s="349"/>
      <c r="AM51" s="341"/>
      <c r="AN51" s="341"/>
      <c r="AO51" s="341"/>
      <c r="AP51" s="341"/>
      <c r="AQ51" s="339" t="str">
        <f t="shared" si="13"/>
        <v/>
      </c>
      <c r="AR51" s="434"/>
      <c r="AT51" s="390">
        <v>0</v>
      </c>
      <c r="AV51" s="390">
        <f t="shared" ref="AV51" si="44">+AT51-AD51</f>
        <v>0</v>
      </c>
    </row>
    <row r="52" spans="2:48" s="98" customFormat="1" ht="62.25" customHeight="1" x14ac:dyDescent="0.9">
      <c r="B52" s="357">
        <f>+B51</f>
        <v>12</v>
      </c>
      <c r="C52" s="408"/>
      <c r="D52" s="184"/>
      <c r="E52" s="111">
        <f>+B51</f>
        <v>12</v>
      </c>
      <c r="F52" s="409"/>
      <c r="G52" s="541"/>
      <c r="H52" s="411"/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53"/>
      <c r="N52" s="453"/>
      <c r="O52" s="453"/>
      <c r="P52" s="453"/>
      <c r="Q52" s="453"/>
      <c r="R52" s="453"/>
      <c r="S52" s="453"/>
      <c r="T52" s="453"/>
      <c r="U52" s="453"/>
      <c r="V52" s="453"/>
      <c r="W52" s="453"/>
      <c r="X52" s="160">
        <f>+IF(H52="l",IF(COUNTA(M51:W51)=AK53+0.75,AA51-K51*AK53,AA51-(K51*COUNTA(M51:W51))),IF(H52="s",0,IF(COUNTA(M51:W51)=AK53+0.75,SUMIF($C:$C,B51,$AA:$AA)-K51*AK53,SUMIF($C:$C,B51,$AA:$AA)-K51*COUNTA(M51:W51))))</f>
        <v>0</v>
      </c>
      <c r="Y52" s="466"/>
      <c r="Z52" s="534"/>
      <c r="AA52" s="498">
        <f t="shared" ref="AA52:AA53" si="45">+SUM(M52:W52)-T52*0.75</f>
        <v>0</v>
      </c>
      <c r="AB52" s="360"/>
      <c r="AC52" s="360"/>
      <c r="AD52" s="362"/>
      <c r="AE52" s="363"/>
      <c r="AF52" s="346"/>
      <c r="AG52" s="347"/>
      <c r="AH52" s="341"/>
      <c r="AI52" s="341"/>
      <c r="AJ52" s="341"/>
      <c r="AK52" s="348"/>
      <c r="AL52" s="349"/>
      <c r="AM52" s="341"/>
      <c r="AN52" s="341"/>
      <c r="AO52" s="341"/>
      <c r="AP52" s="341"/>
      <c r="AQ52" s="438"/>
      <c r="AR52" s="434"/>
      <c r="AT52" s="390"/>
      <c r="AV52" s="390"/>
    </row>
    <row r="53" spans="2:48" s="98" customFormat="1" ht="62.25" customHeight="1" thickBot="1" x14ac:dyDescent="0.95">
      <c r="B53" s="364">
        <f>+B51</f>
        <v>12</v>
      </c>
      <c r="C53" s="410"/>
      <c r="D53" s="174"/>
      <c r="E53" s="175">
        <f>+E52+100</f>
        <v>112</v>
      </c>
      <c r="F53" s="175"/>
      <c r="G53" s="542"/>
      <c r="H53" s="117"/>
      <c r="I53" s="442"/>
      <c r="J53" s="165" t="str">
        <f>+IF(K53="","",IF(K51=0,"",(K51*J51)/(K53*60)))</f>
        <v/>
      </c>
      <c r="K53" s="118"/>
      <c r="L53" s="104" t="s">
        <v>19</v>
      </c>
      <c r="M53" s="455"/>
      <c r="N53" s="455"/>
      <c r="O53" s="455"/>
      <c r="P53" s="455"/>
      <c r="Q53" s="455"/>
      <c r="R53" s="455"/>
      <c r="S53" s="455"/>
      <c r="T53" s="455"/>
      <c r="U53" s="455"/>
      <c r="V53" s="455"/>
      <c r="W53" s="455"/>
      <c r="X53" s="173"/>
      <c r="Y53" s="467"/>
      <c r="Z53" s="371"/>
      <c r="AA53" s="465">
        <f t="shared" si="45"/>
        <v>0</v>
      </c>
      <c r="AB53" s="367"/>
      <c r="AC53" s="367"/>
      <c r="AD53" s="368" t="str">
        <f>+IFERROR(AD51/(K51*$AQ$3),"")</f>
        <v/>
      </c>
      <c r="AE53" s="369"/>
      <c r="AF53" s="347"/>
      <c r="AG53" s="347"/>
      <c r="AH53" s="341"/>
      <c r="AI53" s="341"/>
      <c r="AJ53" s="356"/>
      <c r="AK53" s="370">
        <f>+$AJ$4</f>
        <v>7.25</v>
      </c>
      <c r="AL53" s="349"/>
      <c r="AM53" s="341"/>
      <c r="AN53" s="341"/>
      <c r="AO53" s="341"/>
      <c r="AP53" s="341"/>
      <c r="AQ53" s="369"/>
      <c r="AR53" s="434"/>
      <c r="AT53" s="390" t="s">
        <v>416</v>
      </c>
      <c r="AV53" s="390"/>
    </row>
    <row r="54" spans="2:48" s="98" customFormat="1" ht="62.25" customHeight="1" thickTop="1" x14ac:dyDescent="0.9">
      <c r="B54" s="342">
        <f>+B55</f>
        <v>13</v>
      </c>
      <c r="C54" s="405"/>
      <c r="D54" s="106"/>
      <c r="E54" s="106"/>
      <c r="F54" s="106"/>
      <c r="G54" s="540" t="s">
        <v>476</v>
      </c>
      <c r="H54" s="106"/>
      <c r="I54" s="106"/>
      <c r="J54" s="107" t="s">
        <v>20</v>
      </c>
      <c r="K54" s="108" t="s">
        <v>23</v>
      </c>
      <c r="L54" s="100" t="s">
        <v>21</v>
      </c>
      <c r="M54" s="448"/>
      <c r="N54" s="448"/>
      <c r="O54" s="448"/>
      <c r="P54" s="448"/>
      <c r="Q54" s="448"/>
      <c r="R54" s="448"/>
      <c r="S54" s="448"/>
      <c r="T54" s="448"/>
      <c r="U54" s="448"/>
      <c r="V54" s="448"/>
      <c r="W54" s="448"/>
      <c r="X54" s="447" t="str">
        <f t="shared" ref="X54" si="46">IF(AQ55="","",SUM(M54:W54)-(-(AQ55-SUM(M54:W54))/$AQ$3)*SUM($M$2:$W$2))</f>
        <v/>
      </c>
      <c r="Y54" s="466">
        <v>-618</v>
      </c>
      <c r="Z54" s="533">
        <f>+X56</f>
        <v>0</v>
      </c>
      <c r="AA54" s="447">
        <f t="shared" si="0"/>
        <v>0</v>
      </c>
      <c r="AB54" s="343">
        <f>+AC54+AA54</f>
        <v>2640</v>
      </c>
      <c r="AC54" s="343">
        <v>2640</v>
      </c>
      <c r="AD54" s="344"/>
      <c r="AE54" s="345"/>
      <c r="AF54" s="346"/>
      <c r="AG54" s="347">
        <f t="shared" si="1"/>
        <v>0</v>
      </c>
      <c r="AH54" s="341">
        <f t="shared" si="2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48" s="98" customFormat="1" ht="62.25" customHeight="1" x14ac:dyDescent="0.9">
      <c r="B55" s="351">
        <v>13</v>
      </c>
      <c r="C55" s="406">
        <f>+B55</f>
        <v>13</v>
      </c>
      <c r="D55" s="407" t="s">
        <v>474</v>
      </c>
      <c r="E55" s="111"/>
      <c r="F55" s="111" t="s">
        <v>475</v>
      </c>
      <c r="G55" s="541" t="str">
        <f t="shared" ref="G55:G57" si="47">+G54</f>
        <v>Cheristina-blanc</v>
      </c>
      <c r="H55" s="111"/>
      <c r="I55" s="111" t="s">
        <v>477</v>
      </c>
      <c r="J55" s="113">
        <v>22.52</v>
      </c>
      <c r="K55" s="130">
        <v>140</v>
      </c>
      <c r="L55" s="101" t="s">
        <v>17</v>
      </c>
      <c r="M55" s="214">
        <v>80</v>
      </c>
      <c r="N55" s="214">
        <v>90</v>
      </c>
      <c r="O55" s="214">
        <v>100</v>
      </c>
      <c r="P55" s="214">
        <v>70</v>
      </c>
      <c r="Q55" s="214">
        <v>63</v>
      </c>
      <c r="R55" s="214">
        <v>75</v>
      </c>
      <c r="S55" s="214"/>
      <c r="T55" s="214"/>
      <c r="U55" s="214"/>
      <c r="V55" s="214"/>
      <c r="W55" s="214"/>
      <c r="X55" s="123">
        <f>+IF(H56="s",0,IF(AA55=0,0,IF(COUNTA(M55:W55)=AK57+0.75,SUMIF($C:$C,B55,$AA:$AA)/AK57,SUMIF($C:$C,B55,$AA:$AA)/(COUNTA(M55:W55)))))</f>
        <v>0</v>
      </c>
      <c r="Y55" s="466"/>
      <c r="Z55" s="534"/>
      <c r="AA55" s="134">
        <f t="shared" si="0"/>
        <v>478</v>
      </c>
      <c r="AB55" s="354">
        <f>+AA55+AC55</f>
        <v>2640</v>
      </c>
      <c r="AC55" s="354">
        <v>2162</v>
      </c>
      <c r="AD55" s="355">
        <f>+AB54-AB55</f>
        <v>0</v>
      </c>
      <c r="AE55" s="131">
        <f>+IF(((AA56+(AA57/2))*60)=0,"",(J55*AA55)/((AA56+(AA57/2))*60))</f>
        <v>0.73831001371742111</v>
      </c>
      <c r="AF55" s="347">
        <f>+AA56+AA57/2</f>
        <v>243</v>
      </c>
      <c r="AG55" s="347">
        <f t="shared" si="1"/>
        <v>243</v>
      </c>
      <c r="AH55" s="341">
        <f t="shared" si="2"/>
        <v>14580</v>
      </c>
      <c r="AI55" s="341">
        <f>+AA55*J55</f>
        <v>10764.56</v>
      </c>
      <c r="AJ55" s="356">
        <f>+AA55-(AF55*K55/K57)</f>
        <v>-108.55172413793105</v>
      </c>
      <c r="AK55" s="348"/>
      <c r="AL55" s="349"/>
      <c r="AM55" s="341"/>
      <c r="AN55" s="341"/>
      <c r="AO55" s="341"/>
      <c r="AP55" s="341"/>
      <c r="AQ55" s="339" t="str">
        <f t="shared" ref="AQ55" si="48">IF(AR55=0,"",AT55-(($AQ$3*K55)+($AQ$3*K55)*AR55)+AA54)</f>
        <v/>
      </c>
      <c r="AR55" s="434"/>
      <c r="AT55" s="390">
        <v>478</v>
      </c>
      <c r="AV55" s="390">
        <f t="shared" ref="AV55" si="49">+AT55-AD55</f>
        <v>478</v>
      </c>
    </row>
    <row r="56" spans="2:48" s="98" customFormat="1" ht="62.25" customHeight="1" x14ac:dyDescent="0.9">
      <c r="B56" s="357">
        <f>+B55</f>
        <v>13</v>
      </c>
      <c r="C56" s="408"/>
      <c r="D56" s="184"/>
      <c r="E56" s="111">
        <f>+B55</f>
        <v>13</v>
      </c>
      <c r="F56" s="409"/>
      <c r="G56" s="541" t="str">
        <f t="shared" si="47"/>
        <v>Cheristina-blanc</v>
      </c>
      <c r="H56" s="411" t="s">
        <v>414</v>
      </c>
      <c r="I56" s="113">
        <f>+IFERROR(IF(K57=0,0,IF((LOOKUP(2,1/(M56:W56&lt;&gt;""),M56:W56)-K57)&lt;0,0,IF(K57=0,"",LOOKUP(2,1/(M56:W56&lt;&gt;""),M56:W56)-K57))),0)</f>
        <v>0</v>
      </c>
      <c r="J56" s="113"/>
      <c r="K56" s="114" t="s">
        <v>22</v>
      </c>
      <c r="L56" s="102" t="s">
        <v>18</v>
      </c>
      <c r="M56" s="448">
        <v>50</v>
      </c>
      <c r="N56" s="448">
        <v>50</v>
      </c>
      <c r="O56" s="448">
        <v>48</v>
      </c>
      <c r="P56" s="448">
        <v>45</v>
      </c>
      <c r="Q56" s="448">
        <v>25</v>
      </c>
      <c r="R56" s="448">
        <v>25</v>
      </c>
      <c r="S56" s="448"/>
      <c r="T56" s="448"/>
      <c r="U56" s="448"/>
      <c r="V56" s="448"/>
      <c r="W56" s="448"/>
      <c r="X56" s="160">
        <f>+IF(H56="l",IF(COUNTA(M55:W55)=AK57+0.75,AA55-K55*AK57,AA55-(K55*COUNTA(M55:W55))),IF(H56="s",0,IF(COUNTA(M55:W55)=AK57+0.75,SUMIF($C:$C,B55,$AA:$AA)-K55*AK57,SUMIF($C:$C,B55,$AA:$AA)-K55*COUNTA(M55:W55))))</f>
        <v>0</v>
      </c>
      <c r="Y56" s="466"/>
      <c r="Z56" s="534"/>
      <c r="AA56" s="498">
        <f t="shared" ref="AA56:AA57" si="50">+SUM(M56:W56)-T56*0.75</f>
        <v>243</v>
      </c>
      <c r="AB56" s="360"/>
      <c r="AC56" s="360"/>
      <c r="AD56" s="362"/>
      <c r="AE56" s="363"/>
      <c r="AF56" s="346"/>
      <c r="AG56" s="347">
        <f t="shared" si="1"/>
        <v>0</v>
      </c>
      <c r="AH56" s="341">
        <f t="shared" si="2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243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48" s="98" customFormat="1" ht="62.25" customHeight="1" thickBot="1" x14ac:dyDescent="0.95">
      <c r="B57" s="364">
        <f>+B55</f>
        <v>13</v>
      </c>
      <c r="C57" s="410"/>
      <c r="D57" s="174" t="s">
        <v>379</v>
      </c>
      <c r="E57" s="175">
        <f>+E56+100</f>
        <v>113</v>
      </c>
      <c r="F57" s="175"/>
      <c r="G57" s="542" t="str">
        <f t="shared" si="47"/>
        <v>Cheristina-blanc</v>
      </c>
      <c r="H57" s="117"/>
      <c r="I57" s="442"/>
      <c r="J57" s="165">
        <f>+IF(K57="","",IF(K55=0,"",(K55*J55)/(K57*60)))</f>
        <v>0.9059770114942528</v>
      </c>
      <c r="K57" s="118">
        <v>58</v>
      </c>
      <c r="L57" s="104" t="s">
        <v>19</v>
      </c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173"/>
      <c r="Y57" s="467">
        <v>30.076442857142855</v>
      </c>
      <c r="Z57" s="371">
        <f>+IF(COUNTA(M55:W55)=$AJ$4+0.25,$AJ$4-(AA55/K55),COUNTA(M55:W55)-(AA55/K55))+Y57</f>
        <v>32.66215714285714</v>
      </c>
      <c r="AA57" s="465">
        <f t="shared" si="50"/>
        <v>0</v>
      </c>
      <c r="AB57" s="367"/>
      <c r="AC57" s="367"/>
      <c r="AD57" s="368">
        <f>+IFERROR(AD55/(K55*$AQ$3),"")</f>
        <v>0</v>
      </c>
      <c r="AE57" s="369"/>
      <c r="AF57" s="347"/>
      <c r="AG57" s="347">
        <f t="shared" si="1"/>
        <v>0</v>
      </c>
      <c r="AH57" s="341">
        <f t="shared" si="2"/>
        <v>0</v>
      </c>
      <c r="AI57" s="341"/>
      <c r="AJ57" s="356"/>
      <c r="AK57" s="370">
        <f>+$AJ$4</f>
        <v>7.25</v>
      </c>
      <c r="AL57" s="349">
        <f>+IF(AK57=7.75,SUM(M57:S57)+T57*0.75,IF(AK57=8,SUM(M57:T57),IF(AK57=7.25,SUM(M57:S57)+T57*0.25,IF(AK57=8.25,SUM(M57:T57)+U57*0.25,IF(AK57=8.75,SUM(M57:T57)+U57*0.75,0)))))</f>
        <v>0</v>
      </c>
      <c r="AM57" s="341">
        <f>+AL57-AA57</f>
        <v>0</v>
      </c>
      <c r="AN57" s="341"/>
      <c r="AO57" s="341"/>
      <c r="AP57" s="341"/>
      <c r="AQ57" s="369"/>
      <c r="AR57" s="434"/>
      <c r="AT57" s="390">
        <v>0.39020408163265308</v>
      </c>
      <c r="AV57" s="390"/>
    </row>
    <row r="58" spans="2:48" s="98" customFormat="1" ht="62.25" customHeight="1" thickTop="1" x14ac:dyDescent="0.9">
      <c r="B58" s="342">
        <f>+B59</f>
        <v>13</v>
      </c>
      <c r="C58" s="405"/>
      <c r="D58" s="106"/>
      <c r="E58" s="106"/>
      <c r="F58" s="106"/>
      <c r="G58" s="539" t="s">
        <v>497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50</v>
      </c>
      <c r="N58" s="448"/>
      <c r="O58" s="448"/>
      <c r="P58" s="448">
        <v>50</v>
      </c>
      <c r="Q58" s="448"/>
      <c r="R58" s="448"/>
      <c r="S58" s="448"/>
      <c r="T58" s="448"/>
      <c r="U58" s="448"/>
      <c r="V58" s="448"/>
      <c r="W58" s="448"/>
      <c r="X58" s="447">
        <f t="shared" ref="X58" si="51">IF(AQ59="","",SUM(M58:W58)-(-(AQ59-SUM(M58:W58))/$AQ$3)*SUM($M$2:$W$2))</f>
        <v>100</v>
      </c>
      <c r="Y58" s="466">
        <v>0</v>
      </c>
      <c r="Z58" s="533">
        <f>+X60</f>
        <v>-120</v>
      </c>
      <c r="AA58" s="447">
        <f t="shared" si="0"/>
        <v>100</v>
      </c>
      <c r="AB58" s="343">
        <f>+AC58+AA58</f>
        <v>147</v>
      </c>
      <c r="AC58" s="343">
        <v>47</v>
      </c>
      <c r="AD58" s="344"/>
      <c r="AE58" s="345"/>
      <c r="AF58" s="346"/>
      <c r="AG58" s="347">
        <f t="shared" si="1"/>
        <v>0</v>
      </c>
      <c r="AH58" s="341">
        <f t="shared" si="2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48" s="98" customFormat="1" ht="62.25" customHeight="1" x14ac:dyDescent="0.9">
      <c r="B59" s="351">
        <v>13</v>
      </c>
      <c r="C59" s="406">
        <f>+B59</f>
        <v>13</v>
      </c>
      <c r="D59" s="407" t="s">
        <v>496</v>
      </c>
      <c r="E59" s="111"/>
      <c r="F59" s="111" t="s">
        <v>35</v>
      </c>
      <c r="G59" s="539" t="str">
        <f>+G58</f>
        <v>2397-582-401</v>
      </c>
      <c r="H59" s="111"/>
      <c r="I59" s="111" t="s">
        <v>41</v>
      </c>
      <c r="J59" s="113"/>
      <c r="K59" s="130">
        <v>60</v>
      </c>
      <c r="L59" s="101" t="s">
        <v>17</v>
      </c>
      <c r="M59" s="214"/>
      <c r="N59" s="214"/>
      <c r="O59" s="214"/>
      <c r="P59" s="214"/>
      <c r="Q59" s="214"/>
      <c r="R59" s="214"/>
      <c r="S59" s="214">
        <v>0</v>
      </c>
      <c r="T59" s="214">
        <v>0</v>
      </c>
      <c r="U59" s="214"/>
      <c r="V59" s="214"/>
      <c r="W59" s="214"/>
      <c r="X59" s="123">
        <f>+IF(H60="s",0,IF(AA59=0,0,IF(COUNTA(M59:W59)=AK61+0.75,SUMIF($C:$C,B59,$AA:$AA)/AK61,SUMIF($C:$C,B59,$AA:$AA)/(COUNTA(M59:W59)))))</f>
        <v>0</v>
      </c>
      <c r="Y59" s="466"/>
      <c r="Z59" s="534"/>
      <c r="AA59" s="134">
        <f t="shared" si="0"/>
        <v>0</v>
      </c>
      <c r="AB59" s="354">
        <f>+AA59+AC59</f>
        <v>0</v>
      </c>
      <c r="AC59" s="354">
        <v>0</v>
      </c>
      <c r="AD59" s="355">
        <f>+AB58-AB59</f>
        <v>147</v>
      </c>
      <c r="AE59" s="131">
        <f>+IF(((AA60+(AA61/2))*60)=0,"",(J59*AA59)/((AA60+(AA61/2))*60))</f>
        <v>0</v>
      </c>
      <c r="AF59" s="347">
        <f>+AA60+AA61/2</f>
        <v>84.5</v>
      </c>
      <c r="AG59" s="347">
        <f t="shared" si="1"/>
        <v>84.3</v>
      </c>
      <c r="AH59" s="341">
        <f t="shared" si="2"/>
        <v>5070</v>
      </c>
      <c r="AI59" s="341">
        <f>+AA59*J59</f>
        <v>0</v>
      </c>
      <c r="AJ59" s="356" t="e">
        <f>+AA59-(AF59*K59/K61)</f>
        <v>#DIV/0!</v>
      </c>
      <c r="AK59" s="348"/>
      <c r="AL59" s="349"/>
      <c r="AM59" s="341"/>
      <c r="AN59" s="341"/>
      <c r="AO59" s="341"/>
      <c r="AP59" s="341"/>
      <c r="AQ59" s="339">
        <f>-240+AA58</f>
        <v>-140</v>
      </c>
      <c r="AR59" s="434">
        <v>1</v>
      </c>
      <c r="AT59" s="390">
        <v>47</v>
      </c>
      <c r="AV59" s="390">
        <f t="shared" ref="AV59" si="52">+AT59-AD59</f>
        <v>-100</v>
      </c>
    </row>
    <row r="60" spans="2:48" s="98" customFormat="1" ht="62.25" customHeight="1" x14ac:dyDescent="0.9">
      <c r="B60" s="357">
        <f>+B59</f>
        <v>13</v>
      </c>
      <c r="C60" s="408"/>
      <c r="D60" s="184"/>
      <c r="E60" s="111">
        <f>+B59</f>
        <v>13</v>
      </c>
      <c r="F60" s="409"/>
      <c r="G60" s="539" t="str">
        <f>+G59</f>
        <v>2397-582-401</v>
      </c>
      <c r="H60" s="411" t="s">
        <v>413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48">
        <v>5</v>
      </c>
      <c r="N60" s="448">
        <v>5</v>
      </c>
      <c r="O60" s="448">
        <v>7</v>
      </c>
      <c r="P60" s="448">
        <v>7</v>
      </c>
      <c r="Q60" s="448">
        <v>9</v>
      </c>
      <c r="R60" s="448">
        <v>9</v>
      </c>
      <c r="S60" s="448">
        <v>34</v>
      </c>
      <c r="T60" s="448">
        <v>34</v>
      </c>
      <c r="U60" s="448"/>
      <c r="V60" s="448"/>
      <c r="W60" s="448"/>
      <c r="X60" s="160">
        <f>+IF(H60="l",IF(COUNTA(M59:W59)=AK61+0.75,AA59-K59*AK61,AA59-(K59*COUNTA(M59:W59))),IF(H60="s",0,IF(COUNTA(M59:W59)=AK61+0.75,SUMIF($C:$C,B59,$AA:$AA)-K59*AK61,SUMIF($C:$C,B59,$AA:$AA)-K59*COUNTA(M59:W59))))</f>
        <v>-120</v>
      </c>
      <c r="Y60" s="466"/>
      <c r="Z60" s="534"/>
      <c r="AA60" s="498">
        <f t="shared" ref="AA60:AA61" si="53">+SUM(M60:W60)-T60*0.75</f>
        <v>84.5</v>
      </c>
      <c r="AB60" s="360"/>
      <c r="AC60" s="360"/>
      <c r="AD60" s="362"/>
      <c r="AE60" s="363"/>
      <c r="AF60" s="346"/>
      <c r="AG60" s="347">
        <f t="shared" si="1"/>
        <v>0</v>
      </c>
      <c r="AH60" s="341">
        <f t="shared" si="2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84.5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48" s="98" customFormat="1" ht="62.25" customHeight="1" thickBot="1" x14ac:dyDescent="0.95">
      <c r="B61" s="364">
        <f>+B59</f>
        <v>13</v>
      </c>
      <c r="C61" s="410"/>
      <c r="D61" s="174" t="s">
        <v>379</v>
      </c>
      <c r="E61" s="175">
        <f>+E60+100</f>
        <v>113</v>
      </c>
      <c r="F61" s="175"/>
      <c r="G61" s="539" t="str">
        <f>+G60</f>
        <v>2397-582-401</v>
      </c>
      <c r="H61" s="117"/>
      <c r="I61" s="442"/>
      <c r="J61" s="165" t="str">
        <f>+IF(K61="","",IF(K59=0,"",(K59*J59)/(K61*60)))</f>
        <v/>
      </c>
      <c r="K61" s="118"/>
      <c r="L61" s="104" t="s">
        <v>19</v>
      </c>
      <c r="M61" s="216"/>
      <c r="N61" s="216"/>
      <c r="O61" s="216"/>
      <c r="P61" s="216"/>
      <c r="Q61" s="216"/>
      <c r="R61" s="216"/>
      <c r="S61" s="216"/>
      <c r="T61" s="216"/>
      <c r="U61" s="216"/>
      <c r="V61" s="216"/>
      <c r="W61" s="216"/>
      <c r="X61" s="173"/>
      <c r="Y61" s="467" t="e">
        <v>#DIV/0!</v>
      </c>
      <c r="Z61" s="371" t="e">
        <f>+IF(COUNTA(M59:W59)=$AJ$4+0.25,$AJ$4-(AA59/K59),COUNTA(M59:W59)-(AA59/K59))+Y61</f>
        <v>#DIV/0!</v>
      </c>
      <c r="AA61" s="465">
        <f t="shared" si="53"/>
        <v>0</v>
      </c>
      <c r="AB61" s="367"/>
      <c r="AC61" s="367"/>
      <c r="AD61" s="368">
        <f>+IFERROR(AD59/(K59*$AQ$3),"")</f>
        <v>0.28000000000000003</v>
      </c>
      <c r="AE61" s="369"/>
      <c r="AF61" s="347"/>
      <c r="AG61" s="347">
        <f t="shared" si="1"/>
        <v>0</v>
      </c>
      <c r="AH61" s="341">
        <f t="shared" si="2"/>
        <v>0</v>
      </c>
      <c r="AI61" s="341"/>
      <c r="AJ61" s="356"/>
      <c r="AK61" s="370">
        <f>+$AJ$4</f>
        <v>7.25</v>
      </c>
      <c r="AL61" s="349">
        <f>+IF(AK61=7.75,SUM(M61:S61)+T61*0.75,IF(AK61=8,SUM(M61:T61),IF(AK61=7.25,SUM(M61:S61)+T61*0.25,IF(AK61=8.25,SUM(M61:T61)+U61*0.25,IF(AK61=8.75,SUM(M61:T61)+U61*0.75,0)))))</f>
        <v>0</v>
      </c>
      <c r="AM61" s="341">
        <f>+AL61-AA61</f>
        <v>0</v>
      </c>
      <c r="AN61" s="341"/>
      <c r="AO61" s="341"/>
      <c r="AP61" s="341"/>
      <c r="AQ61" s="369"/>
      <c r="AR61" s="434"/>
      <c r="AT61" s="390" t="s">
        <v>416</v>
      </c>
      <c r="AV61" s="390"/>
    </row>
    <row r="62" spans="2:48" s="98" customFormat="1" ht="58.5" customHeight="1" thickTop="1" x14ac:dyDescent="0.9">
      <c r="B62" s="373">
        <f>+B63</f>
        <v>14</v>
      </c>
      <c r="C62" s="405"/>
      <c r="D62" s="106"/>
      <c r="E62" s="106"/>
      <c r="F62" s="106"/>
      <c r="G62" s="540" t="s">
        <v>481</v>
      </c>
      <c r="H62" s="106"/>
      <c r="I62" s="106"/>
      <c r="J62" s="107" t="s">
        <v>20</v>
      </c>
      <c r="K62" s="108" t="s">
        <v>23</v>
      </c>
      <c r="L62" s="100" t="s">
        <v>21</v>
      </c>
      <c r="M62" s="448">
        <v>180</v>
      </c>
      <c r="N62" s="448">
        <v>180</v>
      </c>
      <c r="O62" s="448"/>
      <c r="P62" s="448"/>
      <c r="Q62" s="448">
        <v>60</v>
      </c>
      <c r="R62" s="448"/>
      <c r="S62" s="448"/>
      <c r="T62" s="448"/>
      <c r="U62" s="448"/>
      <c r="V62" s="448"/>
      <c r="W62" s="448"/>
      <c r="X62" s="447">
        <f t="shared" ref="X62" si="54">IF(AQ63="","",SUM(M62:W62)-(-(AQ63-SUM(M62:W62))/$AQ$3)*SUM($M$2:$W$2))</f>
        <v>420</v>
      </c>
      <c r="Y62" s="466">
        <v>0</v>
      </c>
      <c r="Z62" s="533">
        <f>+X64</f>
        <v>0</v>
      </c>
      <c r="AA62" s="447">
        <f t="shared" si="0"/>
        <v>420</v>
      </c>
      <c r="AB62" s="343">
        <f>+AC62+AA62</f>
        <v>3840</v>
      </c>
      <c r="AC62" s="343">
        <v>3420</v>
      </c>
      <c r="AD62" s="344"/>
      <c r="AE62" s="345"/>
      <c r="AF62" s="346"/>
      <c r="AG62" s="347">
        <f t="shared" si="1"/>
        <v>0</v>
      </c>
      <c r="AH62" s="341">
        <f t="shared" si="2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48" s="98" customFormat="1" ht="58.5" customHeight="1" x14ac:dyDescent="0.9">
      <c r="B63" s="374">
        <v>14</v>
      </c>
      <c r="C63" s="406">
        <f>+B63</f>
        <v>14</v>
      </c>
      <c r="D63" s="407" t="s">
        <v>480</v>
      </c>
      <c r="E63" s="111"/>
      <c r="F63" s="111" t="s">
        <v>35</v>
      </c>
      <c r="G63" s="541" t="str">
        <f t="shared" ref="G63:G65" si="55">+G62</f>
        <v>2396-593-600</v>
      </c>
      <c r="H63" s="111"/>
      <c r="I63" s="111" t="s">
        <v>33</v>
      </c>
      <c r="J63" s="113">
        <v>38.82</v>
      </c>
      <c r="K63" s="130">
        <v>60</v>
      </c>
      <c r="L63" s="101" t="s">
        <v>17</v>
      </c>
      <c r="M63" s="214">
        <v>60</v>
      </c>
      <c r="N63" s="214">
        <v>60</v>
      </c>
      <c r="O63" s="214">
        <v>60</v>
      </c>
      <c r="P63" s="214">
        <v>60</v>
      </c>
      <c r="Q63" s="214">
        <v>60</v>
      </c>
      <c r="R63" s="214">
        <v>60</v>
      </c>
      <c r="S63" s="214">
        <v>60</v>
      </c>
      <c r="T63" s="214">
        <v>15</v>
      </c>
      <c r="U63" s="214"/>
      <c r="V63" s="214"/>
      <c r="W63" s="214"/>
      <c r="X63" s="123">
        <f>+IF(H64="s",0,IF(AA63=0,0,IF(COUNTA(M63:W63)=AK65+0.75,SUMIF($C:$C,B63,$AA:$AA)/AK65,SUMIF($C:$C,B63,$AA:$AA)/(COUNTA(M63:W63)))))</f>
        <v>60</v>
      </c>
      <c r="Y63" s="466"/>
      <c r="Z63" s="534"/>
      <c r="AA63" s="134">
        <f t="shared" si="0"/>
        <v>435</v>
      </c>
      <c r="AB63" s="354">
        <f>+AA63+AC63</f>
        <v>3035</v>
      </c>
      <c r="AC63" s="354">
        <v>2600</v>
      </c>
      <c r="AD63" s="355">
        <f>+AB62-AB63</f>
        <v>805</v>
      </c>
      <c r="AE63" s="131">
        <f>+IF(((AA64+(AA65/2))*60)=0,"",(J63*AA63)/((AA64+(AA65/2))*60))</f>
        <v>0.90279069767441866</v>
      </c>
      <c r="AF63" s="347">
        <f>+AA64+AA65/2</f>
        <v>311.75</v>
      </c>
      <c r="AG63" s="347">
        <f t="shared" si="1"/>
        <v>311.45</v>
      </c>
      <c r="AH63" s="341">
        <f t="shared" si="2"/>
        <v>18705</v>
      </c>
      <c r="AI63" s="341">
        <f>+AA63*J63</f>
        <v>16886.7</v>
      </c>
      <c r="AJ63" s="356">
        <f>+AA63-(AF63*K63/K65)</f>
        <v>0</v>
      </c>
      <c r="AK63" s="348"/>
      <c r="AL63" s="349"/>
      <c r="AM63" s="341"/>
      <c r="AN63" s="341"/>
      <c r="AO63" s="341"/>
      <c r="AP63" s="341"/>
      <c r="AQ63" s="339">
        <f>-420+AA62</f>
        <v>0</v>
      </c>
      <c r="AR63" s="434">
        <v>1.5</v>
      </c>
      <c r="AT63" s="390">
        <v>820</v>
      </c>
      <c r="AV63" s="390">
        <f t="shared" ref="AV63" si="56">+AT63-AD63</f>
        <v>15</v>
      </c>
    </row>
    <row r="64" spans="2:48" s="98" customFormat="1" ht="58.5" customHeight="1" x14ac:dyDescent="0.9">
      <c r="B64" s="357">
        <f>+B63</f>
        <v>14</v>
      </c>
      <c r="C64" s="408"/>
      <c r="D64" s="184"/>
      <c r="E64" s="111">
        <f>+B63</f>
        <v>14</v>
      </c>
      <c r="F64" s="409"/>
      <c r="G64" s="541" t="str">
        <f t="shared" si="55"/>
        <v>2396-593-600</v>
      </c>
      <c r="H64" s="411" t="s">
        <v>413</v>
      </c>
      <c r="I64" s="113">
        <f>+IFERROR(IF(K65=0,0,IF((LOOKUP(2,1/(M64:W64&lt;&gt;""),M64:W64)-K65)&lt;0,0,IF(K65=0,"",LOOKUP(2,1/(M64:W64&lt;&gt;""),M64:W64)-K65))),0)</f>
        <v>0</v>
      </c>
      <c r="J64" s="113">
        <v>2</v>
      </c>
      <c r="K64" s="114" t="s">
        <v>22</v>
      </c>
      <c r="L64" s="102" t="s">
        <v>18</v>
      </c>
      <c r="M64" s="448">
        <v>41</v>
      </c>
      <c r="N64" s="448">
        <v>41</v>
      </c>
      <c r="O64" s="448">
        <v>41</v>
      </c>
      <c r="P64" s="448">
        <v>41</v>
      </c>
      <c r="Q64" s="448">
        <v>41</v>
      </c>
      <c r="R64" s="448">
        <v>41</v>
      </c>
      <c r="S64" s="448">
        <v>41</v>
      </c>
      <c r="T64" s="448">
        <v>41</v>
      </c>
      <c r="U64" s="448"/>
      <c r="V64" s="448"/>
      <c r="W64" s="448"/>
      <c r="X64" s="160">
        <f>+IF(H64="l",IF(COUNTA(M63:W63)=AK65+0.75,AA63-K63*AK65,AA63-(K63*COUNTA(M63:W63))),IF(H64="s",0,IF(COUNTA(M63:W63)=AK65+0.75,SUMIF($C:$C,B63,$AA:$AA)-K63*AK65,SUMIF($C:$C,B63,$AA:$AA)-K63*COUNTA(M63:W63))))</f>
        <v>0</v>
      </c>
      <c r="Y64" s="466"/>
      <c r="Z64" s="534"/>
      <c r="AA64" s="498">
        <f t="shared" ref="AA64:AA65" si="57">+SUM(M64:W64)-T64*0.75</f>
        <v>297.25</v>
      </c>
      <c r="AB64" s="360"/>
      <c r="AC64" s="360"/>
      <c r="AD64" s="362"/>
      <c r="AE64" s="363"/>
      <c r="AF64" s="346"/>
      <c r="AG64" s="347">
        <f t="shared" si="1"/>
        <v>0</v>
      </c>
      <c r="AH64" s="341">
        <f t="shared" si="2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297.25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9" s="98" customFormat="1" ht="58.5" customHeight="1" thickBot="1" x14ac:dyDescent="0.95">
      <c r="B65" s="364">
        <f>+B63</f>
        <v>14</v>
      </c>
      <c r="C65" s="410"/>
      <c r="D65" s="174" t="s">
        <v>112</v>
      </c>
      <c r="E65" s="175">
        <f>+E64+100</f>
        <v>114</v>
      </c>
      <c r="F65" s="175"/>
      <c r="G65" s="542" t="str">
        <f t="shared" si="55"/>
        <v>2396-593-600</v>
      </c>
      <c r="H65" s="117"/>
      <c r="I65" s="442"/>
      <c r="J65" s="165">
        <f>+IF(K65="","",IF(K63=0,"",(K63*J63)/(K65*60)))</f>
        <v>0.90279069767441855</v>
      </c>
      <c r="K65" s="118">
        <v>43</v>
      </c>
      <c r="L65" s="104" t="s">
        <v>19</v>
      </c>
      <c r="M65" s="216">
        <v>4</v>
      </c>
      <c r="N65" s="216">
        <v>4</v>
      </c>
      <c r="O65" s="216">
        <v>4</v>
      </c>
      <c r="P65" s="216">
        <v>4</v>
      </c>
      <c r="Q65" s="216">
        <v>4</v>
      </c>
      <c r="R65" s="216">
        <v>4</v>
      </c>
      <c r="S65" s="216">
        <v>4</v>
      </c>
      <c r="T65" s="216">
        <v>4</v>
      </c>
      <c r="U65" s="216"/>
      <c r="V65" s="216"/>
      <c r="W65" s="216"/>
      <c r="X65" s="173"/>
      <c r="Y65" s="467">
        <v>10.166666666666668</v>
      </c>
      <c r="Z65" s="365">
        <v>10.166666666666668</v>
      </c>
      <c r="AA65" s="465">
        <f t="shared" si="57"/>
        <v>29</v>
      </c>
      <c r="AB65" s="367"/>
      <c r="AC65" s="367"/>
      <c r="AD65" s="368">
        <f>+IFERROR(AD63/(K63*$AQ$3),"")</f>
        <v>1.5333333333333334</v>
      </c>
      <c r="AE65" s="369"/>
      <c r="AF65" s="347"/>
      <c r="AG65" s="347">
        <f t="shared" si="1"/>
        <v>0</v>
      </c>
      <c r="AH65" s="341">
        <f t="shared" si="2"/>
        <v>0</v>
      </c>
      <c r="AI65" s="341"/>
      <c r="AJ65" s="356"/>
      <c r="AK65" s="370">
        <f>+$AJ$4</f>
        <v>7.25</v>
      </c>
      <c r="AL65" s="349">
        <f>+IF(AK65=7.75,SUM(M65:S65)+T65*0.75,IF(AK65=8,SUM(M65:T65),IF(AK65=7.25,SUM(M65:S65)+T65*0.25,IF(AK65=8.25,SUM(M65:T65)+U65*0.25,IF(AK65=8.75,SUM(M65:T65)+U65*0.75,0)))))</f>
        <v>29</v>
      </c>
      <c r="AM65" s="341">
        <f>+AL65-AA65</f>
        <v>0</v>
      </c>
      <c r="AN65" s="341"/>
      <c r="AO65" s="341"/>
      <c r="AP65" s="341"/>
      <c r="AQ65" s="369"/>
      <c r="AR65" s="434"/>
      <c r="AT65" s="390">
        <v>1.5619047619047619</v>
      </c>
      <c r="AV65" s="390"/>
    </row>
    <row r="66" spans="2:59" s="98" customFormat="1" ht="62.25" customHeight="1" thickTop="1" x14ac:dyDescent="0.9">
      <c r="B66" s="342">
        <f>+B67</f>
        <v>15</v>
      </c>
      <c r="C66" s="405"/>
      <c r="D66" s="106"/>
      <c r="E66" s="106"/>
      <c r="F66" s="106"/>
      <c r="G66" s="540" t="s">
        <v>486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140</v>
      </c>
      <c r="N66" s="448">
        <v>137</v>
      </c>
      <c r="O66" s="448">
        <v>70</v>
      </c>
      <c r="P66" s="448">
        <v>70</v>
      </c>
      <c r="Q66" s="448">
        <v>70</v>
      </c>
      <c r="R66" s="448">
        <v>134</v>
      </c>
      <c r="S66" s="448"/>
      <c r="T66" s="448"/>
      <c r="U66" s="448"/>
      <c r="V66" s="448"/>
      <c r="W66" s="448"/>
      <c r="X66" s="447">
        <f t="shared" ref="X66" si="58">IF(AQ67="","",SUM(M66:W66)-(-(AQ67-SUM(M66:W66))/$AQ$3)*SUM($M$2:$W$2))</f>
        <v>621</v>
      </c>
      <c r="Y66" s="466">
        <v>-204</v>
      </c>
      <c r="Z66" s="533">
        <f>+X68</f>
        <v>-140</v>
      </c>
      <c r="AA66" s="447">
        <f t="shared" si="0"/>
        <v>621</v>
      </c>
      <c r="AB66" s="343">
        <f>+AC66+AA66</f>
        <v>3694</v>
      </c>
      <c r="AC66" s="343">
        <v>3073</v>
      </c>
      <c r="AD66" s="344"/>
      <c r="AE66" s="345"/>
      <c r="AF66" s="346"/>
      <c r="AG66" s="347">
        <f t="shared" si="1"/>
        <v>0</v>
      </c>
      <c r="AH66" s="341">
        <f t="shared" si="2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9" s="98" customFormat="1" ht="62.25" customHeight="1" x14ac:dyDescent="1.35">
      <c r="B67" s="351">
        <v>15</v>
      </c>
      <c r="C67" s="406">
        <f>+B67</f>
        <v>15</v>
      </c>
      <c r="D67" s="407" t="s">
        <v>485</v>
      </c>
      <c r="E67" s="111"/>
      <c r="F67" s="111" t="s">
        <v>475</v>
      </c>
      <c r="G67" s="541" t="str">
        <f>+G66</f>
        <v>SARAH</v>
      </c>
      <c r="H67" s="111"/>
      <c r="I67" s="111" t="s">
        <v>487</v>
      </c>
      <c r="J67" s="113">
        <v>27.55</v>
      </c>
      <c r="K67" s="130">
        <v>100</v>
      </c>
      <c r="L67" s="101" t="s">
        <v>17</v>
      </c>
      <c r="M67" s="214">
        <v>80</v>
      </c>
      <c r="N67" s="214">
        <v>80</v>
      </c>
      <c r="O67" s="214">
        <v>80</v>
      </c>
      <c r="P67" s="214">
        <v>80</v>
      </c>
      <c r="Q67" s="214">
        <v>90</v>
      </c>
      <c r="R67" s="214">
        <v>80</v>
      </c>
      <c r="S67" s="214">
        <v>80</v>
      </c>
      <c r="T67" s="214">
        <v>15</v>
      </c>
      <c r="U67" s="214"/>
      <c r="V67" s="214"/>
      <c r="W67" s="214"/>
      <c r="X67" s="123">
        <f>+IF(H68="s",0,IF(AA67=0,0,IF(COUNTA(M67:W67)=AK69+0.75,SUMIF($C:$C,B67,$AA:$AA)/AK69,SUMIF($C:$C,B67,$AA:$AA)/(COUNTA(M67:W67)))))</f>
        <v>80.689655172413794</v>
      </c>
      <c r="Y67" s="466"/>
      <c r="Z67" s="534"/>
      <c r="AA67" s="134">
        <f t="shared" si="0"/>
        <v>585</v>
      </c>
      <c r="AB67" s="354">
        <f>+AA67+AC67</f>
        <v>2106</v>
      </c>
      <c r="AC67" s="354">
        <v>1521</v>
      </c>
      <c r="AD67" s="355">
        <f>+AB66-AB67</f>
        <v>1588</v>
      </c>
      <c r="AE67" s="131">
        <f>+IF(((AA68+(AA69/2))*60)=0,"",(J67*AA67)/((AA68+(AA69/2))*60))</f>
        <v>0.66160714285714284</v>
      </c>
      <c r="AF67" s="347">
        <f>+AA68+AA69/2</f>
        <v>406</v>
      </c>
      <c r="AG67" s="347">
        <f t="shared" si="1"/>
        <v>406</v>
      </c>
      <c r="AH67" s="341">
        <f t="shared" si="2"/>
        <v>24360</v>
      </c>
      <c r="AI67" s="341">
        <f>+AA67*J67</f>
        <v>16116.75</v>
      </c>
      <c r="AJ67" s="356">
        <f>+AA67-(AF67*K67/K69)</f>
        <v>-140</v>
      </c>
      <c r="AK67" s="348"/>
      <c r="AL67" s="349"/>
      <c r="AM67" s="341"/>
      <c r="AN67" s="341"/>
      <c r="AO67" s="341"/>
      <c r="AP67" s="341"/>
      <c r="AQ67" s="339">
        <f t="shared" si="13"/>
        <v>3</v>
      </c>
      <c r="AR67" s="434">
        <v>1.48</v>
      </c>
      <c r="AT67" s="390">
        <v>1552</v>
      </c>
      <c r="AV67" s="390">
        <f t="shared" ref="AV67" si="59">+AT67-AD67</f>
        <v>-36</v>
      </c>
      <c r="AW67" s="535"/>
      <c r="AX67" s="535"/>
      <c r="AY67" s="535"/>
      <c r="AZ67" s="535"/>
      <c r="BA67" s="535"/>
      <c r="BB67" s="535"/>
      <c r="BC67" s="535"/>
      <c r="BD67" s="535"/>
      <c r="BE67" s="535"/>
      <c r="BF67" s="535"/>
    </row>
    <row r="68" spans="2:59" s="98" customFormat="1" ht="62.25" customHeight="1" x14ac:dyDescent="0.9">
      <c r="B68" s="357">
        <f>+B67</f>
        <v>15</v>
      </c>
      <c r="C68" s="408"/>
      <c r="D68" s="184"/>
      <c r="E68" s="111">
        <f>+B67</f>
        <v>15</v>
      </c>
      <c r="F68" s="412"/>
      <c r="G68" s="541" t="str">
        <f>+G66</f>
        <v>SARAH</v>
      </c>
      <c r="H68" s="411" t="s">
        <v>412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48">
        <v>55</v>
      </c>
      <c r="N68" s="448">
        <v>55</v>
      </c>
      <c r="O68" s="448">
        <v>55</v>
      </c>
      <c r="P68" s="448">
        <v>55</v>
      </c>
      <c r="Q68" s="448">
        <v>55</v>
      </c>
      <c r="R68" s="448">
        <v>55</v>
      </c>
      <c r="S68" s="448">
        <v>55</v>
      </c>
      <c r="T68" s="448">
        <v>55</v>
      </c>
      <c r="U68" s="448"/>
      <c r="V68" s="448"/>
      <c r="W68" s="448"/>
      <c r="X68" s="160">
        <f>+IF(H68="l",IF(COUNTA(M67:W67)=AK69+0.75,AA67-K67*AK69,AA67-(K67*COUNTA(M67:W67))),IF(H68="s",0,IF(COUNTA(M67:W67)=AK69+0.75,SUMIF($C:$C,B67,$AA:$AA)-K67*AK69,SUMIF($C:$C,B67,$AA:$AA)-K67*COUNTA(M67:W67))))</f>
        <v>-140</v>
      </c>
      <c r="Y68" s="466"/>
      <c r="Z68" s="534"/>
      <c r="AA68" s="498">
        <f t="shared" ref="AA68:AA69" si="60">+SUM(M68:W68)-T68*0.75</f>
        <v>398.75</v>
      </c>
      <c r="AB68" s="360"/>
      <c r="AC68" s="360"/>
      <c r="AD68" s="362"/>
      <c r="AE68" s="363"/>
      <c r="AF68" s="346"/>
      <c r="AG68" s="347">
        <f t="shared" si="1"/>
        <v>0</v>
      </c>
      <c r="AH68" s="341">
        <f t="shared" si="2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398.75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9" s="98" customFormat="1" ht="62.25" customHeight="1" thickBot="1" x14ac:dyDescent="0.95">
      <c r="B69" s="364">
        <f>+B67</f>
        <v>15</v>
      </c>
      <c r="C69" s="410"/>
      <c r="D69" s="174" t="s">
        <v>93</v>
      </c>
      <c r="E69" s="175">
        <f>+E68+100</f>
        <v>115</v>
      </c>
      <c r="F69" s="175"/>
      <c r="G69" s="542" t="str">
        <f>+G66</f>
        <v>SARAH</v>
      </c>
      <c r="H69" s="117"/>
      <c r="I69" s="442"/>
      <c r="J69" s="165">
        <f>+IF(K69="","",IF(K67=0,"",(K67*J67)/(K69*60)))</f>
        <v>0.81994047619047616</v>
      </c>
      <c r="K69" s="118">
        <v>56</v>
      </c>
      <c r="L69" s="104" t="s">
        <v>19</v>
      </c>
      <c r="M69" s="216">
        <v>2</v>
      </c>
      <c r="N69" s="216">
        <v>2</v>
      </c>
      <c r="O69" s="216">
        <v>2</v>
      </c>
      <c r="P69" s="216">
        <v>2</v>
      </c>
      <c r="Q69" s="216">
        <v>2</v>
      </c>
      <c r="R69" s="216">
        <v>2</v>
      </c>
      <c r="S69" s="216">
        <v>2</v>
      </c>
      <c r="T69" s="216">
        <v>2</v>
      </c>
      <c r="U69" s="216"/>
      <c r="V69" s="216"/>
      <c r="W69" s="216"/>
      <c r="X69" s="173"/>
      <c r="Y69" s="467">
        <v>23.7728</v>
      </c>
      <c r="Z69" s="371">
        <f>+IF(COUNTA(M67:W67)=$AJ$4+0.25,$AJ$4-(AA67/K67),COUNTA(M67:W67)-(AA67/K67))+Y69</f>
        <v>25.922800000000002</v>
      </c>
      <c r="AA69" s="465">
        <f t="shared" si="60"/>
        <v>14.5</v>
      </c>
      <c r="AB69" s="367"/>
      <c r="AC69" s="367"/>
      <c r="AD69" s="368">
        <f>+IFERROR(AD67/(K67*$AQ$3),"")</f>
        <v>1.8148571428571429</v>
      </c>
      <c r="AE69" s="369"/>
      <c r="AF69" s="347"/>
      <c r="AG69" s="347">
        <f t="shared" si="1"/>
        <v>0</v>
      </c>
      <c r="AH69" s="341">
        <f t="shared" si="2"/>
        <v>0</v>
      </c>
      <c r="AI69" s="341"/>
      <c r="AJ69" s="356"/>
      <c r="AK69" s="370">
        <f>+$AJ$4</f>
        <v>7.25</v>
      </c>
      <c r="AL69" s="349">
        <f>+IF(AK69=7.75,SUM(M69:S69)+T69*0.75,IF(AK69=8,SUM(M69:T69),IF(AK69=7.25,SUM(M69:S69)+T69*0.25,IF(AK69=8.25,SUM(M69:T69)+U69*0.25,IF(AK69=8.75,SUM(M69:T69)+U69*0.75,0)))))</f>
        <v>14.5</v>
      </c>
      <c r="AM69" s="341">
        <f>+AL69-AA69</f>
        <v>0</v>
      </c>
      <c r="AN69" s="341"/>
      <c r="AO69" s="341"/>
      <c r="AP69" s="341"/>
      <c r="AQ69" s="369"/>
      <c r="AR69" s="434"/>
      <c r="AT69" s="390">
        <v>1.7737142857142858</v>
      </c>
      <c r="AV69" s="390"/>
    </row>
    <row r="70" spans="2:59" s="98" customFormat="1" ht="62.25" customHeight="1" thickTop="1" x14ac:dyDescent="0.9">
      <c r="B70" s="373">
        <f>+B71</f>
        <v>16</v>
      </c>
      <c r="C70" s="405"/>
      <c r="D70" s="106"/>
      <c r="E70" s="106"/>
      <c r="F70" s="106"/>
      <c r="G70" s="540" t="s">
        <v>476</v>
      </c>
      <c r="H70" s="106"/>
      <c r="I70" s="106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ref="X70" si="61">IF(AQ71="","",SUM(M70:W70)-(-(AQ71-SUM(M70:W70))/$AQ$3)*SUM($M$2:$W$2))</f>
        <v/>
      </c>
      <c r="Y70" s="466">
        <v>-473</v>
      </c>
      <c r="Z70" s="533">
        <f>+X72</f>
        <v>0</v>
      </c>
      <c r="AA70" s="447">
        <f t="shared" ref="AA70:AA87" si="62">+SUM(L70:W70)</f>
        <v>0</v>
      </c>
      <c r="AB70" s="343">
        <f>+AC70+AA70</f>
        <v>6180</v>
      </c>
      <c r="AC70" s="343">
        <v>6180</v>
      </c>
      <c r="AD70" s="344"/>
      <c r="AE70" s="345"/>
      <c r="AF70" s="346"/>
      <c r="AG70" s="347">
        <f t="shared" si="1"/>
        <v>0</v>
      </c>
      <c r="AH70" s="341">
        <f t="shared" si="2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9" s="98" customFormat="1" ht="62.25" customHeight="1" x14ac:dyDescent="0.9">
      <c r="B71" s="374">
        <v>16</v>
      </c>
      <c r="C71" s="406">
        <f>+B71</f>
        <v>16</v>
      </c>
      <c r="D71" s="407" t="s">
        <v>474</v>
      </c>
      <c r="E71" s="111"/>
      <c r="F71" s="111" t="s">
        <v>475</v>
      </c>
      <c r="G71" s="541" t="str">
        <f t="shared" ref="G71:G73" si="63">+G70</f>
        <v>Cheristina-blanc</v>
      </c>
      <c r="H71" s="111"/>
      <c r="I71" s="111" t="s">
        <v>477</v>
      </c>
      <c r="J71" s="113">
        <v>22.52</v>
      </c>
      <c r="K71" s="130">
        <v>140</v>
      </c>
      <c r="L71" s="101" t="s">
        <v>17</v>
      </c>
      <c r="M71" s="214">
        <v>110</v>
      </c>
      <c r="N71" s="214">
        <v>79</v>
      </c>
      <c r="O71" s="214">
        <v>76</v>
      </c>
      <c r="P71" s="214">
        <v>72</v>
      </c>
      <c r="Q71" s="214">
        <v>60</v>
      </c>
      <c r="R71" s="214">
        <v>58</v>
      </c>
      <c r="S71" s="214"/>
      <c r="T71" s="214"/>
      <c r="U71" s="214"/>
      <c r="V71" s="214"/>
      <c r="W71" s="214"/>
      <c r="X71" s="123">
        <f>+IF(H72="s",0,IF(AA71=0,0,IF(COUNTA(M71:W71)=AK73+0.75,SUMIF($C:$C,B71,$AA:$AA)/AK73,SUMIF($C:$C,B71,$AA:$AA)/(COUNTA(M71:W71)))))</f>
        <v>0</v>
      </c>
      <c r="Y71" s="466"/>
      <c r="Z71" s="534"/>
      <c r="AA71" s="134">
        <f t="shared" si="62"/>
        <v>455</v>
      </c>
      <c r="AB71" s="354">
        <f>+AA71+AC71</f>
        <v>6151</v>
      </c>
      <c r="AC71" s="354">
        <v>5696</v>
      </c>
      <c r="AD71" s="355">
        <f>+AB70-AB71</f>
        <v>29</v>
      </c>
      <c r="AE71" s="131">
        <f>+IF(((AA72+(AA73/2))*60)=0,"",(J71*AA71)/((AA72+(AA73/2))*60))</f>
        <v>3.4155333333333333</v>
      </c>
      <c r="AF71" s="347">
        <f>+AA72+AA73/2</f>
        <v>50</v>
      </c>
      <c r="AG71" s="347">
        <f t="shared" si="1"/>
        <v>50</v>
      </c>
      <c r="AH71" s="341">
        <f t="shared" si="2"/>
        <v>3000</v>
      </c>
      <c r="AI71" s="341">
        <f>+AA71*J71</f>
        <v>10246.6</v>
      </c>
      <c r="AJ71" s="356">
        <f>+AA71-(AF71*K71/K73)</f>
        <v>334.31034482758622</v>
      </c>
      <c r="AK71" s="348"/>
      <c r="AL71" s="349"/>
      <c r="AM71" s="341"/>
      <c r="AN71" s="341"/>
      <c r="AO71" s="341"/>
      <c r="AP71" s="341"/>
      <c r="AQ71" s="339"/>
      <c r="AR71" s="434"/>
      <c r="AT71" s="390">
        <v>484</v>
      </c>
      <c r="AV71" s="390">
        <f t="shared" ref="AV71" si="64">+AT71-AD71</f>
        <v>455</v>
      </c>
      <c r="AW71" s="536"/>
      <c r="AX71" s="536"/>
      <c r="AY71" s="536"/>
      <c r="AZ71" s="536"/>
      <c r="BA71" s="536"/>
      <c r="BB71" s="536"/>
      <c r="BC71" s="536"/>
      <c r="BD71" s="536"/>
      <c r="BE71" s="536"/>
      <c r="BF71" s="536"/>
      <c r="BG71" s="536"/>
    </row>
    <row r="72" spans="2:59" s="98" customFormat="1" ht="62.25" customHeight="1" x14ac:dyDescent="0.9">
      <c r="B72" s="357">
        <f>+B71</f>
        <v>16</v>
      </c>
      <c r="C72" s="408"/>
      <c r="D72" s="184"/>
      <c r="E72" s="111">
        <f>+B71</f>
        <v>16</v>
      </c>
      <c r="F72" s="409"/>
      <c r="G72" s="541" t="str">
        <f t="shared" si="63"/>
        <v>Cheristina-blanc</v>
      </c>
      <c r="H72" s="411" t="s">
        <v>479</v>
      </c>
      <c r="I72" s="113">
        <f>+IFERROR(IF(K73=0,0,IF((LOOKUP(2,1/(M72:W72&lt;&gt;""),M72:W72)-K73)&lt;0,0,IF(K73=0,"",LOOKUP(2,1/(M72:W72&lt;&gt;""),M72:W72)-K73))),0)</f>
        <v>0</v>
      </c>
      <c r="J72" s="113"/>
      <c r="K72" s="114" t="s">
        <v>22</v>
      </c>
      <c r="L72" s="102" t="s">
        <v>18</v>
      </c>
      <c r="M72" s="448">
        <v>30</v>
      </c>
      <c r="N72" s="448">
        <v>10</v>
      </c>
      <c r="O72" s="448">
        <v>5</v>
      </c>
      <c r="P72" s="448">
        <v>2</v>
      </c>
      <c r="Q72" s="448">
        <v>2</v>
      </c>
      <c r="R72" s="448">
        <v>1</v>
      </c>
      <c r="S72" s="448"/>
      <c r="T72" s="448"/>
      <c r="U72" s="448"/>
      <c r="V72" s="448"/>
      <c r="W72" s="448"/>
      <c r="X72" s="160">
        <f>+IF(H72="l",IF(COUNTA(M71:W71)=AK73+0.75,AA71-K71*AK73,AA71-(K71*COUNTA(M71:W71))),IF(H72="s",0,IF(COUNTA(M71:W71)=AK73+0.75,SUMIF($C:$C,B71,$AA:$AA)-K71*AK73,SUMIF($C:$C,B71,$AA:$AA)-K71*COUNTA(M71:W71))))</f>
        <v>0</v>
      </c>
      <c r="Y72" s="466"/>
      <c r="Z72" s="534"/>
      <c r="AA72" s="498">
        <f t="shared" ref="AA72:AA73" si="65">+SUM(M72:W72)-T72*0.75</f>
        <v>50</v>
      </c>
      <c r="AB72" s="360"/>
      <c r="AC72" s="360"/>
      <c r="AD72" s="362"/>
      <c r="AE72" s="363"/>
      <c r="AF72" s="346"/>
      <c r="AG72" s="347">
        <f t="shared" si="1"/>
        <v>0</v>
      </c>
      <c r="AH72" s="341">
        <f t="shared" si="2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50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9" s="98" customFormat="1" ht="62.25" customHeight="1" thickBot="1" x14ac:dyDescent="0.95">
      <c r="B73" s="375">
        <f>+B71</f>
        <v>16</v>
      </c>
      <c r="C73" s="410"/>
      <c r="D73" s="413" t="s">
        <v>152</v>
      </c>
      <c r="E73" s="175">
        <f>+E72+100</f>
        <v>116</v>
      </c>
      <c r="F73" s="175"/>
      <c r="G73" s="542" t="str">
        <f t="shared" si="63"/>
        <v>Cheristina-blanc</v>
      </c>
      <c r="H73" s="117"/>
      <c r="I73" s="442"/>
      <c r="J73" s="165">
        <f>+IF(K73="","",IF(K71=0,"",(K71*J71)/(K73*60)))</f>
        <v>0.9059770114942528</v>
      </c>
      <c r="K73" s="118">
        <v>58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>
        <v>52.067142857142848</v>
      </c>
      <c r="Z73" s="371">
        <f>+IF(COUNTA(M71:W71)=$AJ$4+0.25,$AJ$4-(AA71/K71),COUNTA(M71:W71)-(AA71/K71))+Y73</f>
        <v>54.817142857142848</v>
      </c>
      <c r="AA73" s="465">
        <f t="shared" si="65"/>
        <v>0</v>
      </c>
      <c r="AB73" s="367"/>
      <c r="AC73" s="367"/>
      <c r="AD73" s="368">
        <f>+IFERROR(AD71/(K71*$AQ$3),"")</f>
        <v>2.3673469387755101E-2</v>
      </c>
      <c r="AE73" s="369"/>
      <c r="AF73" s="347"/>
      <c r="AG73" s="347">
        <f t="shared" si="1"/>
        <v>0</v>
      </c>
      <c r="AH73" s="341">
        <f t="shared" si="2"/>
        <v>0</v>
      </c>
      <c r="AI73" s="341"/>
      <c r="AJ73" s="356"/>
      <c r="AK73" s="370">
        <f>+$AJ$4</f>
        <v>7.25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0.39510204081632655</v>
      </c>
      <c r="AV73" s="390"/>
    </row>
    <row r="74" spans="2:59" s="98" customFormat="1" ht="62.25" customHeight="1" thickTop="1" x14ac:dyDescent="0.9">
      <c r="B74" s="373">
        <f>+B75</f>
        <v>16</v>
      </c>
      <c r="C74" s="405"/>
      <c r="D74" s="106"/>
      <c r="E74" s="106"/>
      <c r="F74" s="106"/>
      <c r="G74" s="540" t="s">
        <v>499</v>
      </c>
      <c r="H74" s="106"/>
      <c r="I74" s="106"/>
      <c r="J74" s="107" t="s">
        <v>20</v>
      </c>
      <c r="K74" s="108" t="s">
        <v>23</v>
      </c>
      <c r="L74" s="100" t="s">
        <v>21</v>
      </c>
      <c r="M74" s="448">
        <v>70</v>
      </c>
      <c r="N74" s="448">
        <v>70</v>
      </c>
      <c r="O74" s="448"/>
      <c r="P74" s="448"/>
      <c r="Q74" s="448"/>
      <c r="R74" s="448"/>
      <c r="S74" s="448"/>
      <c r="T74" s="448"/>
      <c r="U74" s="448"/>
      <c r="V74" s="448"/>
      <c r="W74" s="448"/>
      <c r="X74" s="447">
        <f t="shared" ref="X74" si="66">IF(AQ75="","",SUM(M74:W74)-(-(AQ75-SUM(M74:W74))/$AQ$3)*SUM($M$2:$W$2))</f>
        <v>140</v>
      </c>
      <c r="Y74" s="466">
        <v>0</v>
      </c>
      <c r="Z74" s="533">
        <f>+X76</f>
        <v>-200</v>
      </c>
      <c r="AA74" s="447">
        <f t="shared" si="62"/>
        <v>140</v>
      </c>
      <c r="AB74" s="343">
        <f>+AC74+AA74</f>
        <v>280</v>
      </c>
      <c r="AC74" s="343">
        <v>140</v>
      </c>
      <c r="AD74" s="344"/>
      <c r="AE74" s="345"/>
      <c r="AF74" s="346"/>
      <c r="AG74" s="347">
        <f t="shared" ref="AG74:AG89" si="67">TRUNC(AF74)+(AF74-TRUNC(AF74))*60/100</f>
        <v>0</v>
      </c>
      <c r="AH74" s="341">
        <f t="shared" ref="AH74:AH89" si="68">+AF74*60</f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9" s="98" customFormat="1" ht="62.25" customHeight="1" x14ac:dyDescent="0.9">
      <c r="B75" s="374">
        <v>16</v>
      </c>
      <c r="C75" s="406">
        <f>+B75</f>
        <v>16</v>
      </c>
      <c r="D75" s="407" t="s">
        <v>498</v>
      </c>
      <c r="E75" s="111"/>
      <c r="F75" s="111" t="s">
        <v>475</v>
      </c>
      <c r="G75" s="541" t="str">
        <f>+G74</f>
        <v>WINFREY</v>
      </c>
      <c r="H75" s="111"/>
      <c r="I75" s="111" t="s">
        <v>41</v>
      </c>
      <c r="J75" s="113"/>
      <c r="K75" s="130">
        <v>100</v>
      </c>
      <c r="L75" s="101" t="s">
        <v>17</v>
      </c>
      <c r="M75" s="214"/>
      <c r="N75" s="214"/>
      <c r="O75" s="214"/>
      <c r="P75" s="214"/>
      <c r="Q75" s="214"/>
      <c r="R75" s="214"/>
      <c r="S75" s="214">
        <v>0</v>
      </c>
      <c r="T75" s="214">
        <v>0</v>
      </c>
      <c r="U75" s="214"/>
      <c r="V75" s="214"/>
      <c r="W75" s="214"/>
      <c r="X75" s="123">
        <f>+IF(H76="s",0,IF(AA75=0,0,IF(COUNTA(M75:W75)=AK77+0.75,SUMIF($C:$C,B75,$AA:$AA)/AK77,SUMIF($C:$C,B75,$AA:$AA)/(COUNTA(M75:W75)))))</f>
        <v>0</v>
      </c>
      <c r="Y75" s="466"/>
      <c r="Z75" s="534"/>
      <c r="AA75" s="134">
        <f t="shared" si="62"/>
        <v>0</v>
      </c>
      <c r="AB75" s="354">
        <f>+AA75+AC75</f>
        <v>0</v>
      </c>
      <c r="AC75" s="354">
        <v>0</v>
      </c>
      <c r="AD75" s="355">
        <f>+AB74-AB75</f>
        <v>280</v>
      </c>
      <c r="AE75" s="131">
        <f>+IF(((AA76+(AA77/2))*60)=0,"",(J75*AA75)/((AA76+(AA77/2))*60))</f>
        <v>0</v>
      </c>
      <c r="AF75" s="347">
        <f>+AA76+AA77/2</f>
        <v>338.875</v>
      </c>
      <c r="AG75" s="347">
        <f t="shared" si="67"/>
        <v>338.52499999999998</v>
      </c>
      <c r="AH75" s="341">
        <f t="shared" si="68"/>
        <v>20332.5</v>
      </c>
      <c r="AI75" s="341">
        <f>+AA75*J75</f>
        <v>0</v>
      </c>
      <c r="AJ75" s="356" t="e">
        <f>+AA75-(AF75*K75/K77)</f>
        <v>#DIV/0!</v>
      </c>
      <c r="AK75" s="348"/>
      <c r="AL75" s="349"/>
      <c r="AM75" s="341"/>
      <c r="AN75" s="341"/>
      <c r="AO75" s="341"/>
      <c r="AP75" s="341"/>
      <c r="AQ75" s="339">
        <f>-140+AA74</f>
        <v>0</v>
      </c>
      <c r="AR75" s="434">
        <v>1</v>
      </c>
      <c r="AT75" s="390">
        <v>140</v>
      </c>
      <c r="AV75" s="390">
        <f t="shared" ref="AV75" si="69">+AT75-AD75</f>
        <v>-140</v>
      </c>
      <c r="AW75" s="536"/>
      <c r="AX75" s="536"/>
      <c r="AY75" s="536"/>
      <c r="AZ75" s="536"/>
      <c r="BA75" s="536"/>
      <c r="BB75" s="536"/>
      <c r="BC75" s="536"/>
      <c r="BD75" s="536"/>
      <c r="BE75" s="536"/>
      <c r="BF75" s="536"/>
      <c r="BG75" s="536"/>
    </row>
    <row r="76" spans="2:59" s="98" customFormat="1" ht="62.25" customHeight="1" x14ac:dyDescent="0.9">
      <c r="B76" s="357">
        <f>+B75</f>
        <v>16</v>
      </c>
      <c r="C76" s="408"/>
      <c r="D76" s="184"/>
      <c r="E76" s="111">
        <f>+B75</f>
        <v>16</v>
      </c>
      <c r="F76" s="409"/>
      <c r="G76" s="541" t="str">
        <f>+G75</f>
        <v>WINFREY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48">
        <v>23</v>
      </c>
      <c r="N76" s="448">
        <v>43</v>
      </c>
      <c r="O76" s="448">
        <v>48</v>
      </c>
      <c r="P76" s="448">
        <v>51</v>
      </c>
      <c r="Q76" s="448">
        <v>51</v>
      </c>
      <c r="R76" s="448">
        <v>53</v>
      </c>
      <c r="S76" s="448">
        <v>53</v>
      </c>
      <c r="T76" s="448">
        <v>53</v>
      </c>
      <c r="U76" s="448"/>
      <c r="V76" s="448"/>
      <c r="W76" s="448"/>
      <c r="X76" s="160">
        <f>+IF(H76="l",IF(COUNTA(M75:W75)=AK77+0.75,AA75-K75*AK77,AA75-(K75*COUNTA(M75:W75))),IF(H76="s",0,IF(COUNTA(M75:W75)=AK77+0.75,SUMIF($C:$C,B75,$AA:$AA)-K75*AK77,SUMIF($C:$C,B75,$AA:$AA)-K75*COUNTA(M75:W75))))</f>
        <v>-200</v>
      </c>
      <c r="Y76" s="466"/>
      <c r="Z76" s="534"/>
      <c r="AA76" s="498">
        <f t="shared" ref="AA76:AA77" si="70">+SUM(M76:W76)-T76*0.75</f>
        <v>335.25</v>
      </c>
      <c r="AB76" s="360"/>
      <c r="AC76" s="360"/>
      <c r="AD76" s="362"/>
      <c r="AE76" s="363"/>
      <c r="AF76" s="346"/>
      <c r="AG76" s="347">
        <f t="shared" si="67"/>
        <v>0</v>
      </c>
      <c r="AH76" s="341">
        <f t="shared" si="68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335.25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9" s="98" customFormat="1" ht="62.25" customHeight="1" thickBot="1" x14ac:dyDescent="0.95">
      <c r="B77" s="375">
        <f>+B75</f>
        <v>16</v>
      </c>
      <c r="C77" s="410"/>
      <c r="D77" s="413" t="s">
        <v>152</v>
      </c>
      <c r="E77" s="175">
        <f>+E76+100</f>
        <v>116</v>
      </c>
      <c r="F77" s="175"/>
      <c r="G77" s="542" t="str">
        <f>+G76</f>
        <v>WINFREY</v>
      </c>
      <c r="H77" s="117"/>
      <c r="I77" s="442"/>
      <c r="J77" s="165" t="str">
        <f>+IF(K77="","",IF(K75=0,"",(K75*J75)/(K77*60)))</f>
        <v/>
      </c>
      <c r="K77" s="118"/>
      <c r="L77" s="104" t="s">
        <v>19</v>
      </c>
      <c r="M77" s="216">
        <v>1</v>
      </c>
      <c r="N77" s="216">
        <v>1</v>
      </c>
      <c r="O77" s="216">
        <v>1</v>
      </c>
      <c r="P77" s="216">
        <v>1</v>
      </c>
      <c r="Q77" s="216">
        <v>1</v>
      </c>
      <c r="R77" s="216">
        <v>1</v>
      </c>
      <c r="S77" s="216">
        <v>1</v>
      </c>
      <c r="T77" s="216">
        <v>1</v>
      </c>
      <c r="U77" s="216"/>
      <c r="V77" s="216"/>
      <c r="W77" s="216"/>
      <c r="X77" s="173"/>
      <c r="Y77" s="467" t="e">
        <v>#DIV/0!</v>
      </c>
      <c r="Z77" s="371" t="e">
        <f>+IF(COUNTA(M75:W75)=$AJ$4+0.25,$AJ$4-(AA75/K75),COUNTA(M75:W75)-(AA75/K75))+Y77</f>
        <v>#DIV/0!</v>
      </c>
      <c r="AA77" s="465">
        <f t="shared" si="70"/>
        <v>7.25</v>
      </c>
      <c r="AB77" s="367"/>
      <c r="AC77" s="367"/>
      <c r="AD77" s="368">
        <f>+IFERROR(AD75/(K75*$AQ$3),"")</f>
        <v>0.32</v>
      </c>
      <c r="AE77" s="369"/>
      <c r="AF77" s="347"/>
      <c r="AG77" s="347">
        <f t="shared" si="67"/>
        <v>0</v>
      </c>
      <c r="AH77" s="341">
        <f t="shared" si="68"/>
        <v>0</v>
      </c>
      <c r="AI77" s="341"/>
      <c r="AJ77" s="356"/>
      <c r="AK77" s="370">
        <f>+$AJ$4</f>
        <v>7.25</v>
      </c>
      <c r="AL77" s="349">
        <f>+IF(AK77=7.75,SUM(M77:S77)+T77*0.75,IF(AK77=8,SUM(M77:T77),IF(AK77=7.25,SUM(M77:S77)+T77*0.25,IF(AK77=8.25,SUM(M77:T77)+U77*0.25,IF(AK77=8.75,SUM(M77:T77)+U77*0.75,0)))))</f>
        <v>7.25</v>
      </c>
      <c r="AM77" s="341">
        <f>+AL77-AA77</f>
        <v>0</v>
      </c>
      <c r="AN77" s="341"/>
      <c r="AO77" s="341"/>
      <c r="AP77" s="341"/>
      <c r="AQ77" s="369"/>
      <c r="AR77" s="434"/>
      <c r="AT77" s="390" t="s">
        <v>416</v>
      </c>
      <c r="AV77" s="390"/>
    </row>
    <row r="78" spans="2:59" s="98" customFormat="1" ht="62.25" customHeight="1" thickTop="1" x14ac:dyDescent="0.9">
      <c r="B78" s="342">
        <f>+B79</f>
        <v>17</v>
      </c>
      <c r="C78" s="405"/>
      <c r="D78" s="106"/>
      <c r="E78" s="106"/>
      <c r="F78" s="106"/>
      <c r="G78" s="540" t="s">
        <v>442</v>
      </c>
      <c r="H78" s="106"/>
      <c r="I78" s="111"/>
      <c r="J78" s="107" t="s">
        <v>20</v>
      </c>
      <c r="K78" s="108" t="s">
        <v>23</v>
      </c>
      <c r="L78" s="100" t="s">
        <v>21</v>
      </c>
      <c r="M78" s="448">
        <v>60</v>
      </c>
      <c r="N78" s="448">
        <v>120</v>
      </c>
      <c r="O78" s="448"/>
      <c r="P78" s="448"/>
      <c r="Q78" s="448"/>
      <c r="R78" s="448"/>
      <c r="S78" s="448"/>
      <c r="T78" s="448"/>
      <c r="U78" s="448"/>
      <c r="V78" s="448"/>
      <c r="W78" s="448"/>
      <c r="X78" s="447">
        <f t="shared" ref="X78" si="71">IF(AQ79="","",SUM(M78:W78)-(-(AQ79-SUM(M78:W78))/$AQ$3)*SUM($M$2:$W$2))</f>
        <v>180</v>
      </c>
      <c r="Y78" s="466">
        <v>0.75</v>
      </c>
      <c r="Z78" s="533">
        <f>+X80</f>
        <v>-20.25</v>
      </c>
      <c r="AA78" s="447">
        <f t="shared" si="62"/>
        <v>180</v>
      </c>
      <c r="AB78" s="343">
        <f>+AC78+AA78</f>
        <v>4680</v>
      </c>
      <c r="AC78" s="343">
        <v>4500</v>
      </c>
      <c r="AD78" s="344"/>
      <c r="AE78" s="345"/>
      <c r="AF78" s="346"/>
      <c r="AG78" s="347">
        <f t="shared" si="67"/>
        <v>0</v>
      </c>
      <c r="AH78" s="341">
        <f t="shared" si="68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9" s="98" customFormat="1" ht="62.25" customHeight="1" x14ac:dyDescent="0.9">
      <c r="B79" s="351">
        <v>17</v>
      </c>
      <c r="C79" s="406">
        <f>+B79</f>
        <v>17</v>
      </c>
      <c r="D79" s="407" t="s">
        <v>441</v>
      </c>
      <c r="E79" s="111"/>
      <c r="F79" s="111" t="s">
        <v>35</v>
      </c>
      <c r="G79" s="541" t="str">
        <f t="shared" ref="G79:G81" si="72">+G78</f>
        <v>2259-600-730</v>
      </c>
      <c r="H79" s="111"/>
      <c r="I79" s="111" t="s">
        <v>33</v>
      </c>
      <c r="J79" s="113">
        <v>34.450000000000003</v>
      </c>
      <c r="K79" s="130">
        <v>61</v>
      </c>
      <c r="L79" s="101" t="s">
        <v>17</v>
      </c>
      <c r="M79" s="214">
        <v>61</v>
      </c>
      <c r="N79" s="214">
        <v>61</v>
      </c>
      <c r="O79" s="214">
        <v>61</v>
      </c>
      <c r="P79" s="214">
        <v>61</v>
      </c>
      <c r="Q79" s="214">
        <v>61</v>
      </c>
      <c r="R79" s="214">
        <v>46</v>
      </c>
      <c r="S79" s="214">
        <v>60</v>
      </c>
      <c r="T79" s="214">
        <v>11</v>
      </c>
      <c r="U79" s="214"/>
      <c r="V79" s="214"/>
      <c r="W79" s="214"/>
      <c r="X79" s="123">
        <f>+IF(H80="s",0,IF(AA79=0,0,IF(COUNTA(M79:W79)=AK81+0.75,SUMIF($C:$C,B79,$AA:$AA)/AK81,SUMIF($C:$C,B79,$AA:$AA)/(COUNTA(M79:W79)))))</f>
        <v>58.206896551724135</v>
      </c>
      <c r="Y79" s="466"/>
      <c r="Z79" s="534"/>
      <c r="AA79" s="134">
        <f t="shared" si="62"/>
        <v>422</v>
      </c>
      <c r="AB79" s="354">
        <f>+AA79+AC79</f>
        <v>4096</v>
      </c>
      <c r="AC79" s="354">
        <v>3674</v>
      </c>
      <c r="AD79" s="355">
        <f>+AB78-AB79</f>
        <v>584</v>
      </c>
      <c r="AE79" s="131">
        <f>+IF(((AA80+(AA81/2))*60)=0,"",(J79*AA79)/((AA80+(AA81/2))*60))</f>
        <v>0.85693486590038326</v>
      </c>
      <c r="AF79" s="347">
        <f>+AA80+AA81/2</f>
        <v>282.75</v>
      </c>
      <c r="AG79" s="347">
        <f t="shared" si="67"/>
        <v>282.45</v>
      </c>
      <c r="AH79" s="341">
        <f t="shared" si="68"/>
        <v>16965</v>
      </c>
      <c r="AI79" s="341">
        <f>+AA79*J79</f>
        <v>14537.900000000001</v>
      </c>
      <c r="AJ79" s="356">
        <f>+AA79-(AF79*K79/K81)</f>
        <v>-31.888157894736821</v>
      </c>
      <c r="AK79" s="348"/>
      <c r="AL79" s="349"/>
      <c r="AM79" s="341"/>
      <c r="AN79" s="341"/>
      <c r="AO79" s="341"/>
      <c r="AP79" s="341"/>
      <c r="AQ79" s="339">
        <f>-180+AA78</f>
        <v>0</v>
      </c>
      <c r="AR79" s="434">
        <v>1.49</v>
      </c>
      <c r="AT79" s="390">
        <v>826</v>
      </c>
      <c r="AV79" s="390">
        <f t="shared" ref="AV79" si="73">+AT79-AD79</f>
        <v>242</v>
      </c>
    </row>
    <row r="80" spans="2:59" s="98" customFormat="1" ht="62.25" customHeight="1" x14ac:dyDescent="0.9">
      <c r="B80" s="357">
        <f>+B79</f>
        <v>17</v>
      </c>
      <c r="C80" s="408"/>
      <c r="D80" s="184"/>
      <c r="E80" s="111">
        <f>+B79</f>
        <v>17</v>
      </c>
      <c r="F80" s="409"/>
      <c r="G80" s="541" t="str">
        <f t="shared" si="72"/>
        <v>2259-600-730</v>
      </c>
      <c r="H80" s="411" t="s">
        <v>413</v>
      </c>
      <c r="I80" s="113">
        <f>+IFERROR(IF(K81=0,0,IF((LOOKUP(2,1/(M80:W80&lt;&gt;""),M80:W80)-K81)&lt;0,0,IF(K81=0,"",LOOKUP(2,1/(M80:W80&lt;&gt;""),M80:W80)-K81))),0)</f>
        <v>1</v>
      </c>
      <c r="J80" s="113">
        <v>0</v>
      </c>
      <c r="K80" s="114" t="s">
        <v>22</v>
      </c>
      <c r="L80" s="102" t="s">
        <v>18</v>
      </c>
      <c r="M80" s="448">
        <v>39</v>
      </c>
      <c r="N80" s="448">
        <v>39</v>
      </c>
      <c r="O80" s="448">
        <v>39</v>
      </c>
      <c r="P80" s="448">
        <v>39</v>
      </c>
      <c r="Q80" s="448">
        <v>39</v>
      </c>
      <c r="R80" s="448">
        <v>39</v>
      </c>
      <c r="S80" s="448">
        <v>39</v>
      </c>
      <c r="T80" s="448">
        <v>39</v>
      </c>
      <c r="U80" s="448"/>
      <c r="V80" s="448"/>
      <c r="W80" s="448"/>
      <c r="X80" s="160">
        <f>+IF(H80="l",IF(COUNTA(M79:W79)=AK81+0.75,AA79-K79*AK81,AA79-(K79*COUNTA(M79:W79))),IF(H80="s",0,IF(COUNTA(M79:W79)=AK81+0.75,SUMIF($C:$C,B79,$AA:$AA)-K79*AK81,SUMIF($C:$C,B79,$AA:$AA)-K79*COUNTA(M79:W79))))</f>
        <v>-20.25</v>
      </c>
      <c r="Y80" s="466"/>
      <c r="Z80" s="534"/>
      <c r="AA80" s="498">
        <f t="shared" ref="AA80:AA81" si="74">+SUM(M80:W80)-T80*0.75</f>
        <v>282.75</v>
      </c>
      <c r="AB80" s="360"/>
      <c r="AC80" s="360"/>
      <c r="AD80" s="362"/>
      <c r="AE80" s="363"/>
      <c r="AF80" s="346"/>
      <c r="AG80" s="347">
        <f t="shared" si="67"/>
        <v>0</v>
      </c>
      <c r="AH80" s="341">
        <f t="shared" si="68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282.75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48" s="98" customFormat="1" ht="62.25" customHeight="1" thickBot="1" x14ac:dyDescent="0.95">
      <c r="B81" s="364">
        <f>+B79</f>
        <v>17</v>
      </c>
      <c r="C81" s="410"/>
      <c r="D81" s="174" t="s">
        <v>379</v>
      </c>
      <c r="E81" s="175">
        <f>+E80+100</f>
        <v>117</v>
      </c>
      <c r="F81" s="175"/>
      <c r="G81" s="542" t="str">
        <f t="shared" si="72"/>
        <v>2259-600-730</v>
      </c>
      <c r="H81" s="117"/>
      <c r="I81" s="442"/>
      <c r="J81" s="165">
        <f>+IF(K81="","",IF(K79=0,"",(K79*J79)/(K81*60)))</f>
        <v>0.92168859649122814</v>
      </c>
      <c r="K81" s="118">
        <v>38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>
        <v>69.216101639344259</v>
      </c>
      <c r="Z81" s="365">
        <v>69.216101639344259</v>
      </c>
      <c r="AA81" s="465">
        <f t="shared" si="74"/>
        <v>0</v>
      </c>
      <c r="AB81" s="367"/>
      <c r="AC81" s="367"/>
      <c r="AD81" s="368">
        <f>+IFERROR(AD79/(K79*$AQ$3),"")</f>
        <v>1.0941451990632318</v>
      </c>
      <c r="AE81" s="369"/>
      <c r="AF81" s="347"/>
      <c r="AG81" s="347">
        <f t="shared" si="67"/>
        <v>0</v>
      </c>
      <c r="AH81" s="341">
        <f t="shared" si="68"/>
        <v>0</v>
      </c>
      <c r="AI81" s="341"/>
      <c r="AJ81" s="356"/>
      <c r="AK81" s="370">
        <f>+$AJ$4</f>
        <v>7.25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1.5475409836065575</v>
      </c>
      <c r="AV81" s="390"/>
    </row>
    <row r="82" spans="2:48" s="98" customFormat="1" ht="62.25" customHeight="1" thickTop="1" x14ac:dyDescent="0.9">
      <c r="B82" s="342">
        <f>+B83</f>
        <v>17</v>
      </c>
      <c r="C82" s="405"/>
      <c r="D82" s="106"/>
      <c r="E82" s="106"/>
      <c r="F82" s="106"/>
      <c r="G82" s="540" t="s">
        <v>494</v>
      </c>
      <c r="H82" s="106"/>
      <c r="I82" s="111"/>
      <c r="J82" s="107" t="s">
        <v>20</v>
      </c>
      <c r="K82" s="108" t="s">
        <v>23</v>
      </c>
      <c r="L82" s="100" t="s">
        <v>21</v>
      </c>
      <c r="M82" s="448"/>
      <c r="N82" s="448"/>
      <c r="O82" s="448"/>
      <c r="P82" s="448"/>
      <c r="Q82" s="448"/>
      <c r="R82" s="448"/>
      <c r="S82" s="448"/>
      <c r="T82" s="448"/>
      <c r="U82" s="448"/>
      <c r="V82" s="448"/>
      <c r="W82" s="448"/>
      <c r="X82" s="447">
        <f t="shared" ref="X82" si="75">IF(AQ83="","",SUM(M82:W82)-(-(AQ83-SUM(M82:W82))/$AQ$3)*SUM($M$2:$W$2))</f>
        <v>0</v>
      </c>
      <c r="Y82" s="466">
        <v>0.75</v>
      </c>
      <c r="Z82" s="533">
        <f>+X84</f>
        <v>0</v>
      </c>
      <c r="AA82" s="447">
        <f t="shared" ref="AA82:AA83" si="76">+SUM(L82:W82)</f>
        <v>0</v>
      </c>
      <c r="AB82" s="343">
        <f>+AC82+AA82</f>
        <v>0</v>
      </c>
      <c r="AC82" s="343"/>
      <c r="AD82" s="344"/>
      <c r="AE82" s="345"/>
      <c r="AF82" s="346"/>
      <c r="AG82" s="347">
        <f t="shared" ref="AG82:AG85" si="77">TRUNC(AF82)+(AF82-TRUNC(AF82))*60/100</f>
        <v>0</v>
      </c>
      <c r="AH82" s="341">
        <f t="shared" ref="AH82:AH85" si="78">+AF82*60</f>
        <v>0</v>
      </c>
      <c r="AI82" s="341"/>
      <c r="AJ82" s="341"/>
      <c r="AK82" s="348"/>
      <c r="AL82" s="349"/>
      <c r="AM82" s="341"/>
      <c r="AN82" s="341"/>
      <c r="AO82" s="341"/>
      <c r="AP82" s="341"/>
      <c r="AQ82" s="350"/>
      <c r="AR82" s="434"/>
      <c r="AT82" s="390"/>
      <c r="AV82" s="390"/>
    </row>
    <row r="83" spans="2:48" s="98" customFormat="1" ht="62.25" customHeight="1" x14ac:dyDescent="0.9">
      <c r="B83" s="351">
        <v>17</v>
      </c>
      <c r="C83" s="406">
        <f>+B83</f>
        <v>17</v>
      </c>
      <c r="D83" s="407" t="s">
        <v>493</v>
      </c>
      <c r="E83" s="111"/>
      <c r="F83" s="111" t="s">
        <v>35</v>
      </c>
      <c r="G83" s="541" t="str">
        <f>+G82</f>
        <v>2395-582-401</v>
      </c>
      <c r="H83" s="111"/>
      <c r="I83" s="111" t="s">
        <v>33</v>
      </c>
      <c r="J83" s="113">
        <v>41.85</v>
      </c>
      <c r="K83" s="130">
        <v>57</v>
      </c>
      <c r="L83" s="101" t="s">
        <v>17</v>
      </c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123">
        <f>+IF(H84="s",0,IF(AA83=0,0,IF(COUNTA(M83:W83)=AK85+0.75,SUMIF($C:$C,B83,$AA:$AA)/AK85,SUMIF($C:$C,B83,$AA:$AA)/(COUNTA(M83:W83)))))</f>
        <v>0</v>
      </c>
      <c r="Y83" s="466"/>
      <c r="Z83" s="534"/>
      <c r="AA83" s="134">
        <f t="shared" si="76"/>
        <v>0</v>
      </c>
      <c r="AB83" s="354">
        <f>+AA83+AC83</f>
        <v>0</v>
      </c>
      <c r="AC83" s="354"/>
      <c r="AD83" s="355">
        <f>+AB82-AB83</f>
        <v>0</v>
      </c>
      <c r="AE83" s="131" t="str">
        <f>+IF(((AA84+(AA85/2))*60)=0,"",(J83*AA83)/((AA84+(AA85/2))*60))</f>
        <v/>
      </c>
      <c r="AF83" s="347">
        <f>+AA84+AA85/2</f>
        <v>0</v>
      </c>
      <c r="AG83" s="347">
        <f t="shared" si="77"/>
        <v>0</v>
      </c>
      <c r="AH83" s="341">
        <f t="shared" si="78"/>
        <v>0</v>
      </c>
      <c r="AI83" s="341">
        <f>+AA83*J83</f>
        <v>0</v>
      </c>
      <c r="AJ83" s="356">
        <f>+AA83-(AF83*K83/K85)</f>
        <v>0</v>
      </c>
      <c r="AK83" s="348"/>
      <c r="AL83" s="349"/>
      <c r="AM83" s="341"/>
      <c r="AN83" s="341"/>
      <c r="AO83" s="341"/>
      <c r="AP83" s="341"/>
      <c r="AQ83" s="339">
        <f>0+AA82</f>
        <v>0</v>
      </c>
      <c r="AR83" s="434"/>
      <c r="AT83" s="390">
        <v>826</v>
      </c>
      <c r="AV83" s="390">
        <f t="shared" ref="AV83" si="79">+AT83-AD83</f>
        <v>826</v>
      </c>
    </row>
    <row r="84" spans="2:48" s="98" customFormat="1" ht="62.25" customHeight="1" x14ac:dyDescent="0.9">
      <c r="B84" s="357">
        <f>+B83</f>
        <v>17</v>
      </c>
      <c r="C84" s="408"/>
      <c r="D84" s="184"/>
      <c r="E84" s="111">
        <f>+B83</f>
        <v>17</v>
      </c>
      <c r="F84" s="409"/>
      <c r="G84" s="541" t="str">
        <f>+G82</f>
        <v>2395-582-401</v>
      </c>
      <c r="H84" s="411" t="s">
        <v>413</v>
      </c>
      <c r="I84" s="113">
        <f>+IFERROR(IF(K85=0,0,IF((LOOKUP(2,1/(M84:W84&lt;&gt;""),M84:W84)-K85)&lt;0,0,IF(K85=0,"",LOOKUP(2,1/(M84:W84&lt;&gt;""),M84:W84)-K85))),0)</f>
        <v>0</v>
      </c>
      <c r="J84" s="113"/>
      <c r="K84" s="114" t="s">
        <v>22</v>
      </c>
      <c r="L84" s="102" t="s">
        <v>18</v>
      </c>
      <c r="M84" s="448"/>
      <c r="N84" s="448"/>
      <c r="O84" s="448"/>
      <c r="P84" s="448"/>
      <c r="Q84" s="448"/>
      <c r="R84" s="448"/>
      <c r="S84" s="448"/>
      <c r="T84" s="448"/>
      <c r="U84" s="448"/>
      <c r="V84" s="448"/>
      <c r="W84" s="448"/>
      <c r="X84" s="160">
        <f>+IF(H84="l",IF(COUNTA(M83:W83)=AK85+0.75,AA83-K83*AK85,AA83-(K83*COUNTA(M83:W83))),IF(H84="s",0,IF(COUNTA(M83:W83)=AK85+0.75,SUMIF($C:$C,B83,$AA:$AA)-K83*AK85,SUMIF($C:$C,B83,$AA:$AA)-K83*COUNTA(M83:W83))))</f>
        <v>0</v>
      </c>
      <c r="Y84" s="466"/>
      <c r="Z84" s="534"/>
      <c r="AA84" s="498">
        <f t="shared" ref="AA84:AA85" si="80">+SUM(M84:W84)-T84*0.75</f>
        <v>0</v>
      </c>
      <c r="AB84" s="360"/>
      <c r="AC84" s="360"/>
      <c r="AD84" s="362"/>
      <c r="AE84" s="363"/>
      <c r="AF84" s="346"/>
      <c r="AG84" s="347">
        <f t="shared" si="77"/>
        <v>0</v>
      </c>
      <c r="AH84" s="341">
        <f t="shared" si="78"/>
        <v>0</v>
      </c>
      <c r="AI84" s="341"/>
      <c r="AJ84" s="341"/>
      <c r="AK84" s="348"/>
      <c r="AL84" s="349">
        <f>+IF(AK85=7.75,SUM(M84:S84)+T84*0.75,IF(AK85=8,SUM(M84:T84),IF(AK85=7.25,SUM(M84:S84)+T84*0.25,IF(AK85=8.25,SUM(M84:T84)+U84*0.25,IF(AK85=8.75,SUM(M84:T84)+U84*0.75,0)))))</f>
        <v>0</v>
      </c>
      <c r="AM84" s="341">
        <f>+AL84-AA84</f>
        <v>0</v>
      </c>
      <c r="AN84" s="341"/>
      <c r="AO84" s="341"/>
      <c r="AP84" s="341"/>
      <c r="AQ84" s="438"/>
      <c r="AR84" s="434"/>
      <c r="AT84" s="390"/>
      <c r="AV84" s="390"/>
    </row>
    <row r="85" spans="2:48" s="98" customFormat="1" ht="62.25" customHeight="1" thickBot="1" x14ac:dyDescent="0.95">
      <c r="B85" s="364">
        <f>+B83</f>
        <v>17</v>
      </c>
      <c r="C85" s="410"/>
      <c r="D85" s="174" t="s">
        <v>379</v>
      </c>
      <c r="E85" s="175">
        <f>+E84+100</f>
        <v>117</v>
      </c>
      <c r="F85" s="175"/>
      <c r="G85" s="542" t="str">
        <f>+G82</f>
        <v>2395-582-401</v>
      </c>
      <c r="H85" s="117"/>
      <c r="I85" s="442"/>
      <c r="J85" s="165">
        <f>+IF(K85="","",IF(K83=0,"",(K83*J83)/(K85*60)))</f>
        <v>0.84590425531914903</v>
      </c>
      <c r="K85" s="118">
        <v>47</v>
      </c>
      <c r="L85" s="104" t="s">
        <v>19</v>
      </c>
      <c r="M85" s="216"/>
      <c r="N85" s="216"/>
      <c r="O85" s="216"/>
      <c r="P85" s="216"/>
      <c r="Q85" s="216"/>
      <c r="R85" s="216"/>
      <c r="S85" s="216"/>
      <c r="T85" s="216"/>
      <c r="U85" s="216"/>
      <c r="V85" s="216"/>
      <c r="W85" s="216"/>
      <c r="X85" s="173"/>
      <c r="Y85" s="467"/>
      <c r="Z85" s="371">
        <f>+IF(COUNTA(M83:W83)=$AJ$4+0.25,$AJ$4-(AA83/K83),COUNTA(M83:W83)-(AA83/K83))+Y85</f>
        <v>0</v>
      </c>
      <c r="AA85" s="465">
        <f t="shared" si="80"/>
        <v>0</v>
      </c>
      <c r="AB85" s="367"/>
      <c r="AC85" s="367"/>
      <c r="AD85" s="368">
        <f>+IFERROR(AD83/(K83*$AQ$3),"")</f>
        <v>0</v>
      </c>
      <c r="AE85" s="369"/>
      <c r="AF85" s="347"/>
      <c r="AG85" s="347">
        <f t="shared" si="77"/>
        <v>0</v>
      </c>
      <c r="AH85" s="341">
        <f t="shared" si="78"/>
        <v>0</v>
      </c>
      <c r="AI85" s="341"/>
      <c r="AJ85" s="356"/>
      <c r="AK85" s="370">
        <f>+$AJ$4</f>
        <v>7.25</v>
      </c>
      <c r="AL85" s="349">
        <f>+IF(AK85=7.75,SUM(M85:S85)+T85*0.75,IF(AK85=8,SUM(M85:T85),IF(AK85=7.25,SUM(M85:S85)+T85*0.25,IF(AK85=8.25,SUM(M85:T85)+U85*0.25,IF(AK85=8.75,SUM(M85:T85)+U85*0.75,0)))))</f>
        <v>0</v>
      </c>
      <c r="AM85" s="341">
        <f>+AL85-AA85</f>
        <v>0</v>
      </c>
      <c r="AN85" s="341"/>
      <c r="AO85" s="341"/>
      <c r="AP85" s="341"/>
      <c r="AQ85" s="369"/>
      <c r="AR85" s="434"/>
      <c r="AT85" s="390">
        <v>1.5475409836065575</v>
      </c>
      <c r="AV85" s="390"/>
    </row>
    <row r="86" spans="2:48" s="98" customFormat="1" ht="62.25" customHeight="1" thickTop="1" x14ac:dyDescent="0.9">
      <c r="B86" s="373">
        <f>+B87</f>
        <v>18</v>
      </c>
      <c r="C86" s="405"/>
      <c r="D86" s="106"/>
      <c r="E86" s="106"/>
      <c r="F86" s="106"/>
      <c r="G86" s="540" t="s">
        <v>481</v>
      </c>
      <c r="H86" s="106"/>
      <c r="I86" s="106"/>
      <c r="J86" s="107" t="s">
        <v>20</v>
      </c>
      <c r="K86" s="108" t="s">
        <v>23</v>
      </c>
      <c r="L86" s="100" t="s">
        <v>21</v>
      </c>
      <c r="M86" s="448">
        <v>180</v>
      </c>
      <c r="N86" s="448">
        <v>180</v>
      </c>
      <c r="O86" s="448"/>
      <c r="P86" s="448"/>
      <c r="Q86" s="448">
        <v>60</v>
      </c>
      <c r="R86" s="448"/>
      <c r="S86" s="448"/>
      <c r="T86" s="448"/>
      <c r="U86" s="448"/>
      <c r="V86" s="448"/>
      <c r="W86" s="448"/>
      <c r="X86" s="447">
        <f t="shared" ref="X86" si="81">IF(AQ87="","",SUM(M86:W86)-(-(AQ87-SUM(M86:W86))/$AQ$3)*SUM($M$2:$W$2))</f>
        <v>420</v>
      </c>
      <c r="Y86" s="466">
        <v>38</v>
      </c>
      <c r="Z86" s="533">
        <f>+X88</f>
        <v>0</v>
      </c>
      <c r="AA86" s="447">
        <f t="shared" si="62"/>
        <v>420</v>
      </c>
      <c r="AB86" s="343">
        <f>+AC86+AA86</f>
        <v>3810</v>
      </c>
      <c r="AC86" s="343">
        <v>3390</v>
      </c>
      <c r="AD86" s="344"/>
      <c r="AE86" s="345"/>
      <c r="AF86" s="346"/>
      <c r="AG86" s="347">
        <f t="shared" si="67"/>
        <v>0</v>
      </c>
      <c r="AH86" s="341">
        <f t="shared" si="68"/>
        <v>0</v>
      </c>
      <c r="AI86" s="341"/>
      <c r="AJ86" s="341"/>
      <c r="AK86" s="348"/>
      <c r="AL86" s="349"/>
      <c r="AM86" s="341"/>
      <c r="AN86" s="341"/>
      <c r="AO86" s="341"/>
      <c r="AP86" s="341"/>
      <c r="AQ86" s="350"/>
      <c r="AR86" s="434"/>
      <c r="AT86" s="390"/>
      <c r="AV86" s="390"/>
    </row>
    <row r="87" spans="2:48" s="98" customFormat="1" ht="62.25" customHeight="1" x14ac:dyDescent="0.9">
      <c r="B87" s="374">
        <v>18</v>
      </c>
      <c r="C87" s="406">
        <f>+B87</f>
        <v>18</v>
      </c>
      <c r="D87" s="407" t="s">
        <v>480</v>
      </c>
      <c r="E87" s="111"/>
      <c r="F87" s="111" t="s">
        <v>35</v>
      </c>
      <c r="G87" s="541" t="str">
        <f t="shared" ref="G87:G89" si="82">+G86</f>
        <v>2396-593-600</v>
      </c>
      <c r="H87" s="111"/>
      <c r="I87" s="111" t="s">
        <v>33</v>
      </c>
      <c r="J87" s="113">
        <v>38.82</v>
      </c>
      <c r="K87" s="130">
        <v>60</v>
      </c>
      <c r="L87" s="101" t="s">
        <v>17</v>
      </c>
      <c r="M87" s="214">
        <v>60</v>
      </c>
      <c r="N87" s="214">
        <v>60</v>
      </c>
      <c r="O87" s="214">
        <v>60</v>
      </c>
      <c r="P87" s="214">
        <v>60</v>
      </c>
      <c r="Q87" s="214">
        <v>60</v>
      </c>
      <c r="R87" s="214">
        <v>60</v>
      </c>
      <c r="S87" s="214">
        <v>60</v>
      </c>
      <c r="T87" s="214">
        <v>15</v>
      </c>
      <c r="U87" s="214"/>
      <c r="V87" s="214"/>
      <c r="W87" s="214"/>
      <c r="X87" s="123">
        <f>+IF(H88="s",0,IF(AA87=0,0,IF(COUNTA(M87:W87)=AK89+0.75,SUMIF($C:$C,B87,$AA:$AA)/AK89,SUMIF($C:$C,B87,$AA:$AA)/(COUNTA(M87:W87)))))</f>
        <v>60</v>
      </c>
      <c r="Y87" s="466"/>
      <c r="Z87" s="534"/>
      <c r="AA87" s="134">
        <f t="shared" si="62"/>
        <v>435</v>
      </c>
      <c r="AB87" s="354">
        <f>+AA87+AC87</f>
        <v>3007</v>
      </c>
      <c r="AC87" s="354">
        <v>2572</v>
      </c>
      <c r="AD87" s="355">
        <f>+AB86-AB87</f>
        <v>803</v>
      </c>
      <c r="AE87" s="131">
        <f>+IF(((AA88+(AA89/2))*60)=0,"",(J87*AA87)/((AA88+(AA89/2))*60))</f>
        <v>0.90279069767441866</v>
      </c>
      <c r="AF87" s="347">
        <f>+AA88+AA89/2</f>
        <v>311.75</v>
      </c>
      <c r="AG87" s="347">
        <f t="shared" si="67"/>
        <v>311.45</v>
      </c>
      <c r="AH87" s="341">
        <f t="shared" si="68"/>
        <v>18705</v>
      </c>
      <c r="AI87" s="341">
        <f>+AA87*J87</f>
        <v>16886.7</v>
      </c>
      <c r="AJ87" s="356">
        <f>+AA87-(AF87*K87/K89)</f>
        <v>0</v>
      </c>
      <c r="AK87" s="348"/>
      <c r="AL87" s="349"/>
      <c r="AM87" s="341"/>
      <c r="AN87" s="341"/>
      <c r="AO87" s="341"/>
      <c r="AP87" s="341"/>
      <c r="AQ87" s="339">
        <f>-420+AA86</f>
        <v>0</v>
      </c>
      <c r="AR87" s="434">
        <v>1.5</v>
      </c>
      <c r="AT87" s="390">
        <v>818</v>
      </c>
      <c r="AV87" s="390">
        <f t="shared" ref="AV87" si="83">+AT87-AD87</f>
        <v>15</v>
      </c>
    </row>
    <row r="88" spans="2:48" s="98" customFormat="1" ht="62.25" customHeight="1" x14ac:dyDescent="0.9">
      <c r="B88" s="357">
        <f>+B87</f>
        <v>18</v>
      </c>
      <c r="C88" s="408"/>
      <c r="D88" s="184"/>
      <c r="E88" s="111">
        <f>+B87</f>
        <v>18</v>
      </c>
      <c r="F88" s="409"/>
      <c r="G88" s="541" t="str">
        <f t="shared" si="82"/>
        <v>2396-593-600</v>
      </c>
      <c r="H88" s="411" t="s">
        <v>413</v>
      </c>
      <c r="I88" s="113">
        <f>+IFERROR(IF(K89=0,0,IF((LOOKUP(2,1/(M88:W88&lt;&gt;""),M88:W88)-K89)&lt;0,0,IF(K89=0,"",LOOKUP(2,1/(M88:W88&lt;&gt;""),M88:W88)-K89))),0)</f>
        <v>0</v>
      </c>
      <c r="J88" s="113">
        <v>1</v>
      </c>
      <c r="K88" s="114" t="s">
        <v>22</v>
      </c>
      <c r="L88" s="102" t="s">
        <v>18</v>
      </c>
      <c r="M88" s="448">
        <v>43</v>
      </c>
      <c r="N88" s="448">
        <v>43</v>
      </c>
      <c r="O88" s="448">
        <v>43</v>
      </c>
      <c r="P88" s="448">
        <v>43</v>
      </c>
      <c r="Q88" s="448">
        <v>43</v>
      </c>
      <c r="R88" s="448">
        <v>43</v>
      </c>
      <c r="S88" s="448">
        <v>43</v>
      </c>
      <c r="T88" s="448">
        <v>43</v>
      </c>
      <c r="U88" s="448"/>
      <c r="V88" s="448"/>
      <c r="W88" s="448"/>
      <c r="X88" s="160">
        <f>+IF(H88="l",IF(COUNTA(M87:W87)=AK89+0.75,AA87-K87*AK89,AA87-(K87*COUNTA(M87:W87))),IF(H88="s",0,IF(COUNTA(M87:W87)=AK89+0.75,SUMIF($C:$C,B87,$AA:$AA)-K87*AK89,SUMIF($C:$C,B87,$AA:$AA)-K87*COUNTA(M87:W87))))</f>
        <v>0</v>
      </c>
      <c r="Y88" s="466"/>
      <c r="Z88" s="534"/>
      <c r="AA88" s="498">
        <f t="shared" ref="AA88:AA89" si="84">+SUM(M88:W88)-T88*0.75</f>
        <v>311.75</v>
      </c>
      <c r="AB88" s="361"/>
      <c r="AC88" s="361"/>
      <c r="AD88" s="362"/>
      <c r="AE88" s="363"/>
      <c r="AF88" s="346"/>
      <c r="AG88" s="347">
        <f t="shared" si="67"/>
        <v>0</v>
      </c>
      <c r="AH88" s="341">
        <f t="shared" si="68"/>
        <v>0</v>
      </c>
      <c r="AI88" s="341"/>
      <c r="AJ88" s="341"/>
      <c r="AK88" s="348"/>
      <c r="AL88" s="349">
        <f>+IF(AK89=7.75,SUM(M88:S88)+T88*0.75,IF(AK89=8,SUM(M88:T88),IF(AK89=7.25,SUM(M88:S88)+T88*0.25,IF(AK89=8.25,SUM(M88:T88)+U88*0.25,IF(AK89=8.75,SUM(M88:T88)+U88*0.75,0)))))</f>
        <v>311.75</v>
      </c>
      <c r="AM88" s="341">
        <f>+AL88-AA88</f>
        <v>0</v>
      </c>
      <c r="AN88" s="341"/>
      <c r="AO88" s="341"/>
      <c r="AP88" s="341"/>
      <c r="AQ88" s="438"/>
      <c r="AR88" s="434"/>
      <c r="AT88" s="390"/>
      <c r="AV88" s="390"/>
    </row>
    <row r="89" spans="2:48" s="98" customFormat="1" ht="62.25" customHeight="1" thickBot="1" x14ac:dyDescent="0.95">
      <c r="B89" s="375">
        <f>+B87</f>
        <v>18</v>
      </c>
      <c r="C89" s="410"/>
      <c r="D89" s="413" t="s">
        <v>308</v>
      </c>
      <c r="E89" s="175">
        <f>+E88+100</f>
        <v>118</v>
      </c>
      <c r="F89" s="175"/>
      <c r="G89" s="542" t="str">
        <f t="shared" si="82"/>
        <v>2396-593-600</v>
      </c>
      <c r="H89" s="117"/>
      <c r="I89" s="442"/>
      <c r="J89" s="165">
        <f>+IF(K89="","",IF(K87=0,"",(K87*J87)/(K89*60)))</f>
        <v>0.90279069767441855</v>
      </c>
      <c r="K89" s="118">
        <v>43</v>
      </c>
      <c r="L89" s="104" t="s">
        <v>19</v>
      </c>
      <c r="M89" s="216"/>
      <c r="N89" s="216"/>
      <c r="O89" s="216"/>
      <c r="P89" s="216"/>
      <c r="Q89" s="216"/>
      <c r="R89" s="216"/>
      <c r="S89" s="216"/>
      <c r="T89" s="216"/>
      <c r="U89" s="216"/>
      <c r="V89" s="216"/>
      <c r="W89" s="216"/>
      <c r="X89" s="173"/>
      <c r="Y89" s="467">
        <v>12.46</v>
      </c>
      <c r="Z89" s="365">
        <v>12.46</v>
      </c>
      <c r="AA89" s="465">
        <f t="shared" si="84"/>
        <v>0</v>
      </c>
      <c r="AB89" s="367"/>
      <c r="AC89" s="367"/>
      <c r="AD89" s="368">
        <f>+IFERROR(AD87/(K87*$AQ$3),"")</f>
        <v>1.5295238095238095</v>
      </c>
      <c r="AE89" s="369"/>
      <c r="AF89" s="347"/>
      <c r="AG89" s="347">
        <f t="shared" si="67"/>
        <v>0</v>
      </c>
      <c r="AH89" s="341">
        <f t="shared" si="68"/>
        <v>0</v>
      </c>
      <c r="AI89" s="341"/>
      <c r="AJ89" s="356"/>
      <c r="AK89" s="370">
        <f>+$AJ$4</f>
        <v>7.25</v>
      </c>
      <c r="AL89" s="349">
        <f>+IF(AK89=7.75,SUM(M89:S89)+T89*0.75,IF(AK89=8,SUM(M89:T89),IF(AK89=7.25,SUM(M89:S89)+T89*0.25,IF(AK89=8.25,SUM(M89:T89)+U89*0.25,IF(AK89=8.75,SUM(M89:T89)+U89*0.75,0)))))</f>
        <v>0</v>
      </c>
      <c r="AM89" s="341">
        <f>+AL89-AA89</f>
        <v>0</v>
      </c>
      <c r="AN89" s="341"/>
      <c r="AO89" s="341"/>
      <c r="AP89" s="341"/>
      <c r="AQ89" s="369"/>
      <c r="AR89" s="434"/>
      <c r="AT89" s="390">
        <v>1.5580952380952382</v>
      </c>
      <c r="AV89" s="390"/>
    </row>
    <row r="90" spans="2:48" s="419" customFormat="1" ht="91.5" customHeight="1" thickTop="1" thickBot="1" x14ac:dyDescent="0.95">
      <c r="B90" s="414"/>
      <c r="C90" s="414"/>
      <c r="D90" s="415"/>
      <c r="E90" s="415"/>
      <c r="F90" s="415"/>
      <c r="G90" s="415"/>
      <c r="H90" s="415"/>
      <c r="I90" s="415"/>
      <c r="J90" s="415"/>
      <c r="K90" s="415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  <c r="W90" s="416"/>
      <c r="X90" s="415"/>
      <c r="Y90" s="415"/>
      <c r="Z90" s="415"/>
      <c r="AA90" s="415"/>
      <c r="AB90" s="415"/>
      <c r="AC90" s="415"/>
      <c r="AD90" s="415"/>
      <c r="AE90" s="417"/>
      <c r="AF90" s="418"/>
      <c r="AG90" s="418"/>
      <c r="AK90" s="420"/>
      <c r="AL90" s="421"/>
      <c r="AR90" s="435"/>
    </row>
    <row r="91" spans="2:48" s="419" customFormat="1" ht="91.5" customHeight="1" thickTop="1" thickBot="1" x14ac:dyDescent="0.95">
      <c r="B91" s="414"/>
      <c r="C91" s="414"/>
      <c r="D91" s="415"/>
      <c r="E91" s="415"/>
      <c r="F91" s="415"/>
      <c r="G91" s="415"/>
      <c r="H91" s="415"/>
      <c r="I91" s="415"/>
      <c r="J91" s="415"/>
      <c r="K91" s="415"/>
      <c r="L91" s="378" t="s">
        <v>21</v>
      </c>
      <c r="M91" s="379">
        <f t="shared" ref="M91:W91" si="85">+SUMIF($L$6:$L$90,$L$91,M6:M90)</f>
        <v>1840</v>
      </c>
      <c r="N91" s="379">
        <f t="shared" si="85"/>
        <v>1585</v>
      </c>
      <c r="O91" s="379">
        <f t="shared" si="85"/>
        <v>430</v>
      </c>
      <c r="P91" s="379">
        <f t="shared" si="85"/>
        <v>470</v>
      </c>
      <c r="Q91" s="379">
        <f t="shared" si="85"/>
        <v>600</v>
      </c>
      <c r="R91" s="379">
        <f t="shared" si="85"/>
        <v>234</v>
      </c>
      <c r="S91" s="379">
        <f t="shared" si="85"/>
        <v>0</v>
      </c>
      <c r="T91" s="379">
        <f t="shared" si="85"/>
        <v>0</v>
      </c>
      <c r="U91" s="379">
        <f t="shared" si="85"/>
        <v>0</v>
      </c>
      <c r="V91" s="379">
        <f t="shared" si="85"/>
        <v>0</v>
      </c>
      <c r="W91" s="379">
        <f t="shared" si="85"/>
        <v>0</v>
      </c>
      <c r="X91" s="332"/>
      <c r="Y91" s="332"/>
      <c r="Z91" s="537">
        <f>+SUM(M91:W91)</f>
        <v>5159</v>
      </c>
      <c r="AA91" s="538"/>
      <c r="AB91" s="415"/>
      <c r="AC91" s="415"/>
      <c r="AD91" s="415"/>
      <c r="AE91" s="417"/>
      <c r="AF91" s="418"/>
      <c r="AG91" s="418"/>
      <c r="AK91" s="420"/>
      <c r="AR91" s="435"/>
    </row>
    <row r="92" spans="2:48" s="419" customFormat="1" ht="91.5" customHeight="1" thickTop="1" thickBot="1" x14ac:dyDescent="0.95">
      <c r="B92" s="414"/>
      <c r="C92" s="414"/>
      <c r="D92" s="415"/>
      <c r="E92" s="415"/>
      <c r="F92" s="415"/>
      <c r="G92" s="415"/>
      <c r="H92" s="415"/>
      <c r="I92" s="415"/>
      <c r="J92" s="415"/>
      <c r="K92" s="415"/>
      <c r="L92" s="380"/>
      <c r="M92" s="376"/>
      <c r="N92" s="376"/>
      <c r="O92" s="376"/>
      <c r="P92" s="376"/>
      <c r="Q92" s="376"/>
      <c r="R92" s="376"/>
      <c r="S92" s="376"/>
      <c r="T92" s="376"/>
      <c r="U92" s="376"/>
      <c r="V92" s="376"/>
      <c r="W92" s="376"/>
      <c r="X92" s="332"/>
      <c r="Y92" s="332"/>
      <c r="Z92" s="332"/>
      <c r="AA92" s="332"/>
      <c r="AB92" s="415"/>
      <c r="AC92" s="415"/>
      <c r="AD92" s="415"/>
      <c r="AE92" s="417"/>
      <c r="AF92" s="418"/>
      <c r="AG92" s="418"/>
      <c r="AK92" s="420"/>
      <c r="AR92" s="435"/>
    </row>
    <row r="93" spans="2:48" s="419" customFormat="1" ht="91.5" customHeight="1" thickTop="1" thickBot="1" x14ac:dyDescent="0.95">
      <c r="B93" s="414"/>
      <c r="C93" s="414"/>
      <c r="D93" s="415"/>
      <c r="E93" s="415"/>
      <c r="F93" s="415"/>
      <c r="G93" s="415"/>
      <c r="H93" s="415"/>
      <c r="I93" s="415"/>
      <c r="J93" s="415"/>
      <c r="K93" s="415"/>
      <c r="L93" s="378" t="s">
        <v>17</v>
      </c>
      <c r="M93" s="379">
        <f t="shared" ref="M93:W93" si="86">+SUMIF($L$6:$L$90,$L$93,M6:M90)</f>
        <v>835</v>
      </c>
      <c r="N93" s="379">
        <f t="shared" si="86"/>
        <v>873</v>
      </c>
      <c r="O93" s="379">
        <f t="shared" si="86"/>
        <v>888</v>
      </c>
      <c r="P93" s="379">
        <f t="shared" si="86"/>
        <v>871</v>
      </c>
      <c r="Q93" s="379">
        <f t="shared" si="86"/>
        <v>846</v>
      </c>
      <c r="R93" s="379">
        <f t="shared" si="86"/>
        <v>799</v>
      </c>
      <c r="S93" s="379">
        <f t="shared" si="86"/>
        <v>682</v>
      </c>
      <c r="T93" s="379">
        <f t="shared" si="86"/>
        <v>171</v>
      </c>
      <c r="U93" s="379">
        <f t="shared" si="86"/>
        <v>0</v>
      </c>
      <c r="V93" s="379">
        <f t="shared" si="86"/>
        <v>0</v>
      </c>
      <c r="W93" s="379">
        <f t="shared" si="86"/>
        <v>0</v>
      </c>
      <c r="X93" s="332"/>
      <c r="Y93" s="332"/>
      <c r="Z93" s="537">
        <f>+SUM(M93:W93)</f>
        <v>5965</v>
      </c>
      <c r="AA93" s="538"/>
      <c r="AB93" s="415"/>
      <c r="AC93" s="415"/>
      <c r="AD93" s="415"/>
      <c r="AE93" s="417"/>
      <c r="AF93" s="418"/>
      <c r="AG93" s="418"/>
      <c r="AK93" s="420"/>
      <c r="AR93" s="435"/>
    </row>
    <row r="94" spans="2:48" s="419" customFormat="1" ht="91.5" customHeight="1" thickTop="1" thickBot="1" x14ac:dyDescent="0.95">
      <c r="B94" s="414"/>
      <c r="C94" s="414"/>
      <c r="D94" s="415"/>
      <c r="E94" s="415"/>
      <c r="F94" s="415"/>
      <c r="G94" s="415"/>
      <c r="H94" s="415"/>
      <c r="I94" s="415"/>
      <c r="J94" s="415"/>
      <c r="K94" s="415"/>
      <c r="L94" s="380"/>
      <c r="M94" s="376"/>
      <c r="N94" s="376"/>
      <c r="O94" s="376"/>
      <c r="P94" s="376"/>
      <c r="Q94" s="376"/>
      <c r="R94" s="376"/>
      <c r="S94" s="376"/>
      <c r="T94" s="376"/>
      <c r="U94" s="376"/>
      <c r="V94" s="376"/>
      <c r="W94" s="376"/>
      <c r="X94" s="332"/>
      <c r="Y94" s="332"/>
      <c r="Z94" s="332"/>
      <c r="AA94" s="332"/>
      <c r="AB94" s="415"/>
      <c r="AC94" s="415"/>
      <c r="AD94" s="415"/>
      <c r="AE94" s="417"/>
      <c r="AF94" s="418"/>
      <c r="AG94" s="418"/>
      <c r="AK94" s="420"/>
      <c r="AR94" s="435"/>
    </row>
    <row r="95" spans="2:48" s="419" customFormat="1" ht="91.5" customHeight="1" thickTop="1" thickBot="1" x14ac:dyDescent="0.95">
      <c r="B95" s="414"/>
      <c r="C95" s="414"/>
      <c r="D95" s="422"/>
      <c r="E95" s="422"/>
      <c r="F95" s="422"/>
      <c r="G95" s="422"/>
      <c r="H95" s="422"/>
      <c r="I95" s="422"/>
      <c r="J95" s="423"/>
      <c r="K95" s="422"/>
      <c r="L95" s="378" t="s">
        <v>19</v>
      </c>
      <c r="M95" s="379">
        <f t="shared" ref="M95:W95" si="87">+SUMIF($L$6:$L$90,$L$95,M6:M90)</f>
        <v>9</v>
      </c>
      <c r="N95" s="379">
        <f t="shared" si="87"/>
        <v>9</v>
      </c>
      <c r="O95" s="379">
        <f t="shared" si="87"/>
        <v>9</v>
      </c>
      <c r="P95" s="379">
        <f t="shared" si="87"/>
        <v>9</v>
      </c>
      <c r="Q95" s="379">
        <f t="shared" si="87"/>
        <v>9</v>
      </c>
      <c r="R95" s="379">
        <f t="shared" si="87"/>
        <v>9</v>
      </c>
      <c r="S95" s="379">
        <f t="shared" si="87"/>
        <v>9</v>
      </c>
      <c r="T95" s="379">
        <f t="shared" si="87"/>
        <v>9</v>
      </c>
      <c r="U95" s="379">
        <f t="shared" si="87"/>
        <v>0</v>
      </c>
      <c r="V95" s="379">
        <f t="shared" si="87"/>
        <v>0</v>
      </c>
      <c r="W95" s="379">
        <f t="shared" si="87"/>
        <v>0</v>
      </c>
      <c r="X95" s="381"/>
      <c r="Y95" s="381"/>
      <c r="Z95" s="332"/>
      <c r="AA95" s="332"/>
      <c r="AB95" s="415"/>
      <c r="AC95" s="415"/>
      <c r="AD95" s="415"/>
      <c r="AE95" s="417"/>
      <c r="AF95" s="418"/>
      <c r="AG95" s="418"/>
      <c r="AK95" s="420"/>
      <c r="AR95" s="435"/>
    </row>
    <row r="96" spans="2:48" s="419" customFormat="1" ht="62.25" customHeight="1" thickTop="1" x14ac:dyDescent="0.9">
      <c r="B96" s="414"/>
      <c r="C96" s="414"/>
      <c r="D96" s="422"/>
      <c r="E96" s="422"/>
      <c r="F96" s="422"/>
      <c r="G96" s="422"/>
      <c r="H96" s="422"/>
      <c r="I96" s="424"/>
      <c r="J96" s="423"/>
      <c r="K96" s="422"/>
      <c r="L96" s="380"/>
      <c r="M96" s="382"/>
      <c r="N96" s="377"/>
      <c r="O96" s="377"/>
      <c r="P96" s="377"/>
      <c r="Q96" s="377"/>
      <c r="R96" s="377"/>
      <c r="S96" s="377"/>
      <c r="T96" s="377"/>
      <c r="U96" s="377"/>
      <c r="V96" s="377"/>
      <c r="W96" s="377"/>
      <c r="X96" s="332"/>
      <c r="Y96" s="332"/>
      <c r="Z96" s="332"/>
      <c r="AA96" s="332"/>
      <c r="AB96" s="415"/>
      <c r="AC96" s="415"/>
      <c r="AD96" s="425"/>
      <c r="AE96" s="417"/>
      <c r="AF96" s="418"/>
      <c r="AG96" s="418"/>
      <c r="AK96" s="420"/>
      <c r="AR96" s="435"/>
    </row>
    <row r="97" spans="2:44" s="98" customFormat="1" ht="62.25" customHeight="1" thickBot="1" x14ac:dyDescent="0.95">
      <c r="B97" s="94"/>
      <c r="C97" s="94"/>
      <c r="D97" s="92"/>
      <c r="E97" s="92"/>
      <c r="F97" s="92"/>
      <c r="G97" s="92"/>
      <c r="H97" s="92"/>
      <c r="I97" s="91"/>
      <c r="J97" s="93"/>
      <c r="K97" s="92"/>
      <c r="L97" s="384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91"/>
      <c r="AC97" s="91"/>
      <c r="AD97" s="91"/>
      <c r="AE97" s="95"/>
      <c r="AF97" s="158"/>
      <c r="AG97" s="158"/>
      <c r="AK97" s="183"/>
      <c r="AR97" s="434"/>
    </row>
    <row r="98" spans="2:44" s="98" customFormat="1" ht="88.5" customHeight="1" thickTop="1" thickBot="1" x14ac:dyDescent="0.95">
      <c r="B98" s="94"/>
      <c r="C98" s="94"/>
      <c r="D98" s="92"/>
      <c r="E98" s="92"/>
      <c r="F98" s="92"/>
      <c r="G98" s="92"/>
      <c r="H98" s="92"/>
      <c r="I98" s="91"/>
      <c r="J98" s="93"/>
      <c r="K98" s="212" t="s">
        <v>18</v>
      </c>
      <c r="L98" s="385" t="s">
        <v>180</v>
      </c>
      <c r="M98" s="379">
        <f t="shared" ref="M98:W98" si="88">+IF(M101=0,0,SUMIFS($J$6:$J$90,$L$6:$L$90,$K$98))</f>
        <v>11</v>
      </c>
      <c r="N98" s="379">
        <f t="shared" si="88"/>
        <v>11</v>
      </c>
      <c r="O98" s="379">
        <f t="shared" si="88"/>
        <v>11</v>
      </c>
      <c r="P98" s="379">
        <f t="shared" si="88"/>
        <v>11</v>
      </c>
      <c r="Q98" s="379">
        <f t="shared" si="88"/>
        <v>11</v>
      </c>
      <c r="R98" s="379">
        <f t="shared" si="88"/>
        <v>11</v>
      </c>
      <c r="S98" s="379">
        <f t="shared" si="88"/>
        <v>11</v>
      </c>
      <c r="T98" s="379">
        <f t="shared" si="88"/>
        <v>11</v>
      </c>
      <c r="U98" s="379">
        <f t="shared" si="88"/>
        <v>0</v>
      </c>
      <c r="V98" s="379">
        <f t="shared" si="88"/>
        <v>0</v>
      </c>
      <c r="W98" s="379">
        <f t="shared" si="88"/>
        <v>0</v>
      </c>
      <c r="X98" s="383"/>
      <c r="Y98" s="383"/>
      <c r="Z98" s="340"/>
      <c r="AA98" s="340"/>
      <c r="AB98" s="91"/>
      <c r="AC98" s="91"/>
      <c r="AD98" s="91"/>
      <c r="AE98" s="95"/>
      <c r="AF98" s="158"/>
      <c r="AG98" s="158"/>
      <c r="AK98" s="183"/>
      <c r="AR98" s="434"/>
    </row>
    <row r="99" spans="2:44" s="98" customFormat="1" ht="62.25" customHeight="1" thickTop="1" x14ac:dyDescent="0.9">
      <c r="B99" s="94"/>
      <c r="C99" s="94"/>
      <c r="D99" s="92"/>
      <c r="E99" s="92"/>
      <c r="F99" s="92"/>
      <c r="G99" s="92"/>
      <c r="H99" s="92"/>
      <c r="I99" s="92"/>
      <c r="J99" s="93"/>
      <c r="K99" s="212"/>
      <c r="L99" s="384"/>
      <c r="M99" s="386"/>
      <c r="N99" s="386"/>
      <c r="O99" s="386"/>
      <c r="P99" s="386"/>
      <c r="Q99" s="386"/>
      <c r="R99" s="386"/>
      <c r="S99" s="386"/>
      <c r="T99" s="386"/>
      <c r="U99" s="386"/>
      <c r="V99" s="386"/>
      <c r="W99" s="386"/>
      <c r="X99" s="340"/>
      <c r="Y99" s="340"/>
      <c r="Z99" s="340"/>
      <c r="AA99" s="340"/>
      <c r="AB99" s="91"/>
      <c r="AC99" s="91"/>
      <c r="AD99" s="91"/>
      <c r="AE99" s="95"/>
      <c r="AF99" s="158"/>
      <c r="AG99" s="158"/>
      <c r="AK99" s="183"/>
      <c r="AR99" s="434"/>
    </row>
    <row r="100" spans="2:44" s="98" customFormat="1" ht="62.25" customHeight="1" thickBot="1" x14ac:dyDescent="0.95">
      <c r="B100" s="94"/>
      <c r="C100" s="94"/>
      <c r="D100" s="92"/>
      <c r="E100" s="92"/>
      <c r="F100" s="92"/>
      <c r="G100" s="92"/>
      <c r="H100" s="92"/>
      <c r="I100" s="92"/>
      <c r="J100" s="93"/>
      <c r="K100" s="212"/>
      <c r="L100" s="384"/>
      <c r="M100" s="340"/>
      <c r="N100" s="340"/>
      <c r="O100" s="340"/>
      <c r="P100" s="340"/>
      <c r="Q100" s="387"/>
      <c r="R100" s="387"/>
      <c r="S100" s="387"/>
      <c r="T100" s="387"/>
      <c r="U100" s="387"/>
      <c r="V100" s="387"/>
      <c r="W100" s="387"/>
      <c r="X100" s="340"/>
      <c r="Y100" s="340"/>
      <c r="Z100" s="340"/>
      <c r="AA100" s="340"/>
      <c r="AB100" s="91"/>
      <c r="AC100" s="91"/>
      <c r="AD100" s="91"/>
      <c r="AE100" s="95"/>
      <c r="AF100" s="158"/>
      <c r="AG100" s="158"/>
      <c r="AK100" s="183"/>
      <c r="AR100" s="434"/>
    </row>
    <row r="101" spans="2:44" s="98" customFormat="1" ht="98.25" customHeight="1" thickTop="1" thickBot="1" x14ac:dyDescent="0.95">
      <c r="B101" s="94"/>
      <c r="C101" s="94"/>
      <c r="D101" s="92"/>
      <c r="E101" s="92"/>
      <c r="F101" s="92"/>
      <c r="G101" s="92"/>
      <c r="H101" s="92"/>
      <c r="I101" s="92"/>
      <c r="J101" s="93"/>
      <c r="K101" s="212"/>
      <c r="L101" s="385" t="s">
        <v>18</v>
      </c>
      <c r="M101" s="379">
        <f t="shared" ref="M101:W101" si="89">+SUMIF($L$6:$L$90,$L$101,M6:M90)</f>
        <v>580</v>
      </c>
      <c r="N101" s="379">
        <f t="shared" si="89"/>
        <v>580</v>
      </c>
      <c r="O101" s="379">
        <f t="shared" si="89"/>
        <v>580</v>
      </c>
      <c r="P101" s="379">
        <f t="shared" si="89"/>
        <v>577</v>
      </c>
      <c r="Q101" s="379">
        <f t="shared" si="89"/>
        <v>559</v>
      </c>
      <c r="R101" s="379">
        <f t="shared" si="89"/>
        <v>560</v>
      </c>
      <c r="S101" s="379">
        <f t="shared" si="89"/>
        <v>559</v>
      </c>
      <c r="T101" s="379">
        <f t="shared" si="89"/>
        <v>559</v>
      </c>
      <c r="U101" s="379">
        <f t="shared" si="89"/>
        <v>0</v>
      </c>
      <c r="V101" s="379">
        <f t="shared" si="89"/>
        <v>0</v>
      </c>
      <c r="W101" s="379">
        <f t="shared" si="89"/>
        <v>0</v>
      </c>
      <c r="X101" s="340"/>
      <c r="Y101" s="340"/>
      <c r="Z101" s="340"/>
      <c r="AA101" s="340"/>
      <c r="AB101" s="91"/>
      <c r="AC101" s="91"/>
      <c r="AD101" s="91"/>
      <c r="AE101" s="95"/>
      <c r="AF101" s="158"/>
      <c r="AG101" s="158"/>
      <c r="AK101" s="183"/>
      <c r="AR101" s="434"/>
    </row>
    <row r="102" spans="2:44" s="98" customFormat="1" ht="62.25" customHeight="1" thickTop="1" x14ac:dyDescent="0.9">
      <c r="B102" s="94"/>
      <c r="C102" s="94"/>
      <c r="D102" s="92"/>
      <c r="E102" s="92"/>
      <c r="F102" s="92"/>
      <c r="G102" s="92"/>
      <c r="H102" s="92"/>
      <c r="I102" s="92"/>
      <c r="J102" s="93"/>
      <c r="K102" s="212"/>
      <c r="L102" s="384"/>
      <c r="M102" s="388"/>
      <c r="N102" s="388"/>
      <c r="O102" s="388"/>
      <c r="P102" s="388"/>
      <c r="Q102" s="388"/>
      <c r="R102" s="388"/>
      <c r="S102" s="388"/>
      <c r="T102" s="388"/>
      <c r="U102" s="388"/>
      <c r="V102" s="388"/>
      <c r="W102" s="388"/>
      <c r="X102" s="340"/>
      <c r="Y102" s="340"/>
      <c r="Z102" s="340"/>
      <c r="AA102" s="340"/>
      <c r="AB102" s="91"/>
      <c r="AC102" s="91"/>
      <c r="AD102" s="91"/>
      <c r="AE102" s="95"/>
      <c r="AF102" s="158"/>
      <c r="AG102" s="158"/>
      <c r="AK102" s="183"/>
      <c r="AR102" s="434"/>
    </row>
    <row r="103" spans="2:44" s="98" customFormat="1" ht="62.25" customHeight="1" thickBot="1" x14ac:dyDescent="0.95">
      <c r="B103" s="94"/>
      <c r="C103" s="94"/>
      <c r="D103" s="92"/>
      <c r="E103" s="92"/>
      <c r="F103" s="92"/>
      <c r="G103" s="92"/>
      <c r="H103" s="92"/>
      <c r="I103" s="92"/>
      <c r="J103" s="93"/>
      <c r="K103" s="212"/>
      <c r="L103" s="384"/>
      <c r="M103" s="340"/>
      <c r="N103" s="340"/>
      <c r="O103" s="340"/>
      <c r="P103" s="340"/>
      <c r="Q103" s="387"/>
      <c r="R103" s="387"/>
      <c r="S103" s="387"/>
      <c r="T103" s="387"/>
      <c r="U103" s="387"/>
      <c r="V103" s="387"/>
      <c r="W103" s="387"/>
      <c r="X103" s="340"/>
      <c r="Y103" s="340"/>
      <c r="Z103" s="340"/>
      <c r="AA103" s="340"/>
      <c r="AB103" s="91"/>
      <c r="AC103" s="91"/>
      <c r="AD103" s="91"/>
      <c r="AE103" s="95"/>
      <c r="AF103" s="158"/>
      <c r="AG103" s="158"/>
      <c r="AK103" s="183"/>
      <c r="AR103" s="434"/>
    </row>
    <row r="104" spans="2:44" s="98" customFormat="1" ht="94.5" customHeight="1" thickTop="1" thickBot="1" x14ac:dyDescent="0.95">
      <c r="B104" s="94"/>
      <c r="C104" s="94"/>
      <c r="D104" s="92"/>
      <c r="E104" s="92"/>
      <c r="F104" s="92"/>
      <c r="G104" s="92"/>
      <c r="H104" s="92"/>
      <c r="I104" s="92"/>
      <c r="J104" s="93"/>
      <c r="K104" s="92"/>
      <c r="L104" s="385" t="s">
        <v>13</v>
      </c>
      <c r="M104" s="379">
        <f>+M101+M98+M95</f>
        <v>600</v>
      </c>
      <c r="N104" s="379">
        <f t="shared" ref="N104:W104" si="90">+N101+N98+N95</f>
        <v>600</v>
      </c>
      <c r="O104" s="379">
        <f t="shared" si="90"/>
        <v>600</v>
      </c>
      <c r="P104" s="379">
        <f t="shared" si="90"/>
        <v>597</v>
      </c>
      <c r="Q104" s="379">
        <f t="shared" si="90"/>
        <v>579</v>
      </c>
      <c r="R104" s="379">
        <f t="shared" si="90"/>
        <v>580</v>
      </c>
      <c r="S104" s="379">
        <f t="shared" si="90"/>
        <v>579</v>
      </c>
      <c r="T104" s="379">
        <f t="shared" si="90"/>
        <v>579</v>
      </c>
      <c r="U104" s="379">
        <f t="shared" si="90"/>
        <v>0</v>
      </c>
      <c r="V104" s="379">
        <f t="shared" si="90"/>
        <v>0</v>
      </c>
      <c r="W104" s="379">
        <f t="shared" si="90"/>
        <v>0</v>
      </c>
      <c r="X104" s="340"/>
      <c r="Y104" s="340"/>
      <c r="Z104" s="340"/>
      <c r="AA104" s="340"/>
      <c r="AB104" s="91"/>
      <c r="AC104" s="91"/>
      <c r="AD104" s="91"/>
      <c r="AE104" s="95"/>
      <c r="AF104" s="155"/>
      <c r="AG104" s="155"/>
      <c r="AK104" s="183"/>
      <c r="AR104" s="434"/>
    </row>
    <row r="105" spans="2:44" s="98" customFormat="1" ht="62.25" thickTop="1" x14ac:dyDescent="0.9">
      <c r="B105" s="94"/>
      <c r="C105" s="94"/>
      <c r="D105" s="92"/>
      <c r="E105" s="92"/>
      <c r="F105" s="92"/>
      <c r="G105" s="92"/>
      <c r="H105" s="92"/>
      <c r="I105" s="92"/>
      <c r="J105" s="93"/>
      <c r="K105" s="92"/>
      <c r="L105" s="389"/>
      <c r="M105" s="340"/>
      <c r="N105" s="340"/>
      <c r="O105" s="340"/>
      <c r="P105" s="340"/>
      <c r="Q105" s="340"/>
      <c r="R105" s="340"/>
      <c r="S105" s="340"/>
      <c r="T105" s="340"/>
      <c r="U105" s="340"/>
      <c r="V105" s="340"/>
      <c r="W105" s="340"/>
      <c r="X105" s="340"/>
      <c r="Y105" s="340"/>
      <c r="Z105" s="340"/>
      <c r="AA105" s="340"/>
      <c r="AB105" s="91"/>
      <c r="AC105" s="91"/>
      <c r="AD105" s="91"/>
      <c r="AE105" s="95"/>
      <c r="AF105" s="158"/>
      <c r="AG105" s="158"/>
      <c r="AK105" s="183"/>
      <c r="AR105" s="434"/>
    </row>
    <row r="106" spans="2:44" x14ac:dyDescent="0.9">
      <c r="J106" s="91"/>
      <c r="K106" s="91"/>
      <c r="T106" s="515"/>
      <c r="U106" s="515"/>
      <c r="V106" s="515"/>
      <c r="AF106" s="158"/>
      <c r="AG106" s="158"/>
    </row>
    <row r="107" spans="2:44" ht="105" customHeight="1" x14ac:dyDescent="0.9">
      <c r="B107" s="426"/>
      <c r="AF107" s="158"/>
      <c r="AG107" s="158"/>
    </row>
    <row r="108" spans="2:44" s="98" customFormat="1" x14ac:dyDescent="0.9">
      <c r="B108" s="94"/>
      <c r="C108" s="94"/>
      <c r="D108" s="92"/>
      <c r="E108" s="92"/>
      <c r="F108" s="92"/>
      <c r="G108" s="92"/>
      <c r="H108" s="92"/>
      <c r="I108" s="92"/>
      <c r="J108" s="93"/>
      <c r="K108" s="92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5"/>
      <c r="AF108" s="158"/>
      <c r="AG108" s="158"/>
      <c r="AK108" s="183"/>
      <c r="AR108" s="434"/>
    </row>
    <row r="109" spans="2:44" s="98" customFormat="1" x14ac:dyDescent="0.9">
      <c r="B109" s="94"/>
      <c r="C109" s="94"/>
      <c r="D109" s="92"/>
      <c r="E109" s="92"/>
      <c r="F109" s="92"/>
      <c r="G109" s="92"/>
      <c r="H109" s="92"/>
      <c r="I109" s="91"/>
      <c r="J109" s="93"/>
      <c r="K109" s="92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5"/>
      <c r="AF109" s="158"/>
      <c r="AG109" s="158"/>
      <c r="AK109" s="183"/>
      <c r="AR109" s="434"/>
    </row>
    <row r="110" spans="2:44" s="98" customFormat="1" x14ac:dyDescent="0.9">
      <c r="B110" s="94"/>
      <c r="C110" s="94"/>
      <c r="D110" s="92"/>
      <c r="E110" s="92"/>
      <c r="F110" s="92"/>
      <c r="G110" s="92"/>
      <c r="H110" s="92"/>
      <c r="I110" s="92"/>
      <c r="J110" s="93"/>
      <c r="K110" s="92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5"/>
      <c r="AF110" s="158"/>
      <c r="AG110" s="158"/>
      <c r="AK110" s="183"/>
      <c r="AR110" s="434"/>
    </row>
    <row r="111" spans="2:44" s="98" customFormat="1" ht="66" customHeight="1" x14ac:dyDescent="0.9">
      <c r="B111" s="94"/>
      <c r="C111" s="94"/>
      <c r="D111" s="92"/>
      <c r="E111" s="92"/>
      <c r="F111" s="92"/>
      <c r="G111" s="92"/>
      <c r="H111" s="92"/>
      <c r="I111" s="92"/>
      <c r="J111" s="93"/>
      <c r="K111" s="92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5"/>
      <c r="AF111" s="158"/>
      <c r="AG111" s="158"/>
      <c r="AK111" s="183"/>
      <c r="AR111" s="434"/>
    </row>
    <row r="113" spans="2:44" s="92" customFormat="1" x14ac:dyDescent="0.7">
      <c r="B113" s="94"/>
      <c r="C113" s="94"/>
      <c r="D113" s="92">
        <v>2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/>
      <c r="AF113" s="155"/>
      <c r="AG113" s="155"/>
      <c r="AH113" s="98"/>
      <c r="AI113" s="98"/>
      <c r="AJ113" s="98"/>
      <c r="AK113" s="183"/>
      <c r="AL113" s="91"/>
      <c r="AM113" s="91"/>
      <c r="AR113" s="243"/>
    </row>
    <row r="114" spans="2:44" s="92" customFormat="1" x14ac:dyDescent="0.7">
      <c r="B114" s="94"/>
      <c r="C114" s="94"/>
      <c r="H114" s="92">
        <v>1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/>
      <c r="AF114" s="155"/>
      <c r="AG114" s="155"/>
      <c r="AH114" s="98"/>
      <c r="AI114" s="98"/>
      <c r="AJ114" s="98"/>
      <c r="AK114" s="183"/>
      <c r="AL114" s="91"/>
      <c r="AM114" s="91"/>
      <c r="AR114" s="243"/>
    </row>
    <row r="115" spans="2:44" s="92" customFormat="1" x14ac:dyDescent="0.7">
      <c r="B115" s="94"/>
      <c r="C115" s="94"/>
      <c r="H115" s="92">
        <v>2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/>
      <c r="AF115" s="155"/>
      <c r="AG115" s="155"/>
      <c r="AH115" s="98"/>
      <c r="AI115" s="98"/>
      <c r="AJ115" s="98"/>
      <c r="AK115" s="183"/>
      <c r="AL115" s="91"/>
      <c r="AM115" s="91"/>
      <c r="AR115" s="243"/>
    </row>
    <row r="116" spans="2:44" s="92" customFormat="1" x14ac:dyDescent="0.7">
      <c r="B116" s="94"/>
      <c r="C116" s="94"/>
      <c r="H116" s="92">
        <v>3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/>
      <c r="AF116" s="155"/>
      <c r="AG116" s="155"/>
      <c r="AH116" s="98"/>
      <c r="AI116" s="98"/>
      <c r="AJ116" s="98"/>
      <c r="AK116" s="183"/>
      <c r="AL116" s="91"/>
      <c r="AM116" s="91"/>
      <c r="AR116" s="243"/>
    </row>
    <row r="117" spans="2:44" s="92" customFormat="1" x14ac:dyDescent="0.7">
      <c r="B117" s="94"/>
      <c r="C117" s="94"/>
      <c r="H117" s="92">
        <v>4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5"/>
      <c r="AG117" s="155"/>
      <c r="AH117" s="98"/>
      <c r="AI117" s="98"/>
      <c r="AJ117" s="98"/>
      <c r="AK117" s="183"/>
      <c r="AL117" s="91"/>
      <c r="AM117" s="91"/>
      <c r="AR117" s="243"/>
    </row>
    <row r="118" spans="2:44" s="92" customFormat="1" x14ac:dyDescent="0.7">
      <c r="B118" s="94"/>
      <c r="C118" s="94"/>
      <c r="H118" s="92">
        <v>5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5"/>
      <c r="AG118" s="155"/>
      <c r="AH118" s="98"/>
      <c r="AI118" s="98"/>
      <c r="AJ118" s="98"/>
      <c r="AK118" s="183"/>
      <c r="AL118" s="91"/>
      <c r="AM118" s="91"/>
      <c r="AR118" s="243"/>
    </row>
    <row r="119" spans="2:44" s="92" customFormat="1" x14ac:dyDescent="0.7">
      <c r="B119" s="94"/>
      <c r="C119" s="94"/>
      <c r="H119" s="92">
        <v>6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5"/>
      <c r="AG119" s="155"/>
      <c r="AH119" s="98"/>
      <c r="AI119" s="98"/>
      <c r="AJ119" s="98"/>
      <c r="AK119" s="183"/>
      <c r="AL119" s="91"/>
      <c r="AM119" s="91"/>
      <c r="AR119" s="243"/>
    </row>
    <row r="120" spans="2:44" s="92" customFormat="1" x14ac:dyDescent="0.7">
      <c r="B120" s="94"/>
      <c r="C120" s="94"/>
      <c r="H120" s="92">
        <v>7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5"/>
      <c r="AG120" s="155"/>
      <c r="AH120" s="98"/>
      <c r="AI120" s="98"/>
      <c r="AJ120" s="98"/>
      <c r="AK120" s="183"/>
      <c r="AL120" s="91"/>
      <c r="AM120" s="91"/>
      <c r="AR120" s="243"/>
    </row>
    <row r="121" spans="2:44" s="92" customFormat="1" x14ac:dyDescent="0.7">
      <c r="B121" s="94"/>
      <c r="C121" s="94"/>
      <c r="H121" s="92">
        <v>8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22" spans="2:44" s="92" customFormat="1" x14ac:dyDescent="0.7">
      <c r="B122" s="94"/>
      <c r="C122" s="94"/>
      <c r="H122" s="92">
        <v>11</v>
      </c>
      <c r="J122" s="93"/>
      <c r="L122" s="99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  <c r="AC122" s="91"/>
      <c r="AD122" s="91"/>
      <c r="AE122" s="95"/>
      <c r="AF122" s="155"/>
      <c r="AG122" s="155"/>
      <c r="AH122" s="98"/>
      <c r="AI122" s="98"/>
      <c r="AJ122" s="98"/>
      <c r="AK122" s="183"/>
      <c r="AL122" s="91"/>
      <c r="AM122" s="91"/>
      <c r="AR122" s="243"/>
    </row>
    <row r="123" spans="2:44" s="92" customFormat="1" x14ac:dyDescent="0.7">
      <c r="B123" s="94"/>
      <c r="C123" s="94"/>
      <c r="H123" s="92">
        <v>12</v>
      </c>
      <c r="J123" s="93"/>
      <c r="L123" s="99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  <c r="AC123" s="91"/>
      <c r="AD123" s="91"/>
      <c r="AE123" s="95"/>
      <c r="AF123" s="155"/>
      <c r="AG123" s="155"/>
      <c r="AH123" s="98"/>
      <c r="AI123" s="98"/>
      <c r="AJ123" s="98"/>
      <c r="AK123" s="183"/>
      <c r="AL123" s="91"/>
      <c r="AM123" s="91"/>
      <c r="AR123" s="243"/>
    </row>
    <row r="124" spans="2:44" s="92" customFormat="1" x14ac:dyDescent="0.7">
      <c r="B124" s="94"/>
      <c r="C124" s="94"/>
      <c r="H124" s="92">
        <v>13</v>
      </c>
      <c r="J124" s="93"/>
      <c r="L124" s="99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  <c r="AC124" s="91"/>
      <c r="AD124" s="91"/>
      <c r="AE124" s="95"/>
      <c r="AF124" s="155"/>
      <c r="AG124" s="155"/>
      <c r="AH124" s="98"/>
      <c r="AI124" s="98"/>
      <c r="AJ124" s="98"/>
      <c r="AK124" s="183"/>
      <c r="AL124" s="91"/>
      <c r="AM124" s="91"/>
      <c r="AR124" s="243"/>
    </row>
    <row r="125" spans="2:44" s="92" customFormat="1" x14ac:dyDescent="0.7">
      <c r="B125" s="94"/>
      <c r="C125" s="94"/>
      <c r="H125" s="92">
        <v>14</v>
      </c>
      <c r="J125" s="93"/>
      <c r="L125" s="99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  <c r="AC125" s="91"/>
      <c r="AD125" s="91"/>
      <c r="AE125" s="95"/>
      <c r="AF125" s="155"/>
      <c r="AG125" s="155"/>
      <c r="AH125" s="98"/>
      <c r="AI125" s="98"/>
      <c r="AJ125" s="98"/>
      <c r="AK125" s="183"/>
      <c r="AL125" s="91"/>
      <c r="AM125" s="91"/>
      <c r="AR125" s="243"/>
    </row>
    <row r="126" spans="2:44" s="92" customFormat="1" x14ac:dyDescent="0.7">
      <c r="B126" s="94"/>
      <c r="C126" s="94"/>
      <c r="H126" s="92">
        <v>15</v>
      </c>
      <c r="J126" s="93"/>
      <c r="L126" s="99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  <c r="AC126" s="91"/>
      <c r="AD126" s="91"/>
      <c r="AE126" s="95"/>
      <c r="AF126" s="155"/>
      <c r="AG126" s="155"/>
      <c r="AH126" s="98"/>
      <c r="AI126" s="98"/>
      <c r="AJ126" s="98"/>
      <c r="AK126" s="183"/>
      <c r="AL126" s="91"/>
      <c r="AM126" s="91"/>
      <c r="AR126" s="243"/>
    </row>
    <row r="127" spans="2:44" s="92" customFormat="1" x14ac:dyDescent="0.7">
      <c r="B127" s="94"/>
      <c r="C127" s="94"/>
      <c r="H127" s="92">
        <v>17</v>
      </c>
      <c r="J127" s="93"/>
      <c r="L127" s="99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  <c r="AC127" s="91"/>
      <c r="AD127" s="91"/>
      <c r="AE127" s="95"/>
      <c r="AF127" s="155"/>
      <c r="AG127" s="155"/>
      <c r="AH127" s="98"/>
      <c r="AI127" s="98"/>
      <c r="AJ127" s="98"/>
      <c r="AK127" s="183"/>
      <c r="AL127" s="91"/>
      <c r="AM127" s="91"/>
      <c r="AR127" s="243"/>
    </row>
    <row r="128" spans="2:44" s="92" customFormat="1" x14ac:dyDescent="0.7">
      <c r="B128" s="94"/>
      <c r="C128" s="94"/>
      <c r="H128" s="92">
        <v>18</v>
      </c>
      <c r="J128" s="93"/>
      <c r="L128" s="99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  <c r="AC128" s="91"/>
      <c r="AD128" s="91"/>
      <c r="AE128" s="95"/>
      <c r="AF128" s="155"/>
      <c r="AG128" s="155"/>
      <c r="AH128" s="98"/>
      <c r="AI128" s="98"/>
      <c r="AJ128" s="98"/>
      <c r="AK128" s="183"/>
      <c r="AL128" s="91"/>
      <c r="AM128" s="91"/>
      <c r="AR128" s="243"/>
    </row>
    <row r="129" spans="2:44" s="92" customFormat="1" x14ac:dyDescent="0.7">
      <c r="B129" s="94"/>
      <c r="C129" s="94"/>
      <c r="H129" s="92">
        <v>19</v>
      </c>
      <c r="J129" s="93"/>
      <c r="L129" s="99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  <c r="AC129" s="91"/>
      <c r="AD129" s="91"/>
      <c r="AE129" s="95"/>
      <c r="AF129" s="155"/>
      <c r="AG129" s="155"/>
      <c r="AH129" s="98"/>
      <c r="AI129" s="98"/>
      <c r="AJ129" s="98"/>
      <c r="AK129" s="183"/>
      <c r="AL129" s="91"/>
      <c r="AM129" s="91"/>
      <c r="AR129" s="243"/>
    </row>
    <row r="185" spans="2:44" s="92" customFormat="1" x14ac:dyDescent="0.7">
      <c r="B185" s="94"/>
      <c r="C185" s="94"/>
      <c r="G185" s="92">
        <v>1</v>
      </c>
      <c r="J185" s="93"/>
      <c r="L185" s="99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  <c r="AC185" s="91"/>
      <c r="AD185" s="91"/>
      <c r="AE185" s="95"/>
      <c r="AF185" s="155"/>
      <c r="AG185" s="155"/>
      <c r="AH185" s="98"/>
      <c r="AI185" s="98"/>
      <c r="AJ185" s="98"/>
      <c r="AK185" s="183"/>
      <c r="AL185" s="91"/>
      <c r="AM185" s="91"/>
      <c r="AR185" s="243"/>
    </row>
  </sheetData>
  <sheetProtection autoFilter="0"/>
  <autoFilter ref="A5:CR89">
    <filterColumn colId="9" showButton="0"/>
  </autoFilter>
  <mergeCells count="62">
    <mergeCell ref="AW23:BF23"/>
    <mergeCell ref="J5:K5"/>
    <mergeCell ref="G6:G9"/>
    <mergeCell ref="Z6:Z8"/>
    <mergeCell ref="AW7:BF7"/>
    <mergeCell ref="G10:G13"/>
    <mergeCell ref="Z10:Z12"/>
    <mergeCell ref="AW11:BF11"/>
    <mergeCell ref="G14:G17"/>
    <mergeCell ref="Z14:Z16"/>
    <mergeCell ref="AW15:BF15"/>
    <mergeCell ref="G18:G21"/>
    <mergeCell ref="Z18:Z20"/>
    <mergeCell ref="G22:G25"/>
    <mergeCell ref="Z22:Z24"/>
    <mergeCell ref="AD1:AE1"/>
    <mergeCell ref="AD2:AE3"/>
    <mergeCell ref="H3:I3"/>
    <mergeCell ref="K3:L3"/>
    <mergeCell ref="B4:G4"/>
    <mergeCell ref="K4:L4"/>
    <mergeCell ref="AD4:AE4"/>
    <mergeCell ref="G26:G29"/>
    <mergeCell ref="Z26:Z28"/>
    <mergeCell ref="G30:G33"/>
    <mergeCell ref="Z30:Z32"/>
    <mergeCell ref="G34:G37"/>
    <mergeCell ref="Z34:Z36"/>
    <mergeCell ref="G38:G41"/>
    <mergeCell ref="Z38:Z40"/>
    <mergeCell ref="AW39:BF39"/>
    <mergeCell ref="G42:G45"/>
    <mergeCell ref="Z42:Z44"/>
    <mergeCell ref="G46:G49"/>
    <mergeCell ref="Z46:Z48"/>
    <mergeCell ref="AW47:BF47"/>
    <mergeCell ref="G70:G73"/>
    <mergeCell ref="Z70:Z72"/>
    <mergeCell ref="AW71:BG71"/>
    <mergeCell ref="G50:G53"/>
    <mergeCell ref="Z50:Z52"/>
    <mergeCell ref="G54:G57"/>
    <mergeCell ref="Z54:Z56"/>
    <mergeCell ref="G58:G61"/>
    <mergeCell ref="Z58:Z60"/>
    <mergeCell ref="G62:G65"/>
    <mergeCell ref="Z62:Z64"/>
    <mergeCell ref="G66:G69"/>
    <mergeCell ref="Z66:Z68"/>
    <mergeCell ref="AW67:BF67"/>
    <mergeCell ref="AW75:BG75"/>
    <mergeCell ref="G78:G81"/>
    <mergeCell ref="Z78:Z80"/>
    <mergeCell ref="G86:G89"/>
    <mergeCell ref="Z86:Z88"/>
    <mergeCell ref="Z91:AA91"/>
    <mergeCell ref="Z93:AA93"/>
    <mergeCell ref="T106:V106"/>
    <mergeCell ref="G74:G77"/>
    <mergeCell ref="Z74:Z76"/>
    <mergeCell ref="G82:G85"/>
    <mergeCell ref="Z82:Z84"/>
  </mergeCells>
  <conditionalFormatting sqref="AD2:AE3">
    <cfRule type="cellIs" dxfId="6077" priority="2276" operator="lessThan">
      <formula>0.85</formula>
    </cfRule>
  </conditionalFormatting>
  <conditionalFormatting sqref="AM1:AM5 AM90:AM1048576">
    <cfRule type="cellIs" dxfId="6076" priority="2275" operator="notEqual">
      <formula>0</formula>
    </cfRule>
  </conditionalFormatting>
  <conditionalFormatting sqref="AQ90:AQ92 AQ6 AQ10 AQ14 AQ18 AQ22 AQ26 AQ30 AQ34 AQ38 AQ42 AQ46 AQ50 AQ54 AQ62 AQ66 AQ70 AQ78 AQ86">
    <cfRule type="cellIs" dxfId="6075" priority="2274" operator="lessThan">
      <formula>0</formula>
    </cfRule>
  </conditionalFormatting>
  <conditionalFormatting sqref="X90:Y90">
    <cfRule type="cellIs" dxfId="6074" priority="2273" operator="lessThan">
      <formula>0</formula>
    </cfRule>
  </conditionalFormatting>
  <conditionalFormatting sqref="AM14:AM17">
    <cfRule type="cellIs" dxfId="6073" priority="2271" operator="notEqual">
      <formula>0</formula>
    </cfRule>
  </conditionalFormatting>
  <conditionalFormatting sqref="I16">
    <cfRule type="cellIs" dxfId="6072" priority="2270" operator="greaterThan">
      <formula>0</formula>
    </cfRule>
  </conditionalFormatting>
  <conditionalFormatting sqref="J16">
    <cfRule type="cellIs" dxfId="6071" priority="2269" operator="greaterThan">
      <formula>0</formula>
    </cfRule>
  </conditionalFormatting>
  <conditionalFormatting sqref="AM50:AM53">
    <cfRule type="cellIs" dxfId="6070" priority="2267" operator="notEqual">
      <formula>0</formula>
    </cfRule>
  </conditionalFormatting>
  <conditionalFormatting sqref="I52">
    <cfRule type="cellIs" dxfId="6069" priority="2266" operator="greaterThan">
      <formula>0</formula>
    </cfRule>
  </conditionalFormatting>
  <conditionalFormatting sqref="J52">
    <cfRule type="cellIs" dxfId="6068" priority="2265" operator="greaterThan">
      <formula>0</formula>
    </cfRule>
  </conditionalFormatting>
  <conditionalFormatting sqref="AM26:AM29">
    <cfRule type="cellIs" dxfId="6067" priority="2263" operator="notEqual">
      <formula>0</formula>
    </cfRule>
  </conditionalFormatting>
  <conditionalFormatting sqref="I28">
    <cfRule type="cellIs" dxfId="6066" priority="2262" operator="greaterThan">
      <formula>0</formula>
    </cfRule>
  </conditionalFormatting>
  <conditionalFormatting sqref="J28">
    <cfRule type="cellIs" dxfId="6065" priority="2261" operator="greaterThan">
      <formula>0</formula>
    </cfRule>
  </conditionalFormatting>
  <conditionalFormatting sqref="AM42:AM45">
    <cfRule type="cellIs" dxfId="6064" priority="2259" operator="notEqual">
      <formula>0</formula>
    </cfRule>
  </conditionalFormatting>
  <conditionalFormatting sqref="I44">
    <cfRule type="cellIs" dxfId="6063" priority="2258" operator="greaterThan">
      <formula>0</formula>
    </cfRule>
  </conditionalFormatting>
  <conditionalFormatting sqref="J44">
    <cfRule type="cellIs" dxfId="6062" priority="2257" operator="greaterThan">
      <formula>0</formula>
    </cfRule>
  </conditionalFormatting>
  <conditionalFormatting sqref="AM18:AM21">
    <cfRule type="cellIs" dxfId="6061" priority="2255" operator="notEqual">
      <formula>0</formula>
    </cfRule>
  </conditionalFormatting>
  <conditionalFormatting sqref="I20">
    <cfRule type="cellIs" dxfId="6060" priority="2254" operator="greaterThan">
      <formula>0</formula>
    </cfRule>
  </conditionalFormatting>
  <conditionalFormatting sqref="J20">
    <cfRule type="cellIs" dxfId="6059" priority="2253" operator="greaterThan">
      <formula>0</formula>
    </cfRule>
  </conditionalFormatting>
  <conditionalFormatting sqref="AM78:AM81">
    <cfRule type="cellIs" dxfId="6058" priority="2251" operator="notEqual">
      <formula>0</formula>
    </cfRule>
  </conditionalFormatting>
  <conditionalFormatting sqref="I80">
    <cfRule type="cellIs" dxfId="6057" priority="2250" operator="greaterThan">
      <formula>0</formula>
    </cfRule>
  </conditionalFormatting>
  <conditionalFormatting sqref="AM70:AM73">
    <cfRule type="cellIs" dxfId="6056" priority="2248" operator="notEqual">
      <formula>0</formula>
    </cfRule>
  </conditionalFormatting>
  <conditionalFormatting sqref="I72">
    <cfRule type="cellIs" dxfId="6055" priority="2247" operator="greaterThan">
      <formula>0</formula>
    </cfRule>
  </conditionalFormatting>
  <conditionalFormatting sqref="J72">
    <cfRule type="cellIs" dxfId="6054" priority="2246" operator="greaterThan">
      <formula>0</formula>
    </cfRule>
  </conditionalFormatting>
  <conditionalFormatting sqref="Y16 Y20 Y28 Y44 Y52 Y72 Y80">
    <cfRule type="cellIs" dxfId="6053" priority="2245" operator="lessThan">
      <formula>0</formula>
    </cfRule>
  </conditionalFormatting>
  <conditionalFormatting sqref="Y14:Y16 Y18:Y20 Y26:Y28 Y42:Y44 Y50:Y52 Y70:Y72 Y78:Y80">
    <cfRule type="cellIs" dxfId="6052" priority="2244" operator="lessThan">
      <formula>0</formula>
    </cfRule>
  </conditionalFormatting>
  <conditionalFormatting sqref="Y17 Y21 Y29 Y45 Y53 Y73 Y81">
    <cfRule type="cellIs" dxfId="6051" priority="2243" operator="lessThan">
      <formula>0</formula>
    </cfRule>
  </conditionalFormatting>
  <conditionalFormatting sqref="AM34:AM37">
    <cfRule type="cellIs" dxfId="6050" priority="2241" operator="notEqual">
      <formula>0</formula>
    </cfRule>
  </conditionalFormatting>
  <conditionalFormatting sqref="I36">
    <cfRule type="cellIs" dxfId="6049" priority="2240" operator="greaterThan">
      <formula>0</formula>
    </cfRule>
  </conditionalFormatting>
  <conditionalFormatting sqref="Y35">
    <cfRule type="iconSet" priority="2239">
      <iconSet>
        <cfvo type="percent" val="0"/>
        <cfvo type="percent" val="&quot;$I$6&quot;"/>
        <cfvo type="percent" val="#REF!"/>
      </iconSet>
    </cfRule>
  </conditionalFormatting>
  <conditionalFormatting sqref="Y36">
    <cfRule type="cellIs" dxfId="6048" priority="2238" operator="lessThan">
      <formula>0</formula>
    </cfRule>
  </conditionalFormatting>
  <conditionalFormatting sqref="Y34:Y36">
    <cfRule type="cellIs" dxfId="6047" priority="2237" operator="lessThan">
      <formula>0</formula>
    </cfRule>
  </conditionalFormatting>
  <conditionalFormatting sqref="Y37">
    <cfRule type="cellIs" dxfId="6046" priority="2236" operator="lessThan">
      <formula>0</formula>
    </cfRule>
  </conditionalFormatting>
  <conditionalFormatting sqref="AM38:AM41">
    <cfRule type="cellIs" dxfId="6045" priority="2234" operator="notEqual">
      <formula>0</formula>
    </cfRule>
  </conditionalFormatting>
  <conditionalFormatting sqref="I40">
    <cfRule type="cellIs" dxfId="6044" priority="2233" operator="greaterThan">
      <formula>0</formula>
    </cfRule>
  </conditionalFormatting>
  <conditionalFormatting sqref="Y39">
    <cfRule type="iconSet" priority="2232">
      <iconSet>
        <cfvo type="percent" val="0"/>
        <cfvo type="percent" val="&quot;$I$6&quot;"/>
        <cfvo type="percent" val="#REF!"/>
      </iconSet>
    </cfRule>
  </conditionalFormatting>
  <conditionalFormatting sqref="Y40">
    <cfRule type="cellIs" dxfId="6043" priority="2231" operator="lessThan">
      <formula>0</formula>
    </cfRule>
  </conditionalFormatting>
  <conditionalFormatting sqref="Y38:Y40">
    <cfRule type="cellIs" dxfId="6042" priority="2230" operator="lessThan">
      <formula>0</formula>
    </cfRule>
  </conditionalFormatting>
  <conditionalFormatting sqref="Y41">
    <cfRule type="cellIs" dxfId="6041" priority="2229" operator="lessThan">
      <formula>0</formula>
    </cfRule>
  </conditionalFormatting>
  <conditionalFormatting sqref="AM62:AM65">
    <cfRule type="cellIs" dxfId="6040" priority="2227" operator="notEqual">
      <formula>0</formula>
    </cfRule>
  </conditionalFormatting>
  <conditionalFormatting sqref="I64">
    <cfRule type="cellIs" dxfId="6039" priority="2226" operator="greaterThan">
      <formula>0</formula>
    </cfRule>
  </conditionalFormatting>
  <conditionalFormatting sqref="Y63">
    <cfRule type="iconSet" priority="2225">
      <iconSet>
        <cfvo type="percent" val="0"/>
        <cfvo type="percent" val="&quot;$I$6&quot;"/>
        <cfvo type="percent" val="#REF!"/>
      </iconSet>
    </cfRule>
  </conditionalFormatting>
  <conditionalFormatting sqref="Y64">
    <cfRule type="cellIs" dxfId="6038" priority="2224" operator="lessThan">
      <formula>0</formula>
    </cfRule>
  </conditionalFormatting>
  <conditionalFormatting sqref="Y62:Y64">
    <cfRule type="cellIs" dxfId="6037" priority="2223" operator="lessThan">
      <formula>0</formula>
    </cfRule>
  </conditionalFormatting>
  <conditionalFormatting sqref="Y65">
    <cfRule type="cellIs" dxfId="6036" priority="2222" operator="lessThan">
      <formula>0</formula>
    </cfRule>
  </conditionalFormatting>
  <conditionalFormatting sqref="AM10:AM13">
    <cfRule type="cellIs" dxfId="6035" priority="2220" operator="notEqual">
      <formula>0</formula>
    </cfRule>
  </conditionalFormatting>
  <conditionalFormatting sqref="Y11">
    <cfRule type="iconSet" priority="2219">
      <iconSet>
        <cfvo type="percent" val="0"/>
        <cfvo type="percent" val="&quot;$I$6&quot;"/>
        <cfvo type="percent" val="#REF!"/>
      </iconSet>
    </cfRule>
  </conditionalFormatting>
  <conditionalFormatting sqref="Y12">
    <cfRule type="cellIs" dxfId="6034" priority="2218" operator="lessThan">
      <formula>0</formula>
    </cfRule>
  </conditionalFormatting>
  <conditionalFormatting sqref="Y10:Y12">
    <cfRule type="cellIs" dxfId="6033" priority="2217" operator="lessThan">
      <formula>0</formula>
    </cfRule>
  </conditionalFormatting>
  <conditionalFormatting sqref="Y13">
    <cfRule type="cellIs" dxfId="6032" priority="2216" operator="lessThan">
      <formula>0</formula>
    </cfRule>
  </conditionalFormatting>
  <conditionalFormatting sqref="AM86:AM87">
    <cfRule type="cellIs" dxfId="6031" priority="2214" operator="notEqual">
      <formula>0</formula>
    </cfRule>
  </conditionalFormatting>
  <conditionalFormatting sqref="I88">
    <cfRule type="cellIs" dxfId="6030" priority="2213" operator="greaterThan">
      <formula>0</formula>
    </cfRule>
  </conditionalFormatting>
  <conditionalFormatting sqref="Y87">
    <cfRule type="iconSet" priority="2212">
      <iconSet>
        <cfvo type="percent" val="0"/>
        <cfvo type="percent" val="&quot;$I$6&quot;"/>
        <cfvo type="percent" val="#REF!"/>
      </iconSet>
    </cfRule>
  </conditionalFormatting>
  <conditionalFormatting sqref="Y88">
    <cfRule type="cellIs" dxfId="6029" priority="2211" operator="lessThan">
      <formula>0</formula>
    </cfRule>
  </conditionalFormatting>
  <conditionalFormatting sqref="Y86:Y88">
    <cfRule type="cellIs" dxfId="6028" priority="2210" operator="lessThan">
      <formula>0</formula>
    </cfRule>
  </conditionalFormatting>
  <conditionalFormatting sqref="Y89">
    <cfRule type="cellIs" dxfId="6027" priority="2209" operator="lessThan">
      <formula>0</formula>
    </cfRule>
  </conditionalFormatting>
  <conditionalFormatting sqref="AM46:AM49">
    <cfRule type="cellIs" dxfId="6026" priority="2207" operator="notEqual">
      <formula>0</formula>
    </cfRule>
  </conditionalFormatting>
  <conditionalFormatting sqref="I48">
    <cfRule type="cellIs" dxfId="6025" priority="2206" operator="greaterThan">
      <formula>0</formula>
    </cfRule>
  </conditionalFormatting>
  <conditionalFormatting sqref="Y47">
    <cfRule type="iconSet" priority="2205">
      <iconSet>
        <cfvo type="percent" val="0"/>
        <cfvo type="percent" val="&quot;$I$6&quot;"/>
        <cfvo type="percent" val="#REF!"/>
      </iconSet>
    </cfRule>
  </conditionalFormatting>
  <conditionalFormatting sqref="Y48">
    <cfRule type="cellIs" dxfId="6024" priority="2204" operator="lessThan">
      <formula>0</formula>
    </cfRule>
  </conditionalFormatting>
  <conditionalFormatting sqref="Y46:Y48">
    <cfRule type="cellIs" dxfId="6023" priority="2203" operator="lessThan">
      <formula>0</formula>
    </cfRule>
  </conditionalFormatting>
  <conditionalFormatting sqref="Y49">
    <cfRule type="cellIs" dxfId="6022" priority="2202" operator="lessThan">
      <formula>0</formula>
    </cfRule>
  </conditionalFormatting>
  <conditionalFormatting sqref="J36">
    <cfRule type="cellIs" dxfId="6021" priority="2174" operator="greaterThan">
      <formula>0</formula>
    </cfRule>
  </conditionalFormatting>
  <conditionalFormatting sqref="J40">
    <cfRule type="cellIs" dxfId="6020" priority="2173" operator="greaterThan">
      <formula>0</formula>
    </cfRule>
  </conditionalFormatting>
  <conditionalFormatting sqref="J80">
    <cfRule type="cellIs" dxfId="6019" priority="2172" operator="greaterThan">
      <formula>0</formula>
    </cfRule>
  </conditionalFormatting>
  <conditionalFormatting sqref="AM54:AM57">
    <cfRule type="cellIs" dxfId="6018" priority="2170" operator="notEqual">
      <formula>0</formula>
    </cfRule>
  </conditionalFormatting>
  <conditionalFormatting sqref="Y55">
    <cfRule type="iconSet" priority="2169">
      <iconSet>
        <cfvo type="percent" val="0"/>
        <cfvo type="percent" val="&quot;$I$6&quot;"/>
        <cfvo type="percent" val="#REF!"/>
      </iconSet>
    </cfRule>
  </conditionalFormatting>
  <conditionalFormatting sqref="Y56">
    <cfRule type="cellIs" dxfId="6017" priority="2168" operator="lessThan">
      <formula>0</formula>
    </cfRule>
  </conditionalFormatting>
  <conditionalFormatting sqref="Y54:Y56">
    <cfRule type="cellIs" dxfId="6016" priority="2167" operator="lessThan">
      <formula>0</formula>
    </cfRule>
  </conditionalFormatting>
  <conditionalFormatting sqref="Y57">
    <cfRule type="cellIs" dxfId="6015" priority="2166" operator="lessThan">
      <formula>0</formula>
    </cfRule>
  </conditionalFormatting>
  <conditionalFormatting sqref="I56">
    <cfRule type="cellIs" dxfId="6014" priority="2165" operator="greaterThan">
      <formula>0</formula>
    </cfRule>
  </conditionalFormatting>
  <conditionalFormatting sqref="AM30:AM33">
    <cfRule type="cellIs" dxfId="6013" priority="2163" operator="notEqual">
      <formula>0</formula>
    </cfRule>
  </conditionalFormatting>
  <conditionalFormatting sqref="I32">
    <cfRule type="cellIs" dxfId="6012" priority="2162" operator="greaterThan">
      <formula>0</formula>
    </cfRule>
  </conditionalFormatting>
  <conditionalFormatting sqref="Y31">
    <cfRule type="iconSet" priority="2161">
      <iconSet>
        <cfvo type="percent" val="0"/>
        <cfvo type="percent" val="&quot;$I$6&quot;"/>
        <cfvo type="percent" val="#REF!"/>
      </iconSet>
    </cfRule>
  </conditionalFormatting>
  <conditionalFormatting sqref="Y32">
    <cfRule type="cellIs" dxfId="6011" priority="2160" operator="lessThan">
      <formula>0</formula>
    </cfRule>
  </conditionalFormatting>
  <conditionalFormatting sqref="Y30:Y32">
    <cfRule type="cellIs" dxfId="6010" priority="2159" operator="lessThan">
      <formula>0</formula>
    </cfRule>
  </conditionalFormatting>
  <conditionalFormatting sqref="Y33">
    <cfRule type="cellIs" dxfId="6009" priority="2158" operator="lessThan">
      <formula>0</formula>
    </cfRule>
  </conditionalFormatting>
  <conditionalFormatting sqref="J48">
    <cfRule type="cellIs" dxfId="6008" priority="2157" operator="greaterThan">
      <formula>0</formula>
    </cfRule>
  </conditionalFormatting>
  <conditionalFormatting sqref="Z21">
    <cfRule type="cellIs" dxfId="6007" priority="2156" operator="lessThan">
      <formula>0</formula>
    </cfRule>
  </conditionalFormatting>
  <conditionalFormatting sqref="Y79 Y15 Y19 Y27 Y43 Y51 Y71">
    <cfRule type="iconSet" priority="2277">
      <iconSet>
        <cfvo type="percent" val="0"/>
        <cfvo type="percent" val="&quot;$I$6&quot;"/>
        <cfvo type="percent" val="#REF!"/>
      </iconSet>
    </cfRule>
  </conditionalFormatting>
  <conditionalFormatting sqref="J56">
    <cfRule type="cellIs" dxfId="6006" priority="2059" operator="greaterThan">
      <formula>0</formula>
    </cfRule>
  </conditionalFormatting>
  <conditionalFormatting sqref="AM66:AM69">
    <cfRule type="cellIs" dxfId="6005" priority="2056" operator="notEqual">
      <formula>0</formula>
    </cfRule>
  </conditionalFormatting>
  <conditionalFormatting sqref="I68">
    <cfRule type="cellIs" dxfId="6004" priority="2055" operator="greaterThan">
      <formula>0</formula>
    </cfRule>
  </conditionalFormatting>
  <conditionalFormatting sqref="J68">
    <cfRule type="cellIs" dxfId="6003" priority="2054" operator="greaterThan">
      <formula>0</formula>
    </cfRule>
  </conditionalFormatting>
  <conditionalFormatting sqref="Y68">
    <cfRule type="cellIs" dxfId="6002" priority="2053" operator="lessThan">
      <formula>0</formula>
    </cfRule>
  </conditionalFormatting>
  <conditionalFormatting sqref="Y66:Y68">
    <cfRule type="cellIs" dxfId="6001" priority="2052" operator="lessThan">
      <formula>0</formula>
    </cfRule>
  </conditionalFormatting>
  <conditionalFormatting sqref="Y69">
    <cfRule type="cellIs" dxfId="6000" priority="2051" operator="lessThan">
      <formula>0</formula>
    </cfRule>
  </conditionalFormatting>
  <conditionalFormatting sqref="Y67">
    <cfRule type="iconSet" priority="2058">
      <iconSet>
        <cfvo type="percent" val="0"/>
        <cfvo type="percent" val="&quot;$I$6&quot;"/>
        <cfvo type="percent" val="#REF!"/>
      </iconSet>
    </cfRule>
  </conditionalFormatting>
  <conditionalFormatting sqref="AQ6 AQ10 AQ14 AQ18 AQ22 AQ26 AQ30 AQ34 AQ38 AQ42 AQ46 AQ50 AQ54 AQ62 AQ66 AQ70 AQ78 AQ86">
    <cfRule type="cellIs" dxfId="5999" priority="2050" operator="lessThan">
      <formula>0</formula>
    </cfRule>
  </conditionalFormatting>
  <conditionalFormatting sqref="AQ6 AQ10 AQ14 AQ18 AQ22 AQ26 AQ30 AQ34 AQ38 AQ42 AQ46 AQ50 AQ54 AQ62 AQ66 AQ70 AQ78 AQ86">
    <cfRule type="cellIs" dxfId="5998" priority="2049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97" priority="2048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96" priority="2047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95" priority="2046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94" priority="2045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93" priority="2044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92" priority="2043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91" priority="2042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90" priority="2041" operator="lessThan">
      <formula>0</formula>
    </cfRule>
  </conditionalFormatting>
  <conditionalFormatting sqref="AQ6 AQ10 AQ14 AQ18 AQ22 AQ26 AQ30 AQ34 AQ38 AQ42 AQ46 AQ50 AQ54 AQ62 AQ66 AQ70 AQ78 AQ86">
    <cfRule type="cellIs" dxfId="5989" priority="2040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88" priority="2039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87" priority="2038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86" priority="2037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85" priority="2036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84" priority="2035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83" priority="2034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82" priority="2033" operator="lessThan">
      <formula>0</formula>
    </cfRule>
  </conditionalFormatting>
  <conditionalFormatting sqref="AQ8:AQ9 AQ12:AQ13 AQ16:AQ17 AQ20:AQ21 AQ24:AQ25 AQ28:AQ29 AQ32:AQ33 AQ36:AQ37 AQ40:AQ41 AQ44:AQ45 AQ48:AQ49 AQ52:AQ53 AQ56:AQ57 AQ64:AQ65 AQ68:AQ69 AQ72:AQ73 AQ80:AQ81 AQ88:AQ89">
    <cfRule type="cellIs" dxfId="5981" priority="2032" operator="lessThan">
      <formula>0</formula>
    </cfRule>
  </conditionalFormatting>
  <conditionalFormatting sqref="AQ11 AQ19 AQ27 AQ43 AQ47 AQ51 AQ63 AQ67 AQ71 AQ79 AQ87 AQ7 AQ15 AQ23 AQ31 AQ35 AQ39 AQ55">
    <cfRule type="cellIs" dxfId="5980" priority="2031" operator="lessThan">
      <formula>0</formula>
    </cfRule>
  </conditionalFormatting>
  <conditionalFormatting sqref="AQ11 AQ19 AQ27 AQ43 AQ47 AQ51 AQ63 AQ67 AQ71 AQ79 AQ87 AQ7 AQ15 AQ23 AQ31 AQ35 AQ39 AQ55">
    <cfRule type="cellIs" dxfId="5979" priority="2030" operator="lessThan">
      <formula>0</formula>
    </cfRule>
  </conditionalFormatting>
  <conditionalFormatting sqref="AQ11 AQ19 AQ27 AQ43 AQ47 AQ51 AQ63 AQ67 AQ71 AQ79 AQ87 AQ7 AQ15 AQ23 AQ31 AQ35 AQ39 AQ55">
    <cfRule type="cellIs" dxfId="5978" priority="2029" operator="lessThan">
      <formula>0</formula>
    </cfRule>
  </conditionalFormatting>
  <conditionalFormatting sqref="AQ11 AQ19 AQ27 AQ43 AQ47 AQ51 AQ63 AQ67 AQ71 AQ79 AQ87 AQ7 AQ15 AQ23 AQ31 AQ35 AQ39 AQ55">
    <cfRule type="cellIs" dxfId="5977" priority="2028" operator="lessThan">
      <formula>0</formula>
    </cfRule>
  </conditionalFormatting>
  <conditionalFormatting sqref="AQ11 AQ19 AQ27 AQ43 AQ47 AQ51 AQ63 AQ67 AQ71 AQ79 AQ87 AQ7 AQ15 AQ23 AQ31 AQ35 AQ39 AQ55">
    <cfRule type="cellIs" dxfId="5976" priority="2027" operator="lessThan">
      <formula>0</formula>
    </cfRule>
  </conditionalFormatting>
  <conditionalFormatting sqref="AQ11 AQ19 AQ27 AQ43 AQ47 AQ51 AQ63 AQ67 AQ71 AQ79 AQ87 AQ7 AQ15 AQ23 AQ31 AQ35 AQ39 AQ55">
    <cfRule type="cellIs" dxfId="5975" priority="2026" operator="lessThan">
      <formula>0</formula>
    </cfRule>
  </conditionalFormatting>
  <conditionalFormatting sqref="AQ11 AQ19 AQ27 AQ43 AQ47 AQ51 AQ63 AQ67 AQ71 AQ79 AQ87 AQ7 AQ15 AQ23 AQ31 AQ35 AQ39 AQ55">
    <cfRule type="cellIs" dxfId="5974" priority="2025" operator="lessThan">
      <formula>0</formula>
    </cfRule>
  </conditionalFormatting>
  <conditionalFormatting sqref="AQ11 AQ19 AQ27 AQ43 AQ47 AQ51 AQ63 AQ67 AQ71 AQ79 AQ87 AQ7 AQ15 AQ23 AQ31 AQ35 AQ39 AQ55">
    <cfRule type="cellIs" dxfId="5973" priority="2024" operator="lessThan">
      <formula>0</formula>
    </cfRule>
  </conditionalFormatting>
  <conditionalFormatting sqref="AQ11 AQ19 AQ27 AQ43 AQ47 AQ51 AQ63 AQ67 AQ71 AQ79 AQ87 AQ7 AQ15 AQ23 AQ31 AQ35 AQ39 AQ55">
    <cfRule type="cellIs" dxfId="5972" priority="2023" operator="lessThan">
      <formula>0</formula>
    </cfRule>
  </conditionalFormatting>
  <conditionalFormatting sqref="AQ11 AQ19 AQ27 AQ43 AQ47 AQ51 AQ63 AQ67 AQ71 AQ79 AQ87 AQ7 AQ15 AQ23 AQ31 AQ35 AQ39 AQ55">
    <cfRule type="cellIs" dxfId="5971" priority="2022" operator="lessThan">
      <formula>0</formula>
    </cfRule>
  </conditionalFormatting>
  <conditionalFormatting sqref="AQ11 AQ19 AQ27 AQ43 AQ47 AQ51 AQ63 AQ67 AQ71 AQ79 AQ87 AQ7 AQ15 AQ23 AQ31 AQ35 AQ39 AQ55">
    <cfRule type="cellIs" dxfId="5970" priority="2021" operator="lessThan">
      <formula>0</formula>
    </cfRule>
  </conditionalFormatting>
  <conditionalFormatting sqref="AQ11 AQ19 AQ27 AQ43 AQ47 AQ51 AQ63 AQ67 AQ71 AQ79 AQ87 AQ7 AQ15 AQ23 AQ31 AQ35 AQ39 AQ55">
    <cfRule type="cellIs" dxfId="5969" priority="2020" operator="lessThan">
      <formula>0</formula>
    </cfRule>
  </conditionalFormatting>
  <conditionalFormatting sqref="AQ11 AQ19 AQ27 AQ43 AQ47 AQ51 AQ63 AQ67 AQ71 AQ79 AQ87 AQ7 AQ15 AQ23 AQ31 AQ35 AQ39 AQ55">
    <cfRule type="cellIs" dxfId="5968" priority="2019" operator="lessThan">
      <formula>0</formula>
    </cfRule>
  </conditionalFormatting>
  <conditionalFormatting sqref="AQ11 AQ19 AQ27 AQ43 AQ47 AQ51 AQ63 AQ67 AQ71 AQ79 AQ87 AQ7 AQ15 AQ23 AQ31 AQ35 AQ39 AQ55">
    <cfRule type="cellIs" dxfId="5967" priority="2018" operator="lessThan">
      <formula>0</formula>
    </cfRule>
  </conditionalFormatting>
  <conditionalFormatting sqref="AQ11 AQ19 AQ27 AQ43 AQ47 AQ51 AQ63 AQ67 AQ71 AQ79 AQ87 AQ7 AQ15 AQ23 AQ31 AQ35 AQ39 AQ55">
    <cfRule type="cellIs" dxfId="5966" priority="2017" operator="lessThan">
      <formula>0</formula>
    </cfRule>
  </conditionalFormatting>
  <conditionalFormatting sqref="AQ11 AQ19 AQ27 AQ43 AQ47 AQ51 AQ63 AQ67 AQ71 AQ79 AQ87 AQ7 AQ15 AQ23 AQ31 AQ35 AQ39 AQ55">
    <cfRule type="cellIs" dxfId="5965" priority="2016" operator="lessThan">
      <formula>0</formula>
    </cfRule>
  </conditionalFormatting>
  <conditionalFormatting sqref="AQ11 AQ19 AQ27 AQ43 AQ47 AQ51 AQ63 AQ67 AQ71 AQ79 AQ87 AQ7 AQ15 AQ23 AQ31 AQ35 AQ39 AQ55">
    <cfRule type="cellIs" dxfId="5964" priority="2015" operator="lessThan">
      <formula>0</formula>
    </cfRule>
  </conditionalFormatting>
  <conditionalFormatting sqref="AQ11 AQ19 AQ27 AQ43 AQ47 AQ51 AQ63 AQ67 AQ71 AQ79 AQ87 AQ7 AQ15 AQ23 AQ31 AQ35 AQ39 AQ55">
    <cfRule type="cellIs" dxfId="5963" priority="2014" operator="lessThan">
      <formula>0</formula>
    </cfRule>
  </conditionalFormatting>
  <conditionalFormatting sqref="AQ11 AQ19 AQ27 AQ43 AQ47 AQ51 AQ63 AQ67 AQ71 AQ79 AQ87 AQ7 AQ15 AQ23 AQ31 AQ35 AQ39 AQ55">
    <cfRule type="cellIs" dxfId="5962" priority="2013" operator="lessThan">
      <formula>0</formula>
    </cfRule>
  </conditionalFormatting>
  <conditionalFormatting sqref="AQ11 AQ19 AQ27 AQ43 AQ47 AQ51 AQ63 AQ67 AQ71 AQ79 AQ87 AQ7 AQ15 AQ23 AQ31 AQ35 AQ39 AQ55">
    <cfRule type="cellIs" dxfId="5961" priority="2012" operator="lessThan">
      <formula>0</formula>
    </cfRule>
  </conditionalFormatting>
  <conditionalFormatting sqref="AQ11 AQ19 AQ27 AQ43 AQ47 AQ51 AQ63 AQ67 AQ71 AQ79 AQ87 AQ7 AQ15 AQ23 AQ31 AQ35 AQ39 AQ55">
    <cfRule type="cellIs" dxfId="5960" priority="2011" operator="lessThan">
      <formula>0</formula>
    </cfRule>
  </conditionalFormatting>
  <conditionalFormatting sqref="AQ11 AQ19 AQ27 AQ43 AQ47 AQ51 AQ63 AQ67 AQ71 AQ79 AQ87 AQ7 AQ15 AQ23 AQ31 AQ35 AQ39 AQ55">
    <cfRule type="cellIs" dxfId="5959" priority="2010" operator="lessThan">
      <formula>0</formula>
    </cfRule>
  </conditionalFormatting>
  <conditionalFormatting sqref="AQ11 AQ19 AQ27 AQ43 AQ47 AQ51 AQ63 AQ67 AQ71 AQ79 AQ87 AQ7 AQ15 AQ23 AQ31 AQ35 AQ39 AQ55">
    <cfRule type="cellIs" dxfId="5958" priority="2009" operator="lessThan">
      <formula>0</formula>
    </cfRule>
  </conditionalFormatting>
  <conditionalFormatting sqref="AQ11 AQ19 AQ27 AQ43 AQ47 AQ51 AQ63 AQ67 AQ71 AQ79 AQ87 AQ7 AQ15 AQ23 AQ31 AQ35 AQ39 AQ55">
    <cfRule type="cellIs" dxfId="5957" priority="2008" operator="lessThan">
      <formula>0</formula>
    </cfRule>
  </conditionalFormatting>
  <conditionalFormatting sqref="AQ11 AQ19 AQ27 AQ43 AQ47 AQ51 AQ63 AQ67 AQ71 AQ79 AQ87 AQ7 AQ15 AQ23 AQ31 AQ35 AQ39 AQ55">
    <cfRule type="cellIs" dxfId="5956" priority="2007" operator="lessThan">
      <formula>0</formula>
    </cfRule>
  </conditionalFormatting>
  <conditionalFormatting sqref="AQ11 AQ19 AQ27 AQ43 AQ47 AQ51 AQ63 AQ67 AQ71 AQ79 AQ87 AQ7 AQ15 AQ23 AQ31 AQ35 AQ39 AQ55">
    <cfRule type="cellIs" dxfId="5955" priority="2006" operator="lessThan">
      <formula>0</formula>
    </cfRule>
  </conditionalFormatting>
  <conditionalFormatting sqref="AQ11 AQ19 AQ27 AQ43 AQ47 AQ51 AQ63 AQ67 AQ71 AQ79 AQ87 AQ7 AQ15 AQ23 AQ31 AQ35 AQ39 AQ55">
    <cfRule type="cellIs" dxfId="5954" priority="2005" operator="lessThan">
      <formula>0</formula>
    </cfRule>
  </conditionalFormatting>
  <conditionalFormatting sqref="AQ11 AQ19 AQ27 AQ43 AQ47 AQ51 AQ63 AQ67 AQ71 AQ79 AQ87 AQ7 AQ15 AQ23 AQ31 AQ35 AQ39 AQ55">
    <cfRule type="cellIs" dxfId="5953" priority="2004" operator="lessThan">
      <formula>0</formula>
    </cfRule>
  </conditionalFormatting>
  <conditionalFormatting sqref="AQ11 AQ19 AQ27 AQ43 AQ47 AQ51 AQ63 AQ67 AQ71 AQ79 AQ87 AQ7 AQ15 AQ23 AQ31 AQ35 AQ39 AQ55">
    <cfRule type="cellIs" dxfId="5952" priority="2003" operator="lessThan">
      <formula>0</formula>
    </cfRule>
  </conditionalFormatting>
  <conditionalFormatting sqref="AQ11 AQ19 AQ27 AQ43 AQ47 AQ51 AQ63 AQ67 AQ71 AQ79 AQ87 AQ7 AQ15 AQ23 AQ31 AQ35 AQ39 AQ55">
    <cfRule type="cellIs" dxfId="5951" priority="2002" operator="lessThan">
      <formula>0</formula>
    </cfRule>
  </conditionalFormatting>
  <conditionalFormatting sqref="AQ11 AQ19 AQ27 AQ43 AQ47 AQ51 AQ63 AQ67 AQ71 AQ79 AQ87 AQ7 AQ15 AQ23 AQ31 AQ35 AQ39 AQ55">
    <cfRule type="cellIs" dxfId="5950" priority="2001" operator="lessThan">
      <formula>0</formula>
    </cfRule>
  </conditionalFormatting>
  <conditionalFormatting sqref="AQ11 AQ19 AQ27 AQ43 AQ47 AQ51 AQ63 AQ67 AQ71 AQ79 AQ87 AQ7 AQ15 AQ23 AQ31 AQ35 AQ39 AQ55">
    <cfRule type="cellIs" dxfId="5949" priority="2000" operator="lessThan">
      <formula>0</formula>
    </cfRule>
  </conditionalFormatting>
  <conditionalFormatting sqref="AQ11 AQ19 AQ27 AQ43 AQ47 AQ51 AQ63 AQ67 AQ71 AQ79 AQ87 AQ7 AQ15 AQ23 AQ31 AQ35 AQ39 AQ55">
    <cfRule type="cellIs" dxfId="5948" priority="1999" operator="lessThan">
      <formula>0</formula>
    </cfRule>
  </conditionalFormatting>
  <conditionalFormatting sqref="AQ11 AQ19 AQ27 AQ43 AQ47 AQ51 AQ63 AQ67 AQ71 AQ79 AQ87 AQ7 AQ15 AQ23 AQ31 AQ35 AQ39 AQ55">
    <cfRule type="cellIs" dxfId="5947" priority="1998" operator="lessThan">
      <formula>0</formula>
    </cfRule>
  </conditionalFormatting>
  <conditionalFormatting sqref="AQ11 AQ19 AQ27 AQ43 AQ47 AQ51 AQ63 AQ67 AQ71 AQ79 AQ87 AQ7 AQ15 AQ23 AQ31 AQ35 AQ39 AQ55">
    <cfRule type="cellIs" dxfId="5946" priority="1997" operator="lessThan">
      <formula>0</formula>
    </cfRule>
  </conditionalFormatting>
  <conditionalFormatting sqref="AQ11 AQ19 AQ27 AQ43 AQ47 AQ51 AQ63 AQ67 AQ71 AQ79 AQ87 AQ7 AQ15 AQ23 AQ31 AQ35 AQ39 AQ55">
    <cfRule type="cellIs" dxfId="5945" priority="1996" operator="lessThan">
      <formula>0</formula>
    </cfRule>
  </conditionalFormatting>
  <conditionalFormatting sqref="AQ11 AQ19 AQ27 AQ43 AQ47 AQ51 AQ63 AQ67 AQ71 AQ79 AQ87 AQ7 AQ15 AQ23 AQ31 AQ35 AQ39 AQ55">
    <cfRule type="cellIs" dxfId="5944" priority="1995" operator="lessThan">
      <formula>0</formula>
    </cfRule>
  </conditionalFormatting>
  <conditionalFormatting sqref="AQ11 AQ19 AQ27 AQ43 AQ47 AQ51 AQ63 AQ67 AQ71 AQ79 AQ87 AQ7 AQ15 AQ23 AQ31 AQ35 AQ39 AQ55">
    <cfRule type="cellIs" dxfId="5943" priority="1994" operator="lessThan">
      <formula>0</formula>
    </cfRule>
  </conditionalFormatting>
  <conditionalFormatting sqref="AQ11 AQ19 AQ27 AQ43 AQ47 AQ51 AQ63 AQ67 AQ71 AQ79 AQ87 AQ7 AQ15 AQ23 AQ31 AQ35 AQ39 AQ55">
    <cfRule type="cellIs" dxfId="5942" priority="1993" operator="lessThan">
      <formula>0</formula>
    </cfRule>
  </conditionalFormatting>
  <conditionalFormatting sqref="AQ11 AQ19 AQ27 AQ43 AQ47 AQ51 AQ63 AQ67 AQ71 AQ79 AQ87 AQ7 AQ15 AQ23 AQ31 AQ35 AQ39 AQ55">
    <cfRule type="cellIs" dxfId="5941" priority="1992" operator="lessThan">
      <formula>0</formula>
    </cfRule>
  </conditionalFormatting>
  <conditionalFormatting sqref="AQ11 AQ19 AQ27 AQ43 AQ47 AQ51 AQ63 AQ67 AQ71 AQ79 AQ87 AQ7 AQ15 AQ23 AQ31 AQ35 AQ39 AQ55">
    <cfRule type="cellIs" dxfId="5940" priority="1991" operator="lessThan">
      <formula>0</formula>
    </cfRule>
  </conditionalFormatting>
  <conditionalFormatting sqref="AQ11 AQ19 AQ27 AQ43 AQ47 AQ51 AQ63 AQ67 AQ71 AQ79 AQ87 AQ7 AQ15 AQ23 AQ31 AQ35 AQ39 AQ55">
    <cfRule type="cellIs" dxfId="5939" priority="1990" operator="lessThan">
      <formula>0</formula>
    </cfRule>
  </conditionalFormatting>
  <conditionalFormatting sqref="AQ11 AQ19 AQ27 AQ43 AQ47 AQ51 AQ63 AQ67 AQ71 AQ79 AQ87 AQ7 AQ15 AQ23 AQ31 AQ35 AQ39 AQ55">
    <cfRule type="cellIs" dxfId="5938" priority="1989" operator="lessThan">
      <formula>0</formula>
    </cfRule>
  </conditionalFormatting>
  <conditionalFormatting sqref="AQ11 AQ19 AQ27 AQ43 AQ47 AQ51 AQ63 AQ67 AQ71 AQ79 AQ87 AQ7 AQ15 AQ23 AQ31 AQ35 AQ39 AQ55">
    <cfRule type="cellIs" dxfId="5937" priority="1988" operator="lessThan">
      <formula>0</formula>
    </cfRule>
  </conditionalFormatting>
  <conditionalFormatting sqref="AQ11 AQ19 AQ27 AQ43 AQ47 AQ51 AQ63 AQ67 AQ71 AQ79 AQ87 AQ7 AQ15 AQ23 AQ31 AQ35 AQ39 AQ55">
    <cfRule type="cellIs" dxfId="5936" priority="1987" operator="lessThan">
      <formula>0</formula>
    </cfRule>
  </conditionalFormatting>
  <conditionalFormatting sqref="AQ11 AQ19 AQ27 AQ43 AQ47 AQ51 AQ63 AQ67 AQ71 AQ79 AQ87 AQ7 AQ15 AQ23 AQ31 AQ35 AQ39 AQ55">
    <cfRule type="cellIs" dxfId="5935" priority="1986" operator="lessThan">
      <formula>0</formula>
    </cfRule>
  </conditionalFormatting>
  <conditionalFormatting sqref="AQ11 AQ19 AQ27 AQ43 AQ47 AQ51 AQ63 AQ67 AQ71 AQ79 AQ87 AQ7 AQ15 AQ23 AQ31 AQ35 AQ39 AQ55">
    <cfRule type="cellIs" dxfId="5934" priority="1985" operator="lessThan">
      <formula>0</formula>
    </cfRule>
  </conditionalFormatting>
  <conditionalFormatting sqref="AQ11 AQ19 AQ27 AQ43 AQ47 AQ51 AQ63 AQ67 AQ71 AQ79 AQ87 AQ7 AQ15 AQ23 AQ31 AQ35 AQ39 AQ55">
    <cfRule type="cellIs" dxfId="5933" priority="1984" operator="lessThan">
      <formula>0</formula>
    </cfRule>
  </conditionalFormatting>
  <conditionalFormatting sqref="AQ11 AQ19 AQ27 AQ43 AQ47 AQ51 AQ63 AQ67 AQ71 AQ79 AQ87 AQ7 AQ15 AQ23 AQ31 AQ35 AQ39 AQ55">
    <cfRule type="cellIs" dxfId="5932" priority="1983" operator="lessThan">
      <formula>0</formula>
    </cfRule>
  </conditionalFormatting>
  <conditionalFormatting sqref="AQ11 AQ19 AQ27 AQ43 AQ47 AQ51 AQ63 AQ67 AQ71 AQ79 AQ87 AQ7 AQ15 AQ23 AQ31 AQ35 AQ39 AQ55">
    <cfRule type="cellIs" dxfId="5931" priority="1982" operator="lessThan">
      <formula>0</formula>
    </cfRule>
  </conditionalFormatting>
  <conditionalFormatting sqref="AQ11 AQ19 AQ27 AQ43 AQ47 AQ51 AQ63 AQ67 AQ71 AQ79 AQ87 AQ7 AQ15 AQ23 AQ31 AQ35 AQ39 AQ55">
    <cfRule type="cellIs" dxfId="5930" priority="1981" operator="lessThan">
      <formula>0</formula>
    </cfRule>
  </conditionalFormatting>
  <conditionalFormatting sqref="AQ11 AQ19 AQ27 AQ43 AQ47 AQ51 AQ63 AQ67 AQ71 AQ79 AQ87 AQ7 AQ15 AQ23 AQ31 AQ35 AQ39 AQ55">
    <cfRule type="cellIs" dxfId="5929" priority="1980" operator="lessThan">
      <formula>0</formula>
    </cfRule>
  </conditionalFormatting>
  <conditionalFormatting sqref="AQ11 AQ19 AQ27 AQ43 AQ47 AQ51 AQ63 AQ67 AQ71 AQ79 AQ87 AQ7 AQ15 AQ23 AQ31 AQ35 AQ39 AQ55">
    <cfRule type="cellIs" dxfId="5928" priority="1979" operator="lessThan">
      <formula>0</formula>
    </cfRule>
  </conditionalFormatting>
  <conditionalFormatting sqref="AQ11 AQ19 AQ27 AQ43 AQ47 AQ51 AQ63 AQ67 AQ71 AQ79 AQ87 AQ7 AQ15 AQ23 AQ31 AQ35 AQ39 AQ55">
    <cfRule type="cellIs" dxfId="5927" priority="1978" operator="lessThan">
      <formula>0</formula>
    </cfRule>
  </conditionalFormatting>
  <conditionalFormatting sqref="AQ11 AQ19 AQ27 AQ43 AQ47 AQ51 AQ63 AQ67 AQ71 AQ79 AQ87 AQ7 AQ15 AQ23 AQ31 AQ35 AQ39 AQ55">
    <cfRule type="cellIs" dxfId="5926" priority="1977" operator="lessThan">
      <formula>0</formula>
    </cfRule>
  </conditionalFormatting>
  <conditionalFormatting sqref="AQ11 AQ19 AQ27 AQ43 AQ47 AQ51 AQ63 AQ67 AQ71 AQ79 AQ87 AQ7 AQ15 AQ23 AQ31 AQ35 AQ39 AQ55">
    <cfRule type="cellIs" dxfId="5925" priority="1976" operator="lessThan">
      <formula>0</formula>
    </cfRule>
  </conditionalFormatting>
  <conditionalFormatting sqref="AQ11 AQ19 AQ27 AQ43 AQ47 AQ51 AQ63 AQ67 AQ71 AQ79 AQ87 AQ7 AQ15 AQ23 AQ31 AQ35 AQ39 AQ55">
    <cfRule type="cellIs" dxfId="5924" priority="1975" operator="lessThan">
      <formula>0</formula>
    </cfRule>
  </conditionalFormatting>
  <conditionalFormatting sqref="AQ11 AQ19 AQ27 AQ43 AQ47 AQ51 AQ63 AQ67 AQ71 AQ79 AQ87 AQ7 AQ15 AQ23 AQ31 AQ35 AQ39 AQ55">
    <cfRule type="cellIs" dxfId="5923" priority="1974" operator="lessThan">
      <formula>0</formula>
    </cfRule>
  </conditionalFormatting>
  <conditionalFormatting sqref="AQ11 AQ19 AQ27 AQ43 AQ47 AQ51 AQ63 AQ67 AQ71 AQ79 AQ87 AQ7 AQ15 AQ23 AQ31 AQ35 AQ39 AQ55">
    <cfRule type="cellIs" dxfId="5922" priority="1973" operator="lessThan">
      <formula>0</formula>
    </cfRule>
  </conditionalFormatting>
  <conditionalFormatting sqref="AQ11 AQ19 AQ27 AQ43 AQ47 AQ51 AQ63 AQ67 AQ71 AQ79 AQ87 AQ7 AQ15 AQ23 AQ31 AQ35 AQ39 AQ55">
    <cfRule type="cellIs" dxfId="5921" priority="1972" operator="lessThan">
      <formula>0</formula>
    </cfRule>
  </conditionalFormatting>
  <conditionalFormatting sqref="AQ11 AQ19 AQ27 AQ43 AQ47 AQ51 AQ63 AQ67 AQ71 AQ79 AQ87 AQ7 AQ15 AQ23 AQ31 AQ35 AQ39 AQ55">
    <cfRule type="cellIs" dxfId="5920" priority="1971" operator="lessThan">
      <formula>0</formula>
    </cfRule>
  </conditionalFormatting>
  <conditionalFormatting sqref="AQ11 AQ19 AQ27 AQ43 AQ47 AQ51 AQ63 AQ67 AQ71 AQ79 AQ87 AQ7 AQ15 AQ23 AQ31 AQ35 AQ39 AQ55">
    <cfRule type="cellIs" dxfId="5919" priority="1970" operator="lessThan">
      <formula>0</formula>
    </cfRule>
  </conditionalFormatting>
  <conditionalFormatting sqref="AQ11 AQ19 AQ27 AQ43 AQ47 AQ51 AQ63 AQ67 AQ71 AQ79 AQ87 AQ7 AQ15 AQ23 AQ31 AQ35 AQ39 AQ55">
    <cfRule type="cellIs" dxfId="5918" priority="1969" operator="lessThan">
      <formula>0</formula>
    </cfRule>
  </conditionalFormatting>
  <conditionalFormatting sqref="AQ11 AQ19 AQ27 AQ43 AQ47 AQ51 AQ63 AQ67 AQ71 AQ79 AQ87 AQ7 AQ15 AQ23 AQ31 AQ35 AQ39 AQ55">
    <cfRule type="cellIs" dxfId="5917" priority="1968" operator="lessThan">
      <formula>0</formula>
    </cfRule>
  </conditionalFormatting>
  <conditionalFormatting sqref="AQ11 AQ19 AQ27 AQ43 AQ47 AQ51 AQ63 AQ67 AQ71 AQ79 AQ87 AQ7 AQ15 AQ23 AQ31 AQ35 AQ39 AQ55">
    <cfRule type="cellIs" dxfId="5916" priority="1967" operator="lessThan">
      <formula>0</formula>
    </cfRule>
  </conditionalFormatting>
  <conditionalFormatting sqref="AQ11 AQ19 AQ27 AQ43 AQ47 AQ51 AQ63 AQ67 AQ71 AQ79 AQ87 AQ7 AQ15 AQ23 AQ31 AQ35 AQ39 AQ55">
    <cfRule type="cellIs" dxfId="5915" priority="1966" operator="lessThan">
      <formula>0</formula>
    </cfRule>
  </conditionalFormatting>
  <conditionalFormatting sqref="AQ11 AQ19 AQ27 AQ43 AQ47 AQ51 AQ63 AQ67 AQ71 AQ79 AQ87 AQ7 AQ15 AQ23 AQ31 AQ35 AQ39 AQ55">
    <cfRule type="cellIs" dxfId="5914" priority="1965" operator="lessThan">
      <formula>0</formula>
    </cfRule>
  </conditionalFormatting>
  <conditionalFormatting sqref="AQ11 AQ19 AQ27 AQ43 AQ47 AQ51 AQ63 AQ67 AQ71 AQ79 AQ87 AQ7 AQ15 AQ23 AQ31 AQ35 AQ39 AQ55">
    <cfRule type="cellIs" dxfId="5913" priority="1964" operator="lessThan">
      <formula>0</formula>
    </cfRule>
  </conditionalFormatting>
  <conditionalFormatting sqref="AQ11 AQ19 AQ27 AQ43 AQ47 AQ51 AQ63 AQ67 AQ71 AQ79 AQ87 AQ7 AQ15 AQ23 AQ31 AQ35 AQ39 AQ55">
    <cfRule type="cellIs" dxfId="5912" priority="1963" operator="lessThan">
      <formula>0</formula>
    </cfRule>
  </conditionalFormatting>
  <conditionalFormatting sqref="AQ11 AQ19 AQ27 AQ43 AQ47 AQ51 AQ63 AQ67 AQ71 AQ79 AQ87 AQ7 AQ15 AQ23 AQ31 AQ35 AQ39 AQ55">
    <cfRule type="cellIs" dxfId="5911" priority="1962" operator="lessThan">
      <formula>0</formula>
    </cfRule>
  </conditionalFormatting>
  <conditionalFormatting sqref="AQ11 AQ19 AQ27 AQ43 AQ47 AQ51 AQ63 AQ67 AQ71 AQ79 AQ87 AQ7 AQ15 AQ23 AQ31 AQ35 AQ39 AQ55">
    <cfRule type="cellIs" dxfId="5910" priority="1961" operator="lessThan">
      <formula>0</formula>
    </cfRule>
  </conditionalFormatting>
  <conditionalFormatting sqref="AQ11 AQ19 AQ27 AQ43 AQ47 AQ51 AQ63 AQ67 AQ71 AQ79 AQ87 AQ7 AQ15 AQ23 AQ31 AQ35 AQ39 AQ55">
    <cfRule type="cellIs" dxfId="5909" priority="1960" operator="lessThan">
      <formula>0</formula>
    </cfRule>
  </conditionalFormatting>
  <conditionalFormatting sqref="AQ11 AQ19 AQ27 AQ43 AQ47 AQ51 AQ63 AQ67 AQ71 AQ79 AQ87 AQ7 AQ15 AQ23 AQ31 AQ35 AQ39 AQ55">
    <cfRule type="cellIs" dxfId="5908" priority="1959" operator="lessThan">
      <formula>0</formula>
    </cfRule>
  </conditionalFormatting>
  <conditionalFormatting sqref="AQ11 AQ19 AQ27 AQ43 AQ47 AQ51 AQ63 AQ67 AQ71 AQ79 AQ87 AQ7 AQ15 AQ23 AQ31 AQ35 AQ39 AQ55">
    <cfRule type="cellIs" dxfId="5907" priority="1958" operator="lessThan">
      <formula>0</formula>
    </cfRule>
  </conditionalFormatting>
  <conditionalFormatting sqref="AQ11 AQ19 AQ27 AQ43 AQ47 AQ51 AQ63 AQ67 AQ71 AQ79 AQ87 AQ7 AQ15 AQ23 AQ31 AQ35 AQ39 AQ55">
    <cfRule type="cellIs" dxfId="5906" priority="1957" operator="lessThan">
      <formula>0</formula>
    </cfRule>
  </conditionalFormatting>
  <conditionalFormatting sqref="AQ11 AQ19 AQ27 AQ43 AQ47 AQ51 AQ63 AQ67 AQ71 AQ79 AQ87 AQ7 AQ15 AQ23 AQ31 AQ35 AQ39 AQ55">
    <cfRule type="cellIs" dxfId="5905" priority="1956" operator="lessThan">
      <formula>0</formula>
    </cfRule>
  </conditionalFormatting>
  <conditionalFormatting sqref="AQ11 AQ19 AQ27 AQ43 AQ47 AQ51 AQ63 AQ67 AQ71 AQ79 AQ87 AQ7 AQ15 AQ23 AQ31 AQ35 AQ39 AQ55">
    <cfRule type="cellIs" dxfId="5904" priority="1955" operator="lessThan">
      <formula>0</formula>
    </cfRule>
  </conditionalFormatting>
  <conditionalFormatting sqref="AQ11 AQ19 AQ27 AQ43 AQ47 AQ51 AQ63 AQ67 AQ71 AQ79 AQ87 AQ7 AQ15 AQ23 AQ31 AQ35 AQ39 AQ55">
    <cfRule type="cellIs" dxfId="5903" priority="1954" operator="lessThan">
      <formula>0</formula>
    </cfRule>
  </conditionalFormatting>
  <conditionalFormatting sqref="AQ11 AQ19 AQ27 AQ43 AQ47 AQ51 AQ63 AQ67 AQ71 AQ79 AQ87 AQ7 AQ15 AQ23 AQ31 AQ35 AQ39 AQ55">
    <cfRule type="cellIs" dxfId="5902" priority="1953" operator="lessThan">
      <formula>0</formula>
    </cfRule>
  </conditionalFormatting>
  <conditionalFormatting sqref="AQ11 AQ19 AQ27 AQ43 AQ47 AQ51 AQ63 AQ67 AQ71 AQ79 AQ87 AQ7 AQ15 AQ23 AQ31 AQ35 AQ39 AQ55">
    <cfRule type="cellIs" dxfId="5901" priority="1952" operator="lessThan">
      <formula>0</formula>
    </cfRule>
  </conditionalFormatting>
  <conditionalFormatting sqref="AQ11 AQ19 AQ27 AQ43 AQ47 AQ51 AQ63 AQ67 AQ71 AQ79 AQ87 AQ7 AQ15 AQ23 AQ31 AQ35 AQ39 AQ55">
    <cfRule type="cellIs" dxfId="5900" priority="1936" operator="lessThan">
      <formula>0</formula>
    </cfRule>
  </conditionalFormatting>
  <conditionalFormatting sqref="AQ11 AQ19 AQ27 AQ43 AQ47 AQ51 AQ63 AQ67 AQ71 AQ79 AQ87 AQ7 AQ15 AQ23 AQ31 AQ35 AQ39 AQ55">
    <cfRule type="cellIs" dxfId="5899" priority="1951" operator="lessThan">
      <formula>0</formula>
    </cfRule>
  </conditionalFormatting>
  <conditionalFormatting sqref="AQ11 AQ19 AQ27 AQ43 AQ47 AQ51 AQ63 AQ67 AQ71 AQ79 AQ87 AQ7 AQ15 AQ23 AQ31 AQ35 AQ39 AQ55">
    <cfRule type="cellIs" dxfId="5898" priority="1950" operator="lessThan">
      <formula>0</formula>
    </cfRule>
  </conditionalFormatting>
  <conditionalFormatting sqref="AQ11 AQ19 AQ27 AQ43 AQ47 AQ51 AQ63 AQ67 AQ71 AQ79 AQ87 AQ7 AQ15 AQ23 AQ31 AQ35 AQ39 AQ55">
    <cfRule type="cellIs" dxfId="5897" priority="1949" operator="lessThan">
      <formula>0</formula>
    </cfRule>
  </conditionalFormatting>
  <conditionalFormatting sqref="AQ11 AQ19 AQ27 AQ43 AQ47 AQ51 AQ63 AQ67 AQ71 AQ79 AQ87 AQ7 AQ15 AQ23 AQ31 AQ35 AQ39 AQ55">
    <cfRule type="cellIs" dxfId="5896" priority="1948" operator="lessThan">
      <formula>0</formula>
    </cfRule>
  </conditionalFormatting>
  <conditionalFormatting sqref="AQ11 AQ19 AQ27 AQ43 AQ47 AQ51 AQ63 AQ67 AQ71 AQ79 AQ87 AQ7 AQ15 AQ23 AQ31 AQ35 AQ39 AQ55">
    <cfRule type="cellIs" dxfId="5895" priority="1947" operator="lessThan">
      <formula>0</formula>
    </cfRule>
  </conditionalFormatting>
  <conditionalFormatting sqref="AQ11 AQ19 AQ27 AQ43 AQ47 AQ51 AQ63 AQ67 AQ71 AQ79 AQ87 AQ7 AQ15 AQ23 AQ31 AQ35 AQ39 AQ55">
    <cfRule type="cellIs" dxfId="5894" priority="1946" operator="lessThan">
      <formula>0</formula>
    </cfRule>
  </conditionalFormatting>
  <conditionalFormatting sqref="AQ11 AQ19 AQ27 AQ43 AQ47 AQ51 AQ63 AQ67 AQ71 AQ79 AQ87 AQ7 AQ15 AQ23 AQ31 AQ35 AQ39 AQ55">
    <cfRule type="cellIs" dxfId="5893" priority="1945" operator="lessThan">
      <formula>0</formula>
    </cfRule>
  </conditionalFormatting>
  <conditionalFormatting sqref="AQ11 AQ19 AQ27 AQ43 AQ47 AQ51 AQ63 AQ67 AQ71 AQ79 AQ87 AQ7 AQ15 AQ23 AQ31 AQ35 AQ39 AQ55">
    <cfRule type="cellIs" dxfId="5892" priority="1944" operator="lessThan">
      <formula>0</formula>
    </cfRule>
  </conditionalFormatting>
  <conditionalFormatting sqref="AQ11 AQ19 AQ27 AQ43 AQ47 AQ51 AQ63 AQ67 AQ71 AQ79 AQ87 AQ7 AQ15 AQ23 AQ31 AQ35 AQ39 AQ55">
    <cfRule type="cellIs" dxfId="5891" priority="1943" operator="lessThan">
      <formula>0</formula>
    </cfRule>
  </conditionalFormatting>
  <conditionalFormatting sqref="AQ11 AQ19 AQ27 AQ43 AQ47 AQ51 AQ63 AQ67 AQ71 AQ79 AQ87 AQ7 AQ15 AQ23 AQ31 AQ35 AQ39 AQ55">
    <cfRule type="cellIs" dxfId="5890" priority="1942" operator="lessThan">
      <formula>0</formula>
    </cfRule>
  </conditionalFormatting>
  <conditionalFormatting sqref="AQ11 AQ19 AQ27 AQ43 AQ47 AQ51 AQ63 AQ67 AQ71 AQ79 AQ87 AQ7 AQ15 AQ23 AQ31 AQ35 AQ39 AQ55">
    <cfRule type="cellIs" dxfId="5889" priority="1941" operator="lessThan">
      <formula>0</formula>
    </cfRule>
  </conditionalFormatting>
  <conditionalFormatting sqref="AQ11 AQ19 AQ27 AQ43 AQ47 AQ51 AQ63 AQ67 AQ71 AQ79 AQ87 AQ7 AQ15 AQ23 AQ31 AQ35 AQ39 AQ55">
    <cfRule type="cellIs" dxfId="5888" priority="1940" operator="lessThan">
      <formula>0</formula>
    </cfRule>
  </conditionalFormatting>
  <conditionalFormatting sqref="AQ11 AQ19 AQ27 AQ43 AQ47 AQ51 AQ63 AQ67 AQ71 AQ79 AQ87 AQ7 AQ15 AQ23 AQ31 AQ35 AQ39 AQ55">
    <cfRule type="cellIs" dxfId="5887" priority="1939" operator="lessThan">
      <formula>0</formula>
    </cfRule>
  </conditionalFormatting>
  <conditionalFormatting sqref="AQ11 AQ19 AQ27 AQ43 AQ47 AQ51 AQ63 AQ67 AQ71 AQ79 AQ87 AQ7 AQ15 AQ23 AQ31 AQ35 AQ39 AQ55">
    <cfRule type="cellIs" dxfId="5886" priority="1938" operator="lessThan">
      <formula>0</formula>
    </cfRule>
  </conditionalFormatting>
  <conditionalFormatting sqref="AQ11 AQ19 AQ27 AQ43 AQ47 AQ51 AQ63 AQ67 AQ71 AQ79 AQ87 AQ7 AQ15 AQ23 AQ31 AQ35 AQ39 AQ55">
    <cfRule type="cellIs" dxfId="5885" priority="1937" operator="lessThan">
      <formula>0</formula>
    </cfRule>
  </conditionalFormatting>
  <conditionalFormatting sqref="J64">
    <cfRule type="cellIs" dxfId="5884" priority="1935" operator="greaterThan">
      <formula>0</formula>
    </cfRule>
  </conditionalFormatting>
  <conditionalFormatting sqref="J88">
    <cfRule type="cellIs" dxfId="5883" priority="1934" operator="greaterThan">
      <formula>0</formula>
    </cfRule>
  </conditionalFormatting>
  <conditionalFormatting sqref="J12">
    <cfRule type="cellIs" dxfId="5882" priority="1933" operator="greaterThan">
      <formula>0</formula>
    </cfRule>
  </conditionalFormatting>
  <conditionalFormatting sqref="J32">
    <cfRule type="cellIs" dxfId="5881" priority="1932" operator="greaterThan">
      <formula>0</formula>
    </cfRule>
  </conditionalFormatting>
  <conditionalFormatting sqref="I12">
    <cfRule type="cellIs" dxfId="5880" priority="1931" operator="greaterThan">
      <formula>0</formula>
    </cfRule>
  </conditionalFormatting>
  <conditionalFormatting sqref="AM88:AM89">
    <cfRule type="cellIs" dxfId="5879" priority="1930" operator="notEqual">
      <formula>0</formula>
    </cfRule>
  </conditionalFormatting>
  <conditionalFormatting sqref="AQ6">
    <cfRule type="cellIs" dxfId="5878" priority="1929" operator="lessThan">
      <formula>0</formula>
    </cfRule>
  </conditionalFormatting>
  <conditionalFormatting sqref="AQ6">
    <cfRule type="cellIs" dxfId="5877" priority="1928" operator="lessThan">
      <formula>0</formula>
    </cfRule>
  </conditionalFormatting>
  <conditionalFormatting sqref="AQ8:AQ9">
    <cfRule type="cellIs" dxfId="5876" priority="1927" operator="lessThan">
      <formula>0</formula>
    </cfRule>
  </conditionalFormatting>
  <conditionalFormatting sqref="AQ8:AQ9">
    <cfRule type="cellIs" dxfId="5875" priority="1926" operator="lessThan">
      <formula>0</formula>
    </cfRule>
  </conditionalFormatting>
  <conditionalFormatting sqref="AQ8:AQ9">
    <cfRule type="cellIs" dxfId="5874" priority="1925" operator="lessThan">
      <formula>0</formula>
    </cfRule>
  </conditionalFormatting>
  <conditionalFormatting sqref="AQ8:AQ9">
    <cfRule type="cellIs" dxfId="5873" priority="1924" operator="lessThan">
      <formula>0</formula>
    </cfRule>
  </conditionalFormatting>
  <conditionalFormatting sqref="AQ8:AQ9">
    <cfRule type="cellIs" dxfId="5872" priority="1923" operator="lessThan">
      <formula>0</formula>
    </cfRule>
  </conditionalFormatting>
  <conditionalFormatting sqref="AQ8:AQ9">
    <cfRule type="cellIs" dxfId="5871" priority="1922" operator="lessThan">
      <formula>0</formula>
    </cfRule>
  </conditionalFormatting>
  <conditionalFormatting sqref="AQ8:AQ9">
    <cfRule type="cellIs" dxfId="5870" priority="1921" operator="lessThan">
      <formula>0</formula>
    </cfRule>
  </conditionalFormatting>
  <conditionalFormatting sqref="AQ8:AQ9">
    <cfRule type="cellIs" dxfId="5869" priority="1920" operator="lessThan">
      <formula>0</formula>
    </cfRule>
  </conditionalFormatting>
  <conditionalFormatting sqref="AQ6">
    <cfRule type="cellIs" dxfId="5868" priority="1919" operator="lessThan">
      <formula>0</formula>
    </cfRule>
  </conditionalFormatting>
  <conditionalFormatting sqref="AQ6 AQ8:AQ9">
    <cfRule type="cellIs" dxfId="5867" priority="1918" operator="lessThan">
      <formula>0</formula>
    </cfRule>
  </conditionalFormatting>
  <conditionalFormatting sqref="AM6:AM9">
    <cfRule type="cellIs" dxfId="5866" priority="1917" operator="notEqual">
      <formula>0</formula>
    </cfRule>
  </conditionalFormatting>
  <conditionalFormatting sqref="I8">
    <cfRule type="cellIs" dxfId="5865" priority="1916" operator="greaterThan">
      <formula>0</formula>
    </cfRule>
  </conditionalFormatting>
  <conditionalFormatting sqref="AQ6 AQ8:AQ9">
    <cfRule type="cellIs" dxfId="5864" priority="1915" operator="lessThan">
      <formula>0</formula>
    </cfRule>
  </conditionalFormatting>
  <conditionalFormatting sqref="AQ6 AQ8:AQ9">
    <cfRule type="cellIs" dxfId="5863" priority="1914" operator="lessThan">
      <formula>0</formula>
    </cfRule>
  </conditionalFormatting>
  <conditionalFormatting sqref="AQ6 AQ8:AQ9">
    <cfRule type="cellIs" dxfId="5862" priority="1913" operator="lessThan">
      <formula>0</formula>
    </cfRule>
  </conditionalFormatting>
  <conditionalFormatting sqref="J8">
    <cfRule type="cellIs" dxfId="5861" priority="1912" operator="greaterThan">
      <formula>0</formula>
    </cfRule>
  </conditionalFormatting>
  <conditionalFormatting sqref="AQ8:AQ9">
    <cfRule type="cellIs" dxfId="5860" priority="1911" operator="lessThan">
      <formula>0</formula>
    </cfRule>
  </conditionalFormatting>
  <conditionalFormatting sqref="AQ8:AQ9">
    <cfRule type="cellIs" dxfId="5859" priority="1910" operator="lessThan">
      <formula>0</formula>
    </cfRule>
  </conditionalFormatting>
  <conditionalFormatting sqref="AQ8:AQ9">
    <cfRule type="cellIs" dxfId="5858" priority="1909" operator="lessThan">
      <formula>0</formula>
    </cfRule>
  </conditionalFormatting>
  <conditionalFormatting sqref="AQ8:AQ9">
    <cfRule type="cellIs" dxfId="5857" priority="1908" operator="lessThan">
      <formula>0</formula>
    </cfRule>
  </conditionalFormatting>
  <conditionalFormatting sqref="Y7">
    <cfRule type="iconSet" priority="1906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5856" priority="1905" operator="lessThan">
      <formula>0</formula>
    </cfRule>
  </conditionalFormatting>
  <conditionalFormatting sqref="Y6:Y8">
    <cfRule type="cellIs" dxfId="5855" priority="1904" operator="lessThan">
      <formula>0</formula>
    </cfRule>
  </conditionalFormatting>
  <conditionalFormatting sqref="Y9">
    <cfRule type="cellIs" dxfId="5854" priority="1903" operator="lessThan">
      <formula>0</formula>
    </cfRule>
  </conditionalFormatting>
  <conditionalFormatting sqref="AQ7">
    <cfRule type="cellIs" dxfId="5853" priority="1902" operator="lessThan">
      <formula>0</formula>
    </cfRule>
  </conditionalFormatting>
  <conditionalFormatting sqref="AQ7">
    <cfRule type="cellIs" dxfId="5852" priority="1901" operator="lessThan">
      <formula>0</formula>
    </cfRule>
  </conditionalFormatting>
  <conditionalFormatting sqref="AQ7">
    <cfRule type="cellIs" dxfId="5851" priority="1900" operator="lessThan">
      <formula>0</formula>
    </cfRule>
  </conditionalFormatting>
  <conditionalFormatting sqref="AQ7">
    <cfRule type="cellIs" dxfId="5850" priority="1899" operator="lessThan">
      <formula>0</formula>
    </cfRule>
  </conditionalFormatting>
  <conditionalFormatting sqref="AQ7">
    <cfRule type="cellIs" dxfId="5849" priority="1898" operator="lessThan">
      <formula>0</formula>
    </cfRule>
  </conditionalFormatting>
  <conditionalFormatting sqref="AQ7">
    <cfRule type="cellIs" dxfId="5848" priority="1897" operator="lessThan">
      <formula>0</formula>
    </cfRule>
  </conditionalFormatting>
  <conditionalFormatting sqref="AQ7">
    <cfRule type="cellIs" dxfId="5847" priority="1896" operator="lessThan">
      <formula>0</formula>
    </cfRule>
  </conditionalFormatting>
  <conditionalFormatting sqref="AQ7">
    <cfRule type="cellIs" dxfId="5846" priority="1895" operator="lessThan">
      <formula>0</formula>
    </cfRule>
  </conditionalFormatting>
  <conditionalFormatting sqref="AQ7">
    <cfRule type="cellIs" dxfId="5845" priority="1894" operator="lessThan">
      <formula>0</formula>
    </cfRule>
  </conditionalFormatting>
  <conditionalFormatting sqref="AQ7">
    <cfRule type="cellIs" dxfId="5844" priority="1893" operator="lessThan">
      <formula>0</formula>
    </cfRule>
  </conditionalFormatting>
  <conditionalFormatting sqref="AQ7">
    <cfRule type="cellIs" dxfId="5843" priority="1892" operator="lessThan">
      <formula>0</formula>
    </cfRule>
  </conditionalFormatting>
  <conditionalFormatting sqref="AQ7">
    <cfRule type="cellIs" dxfId="5842" priority="1891" operator="lessThan">
      <formula>0</formula>
    </cfRule>
  </conditionalFormatting>
  <conditionalFormatting sqref="AQ7">
    <cfRule type="cellIs" dxfId="5841" priority="1890" operator="lessThan">
      <formula>0</formula>
    </cfRule>
  </conditionalFormatting>
  <conditionalFormatting sqref="AQ7">
    <cfRule type="cellIs" dxfId="5840" priority="1889" operator="lessThan">
      <formula>0</formula>
    </cfRule>
  </conditionalFormatting>
  <conditionalFormatting sqref="AQ7">
    <cfRule type="cellIs" dxfId="5839" priority="1888" operator="lessThan">
      <formula>0</formula>
    </cfRule>
  </conditionalFormatting>
  <conditionalFormatting sqref="AQ7">
    <cfRule type="cellIs" dxfId="5838" priority="1887" operator="lessThan">
      <formula>0</formula>
    </cfRule>
  </conditionalFormatting>
  <conditionalFormatting sqref="AQ7">
    <cfRule type="cellIs" dxfId="5837" priority="1886" operator="lessThan">
      <formula>0</formula>
    </cfRule>
  </conditionalFormatting>
  <conditionalFormatting sqref="AQ7">
    <cfRule type="cellIs" dxfId="5836" priority="1885" operator="lessThan">
      <formula>0</formula>
    </cfRule>
  </conditionalFormatting>
  <conditionalFormatting sqref="AQ7">
    <cfRule type="cellIs" dxfId="5835" priority="1884" operator="lessThan">
      <formula>0</formula>
    </cfRule>
  </conditionalFormatting>
  <conditionalFormatting sqref="AQ7">
    <cfRule type="cellIs" dxfId="5834" priority="1883" operator="lessThan">
      <formula>0</formula>
    </cfRule>
  </conditionalFormatting>
  <conditionalFormatting sqref="AQ7">
    <cfRule type="cellIs" dxfId="5833" priority="1882" operator="lessThan">
      <formula>0</formula>
    </cfRule>
  </conditionalFormatting>
  <conditionalFormatting sqref="AQ7">
    <cfRule type="cellIs" dxfId="5832" priority="1881" operator="lessThan">
      <formula>0</formula>
    </cfRule>
  </conditionalFormatting>
  <conditionalFormatting sqref="AQ7">
    <cfRule type="cellIs" dxfId="5831" priority="1880" operator="lessThan">
      <formula>0</formula>
    </cfRule>
  </conditionalFormatting>
  <conditionalFormatting sqref="AQ7">
    <cfRule type="cellIs" dxfId="5830" priority="1879" operator="lessThan">
      <formula>0</formula>
    </cfRule>
  </conditionalFormatting>
  <conditionalFormatting sqref="AQ7">
    <cfRule type="cellIs" dxfId="5829" priority="1878" operator="lessThan">
      <formula>0</formula>
    </cfRule>
  </conditionalFormatting>
  <conditionalFormatting sqref="AQ7">
    <cfRule type="cellIs" dxfId="5828" priority="1877" operator="lessThan">
      <formula>0</formula>
    </cfRule>
  </conditionalFormatting>
  <conditionalFormatting sqref="AQ7">
    <cfRule type="cellIs" dxfId="5827" priority="1876" operator="lessThan">
      <formula>0</formula>
    </cfRule>
  </conditionalFormatting>
  <conditionalFormatting sqref="AQ7">
    <cfRule type="cellIs" dxfId="5826" priority="1875" operator="lessThan">
      <formula>0</formula>
    </cfRule>
  </conditionalFormatting>
  <conditionalFormatting sqref="AQ7">
    <cfRule type="cellIs" dxfId="5825" priority="1874" operator="lessThan">
      <formula>0</formula>
    </cfRule>
  </conditionalFormatting>
  <conditionalFormatting sqref="AQ7">
    <cfRule type="cellIs" dxfId="5824" priority="1873" operator="lessThan">
      <formula>0</formula>
    </cfRule>
  </conditionalFormatting>
  <conditionalFormatting sqref="AQ7">
    <cfRule type="cellIs" dxfId="5823" priority="1872" operator="lessThan">
      <formula>0</formula>
    </cfRule>
  </conditionalFormatting>
  <conditionalFormatting sqref="AQ7">
    <cfRule type="cellIs" dxfId="5822" priority="1871" operator="lessThan">
      <formula>0</formula>
    </cfRule>
  </conditionalFormatting>
  <conditionalFormatting sqref="AQ7">
    <cfRule type="cellIs" dxfId="5821" priority="1870" operator="lessThan">
      <formula>0</formula>
    </cfRule>
  </conditionalFormatting>
  <conditionalFormatting sqref="AQ7">
    <cfRule type="cellIs" dxfId="5820" priority="1869" operator="lessThan">
      <formula>0</formula>
    </cfRule>
  </conditionalFormatting>
  <conditionalFormatting sqref="AQ7">
    <cfRule type="cellIs" dxfId="5819" priority="1868" operator="lessThan">
      <formula>0</formula>
    </cfRule>
  </conditionalFormatting>
  <conditionalFormatting sqref="AQ7">
    <cfRule type="cellIs" dxfId="5818" priority="1867" operator="lessThan">
      <formula>0</formula>
    </cfRule>
  </conditionalFormatting>
  <conditionalFormatting sqref="AQ7">
    <cfRule type="cellIs" dxfId="5817" priority="1866" operator="lessThan">
      <formula>0</formula>
    </cfRule>
  </conditionalFormatting>
  <conditionalFormatting sqref="AQ7">
    <cfRule type="cellIs" dxfId="5816" priority="1865" operator="lessThan">
      <formula>0</formula>
    </cfRule>
  </conditionalFormatting>
  <conditionalFormatting sqref="AQ7">
    <cfRule type="cellIs" dxfId="5815" priority="1864" operator="lessThan">
      <formula>0</formula>
    </cfRule>
  </conditionalFormatting>
  <conditionalFormatting sqref="AQ7">
    <cfRule type="cellIs" dxfId="5814" priority="1863" operator="lessThan">
      <formula>0</formula>
    </cfRule>
  </conditionalFormatting>
  <conditionalFormatting sqref="AQ7">
    <cfRule type="cellIs" dxfId="5813" priority="1862" operator="lessThan">
      <formula>0</formula>
    </cfRule>
  </conditionalFormatting>
  <conditionalFormatting sqref="AQ7">
    <cfRule type="cellIs" dxfId="5812" priority="1861" operator="lessThan">
      <formula>0</formula>
    </cfRule>
  </conditionalFormatting>
  <conditionalFormatting sqref="AQ7">
    <cfRule type="cellIs" dxfId="5811" priority="1860" operator="lessThan">
      <formula>0</formula>
    </cfRule>
  </conditionalFormatting>
  <conditionalFormatting sqref="AQ7">
    <cfRule type="cellIs" dxfId="5810" priority="1859" operator="lessThan">
      <formula>0</formula>
    </cfRule>
  </conditionalFormatting>
  <conditionalFormatting sqref="AQ7">
    <cfRule type="cellIs" dxfId="5809" priority="1858" operator="lessThan">
      <formula>0</formula>
    </cfRule>
  </conditionalFormatting>
  <conditionalFormatting sqref="AQ7">
    <cfRule type="cellIs" dxfId="5808" priority="1857" operator="lessThan">
      <formula>0</formula>
    </cfRule>
  </conditionalFormatting>
  <conditionalFormatting sqref="AQ7">
    <cfRule type="cellIs" dxfId="5807" priority="1856" operator="lessThan">
      <formula>0</formula>
    </cfRule>
  </conditionalFormatting>
  <conditionalFormatting sqref="AQ7">
    <cfRule type="cellIs" dxfId="5806" priority="1855" operator="lessThan">
      <formula>0</formula>
    </cfRule>
  </conditionalFormatting>
  <conditionalFormatting sqref="AQ7">
    <cfRule type="cellIs" dxfId="5805" priority="1854" operator="lessThan">
      <formula>0</formula>
    </cfRule>
  </conditionalFormatting>
  <conditionalFormatting sqref="AQ7">
    <cfRule type="cellIs" dxfId="5804" priority="1853" operator="lessThan">
      <formula>0</formula>
    </cfRule>
  </conditionalFormatting>
  <conditionalFormatting sqref="AQ7">
    <cfRule type="cellIs" dxfId="5803" priority="1852" operator="lessThan">
      <formula>0</formula>
    </cfRule>
  </conditionalFormatting>
  <conditionalFormatting sqref="AQ7">
    <cfRule type="cellIs" dxfId="5802" priority="1851" operator="lessThan">
      <formula>0</formula>
    </cfRule>
  </conditionalFormatting>
  <conditionalFormatting sqref="AQ7">
    <cfRule type="cellIs" dxfId="5801" priority="1850" operator="lessThan">
      <formula>0</formula>
    </cfRule>
  </conditionalFormatting>
  <conditionalFormatting sqref="AQ7">
    <cfRule type="cellIs" dxfId="5800" priority="1849" operator="lessThan">
      <formula>0</formula>
    </cfRule>
  </conditionalFormatting>
  <conditionalFormatting sqref="AQ7">
    <cfRule type="cellIs" dxfId="5799" priority="1848" operator="lessThan">
      <formula>0</formula>
    </cfRule>
  </conditionalFormatting>
  <conditionalFormatting sqref="AQ7">
    <cfRule type="cellIs" dxfId="5798" priority="1847" operator="lessThan">
      <formula>0</formula>
    </cfRule>
  </conditionalFormatting>
  <conditionalFormatting sqref="AQ7">
    <cfRule type="cellIs" dxfId="5797" priority="1846" operator="lessThan">
      <formula>0</formula>
    </cfRule>
  </conditionalFormatting>
  <conditionalFormatting sqref="AQ7">
    <cfRule type="cellIs" dxfId="5796" priority="1845" operator="lessThan">
      <formula>0</formula>
    </cfRule>
  </conditionalFormatting>
  <conditionalFormatting sqref="AQ7">
    <cfRule type="cellIs" dxfId="5795" priority="1844" operator="lessThan">
      <formula>0</formula>
    </cfRule>
  </conditionalFormatting>
  <conditionalFormatting sqref="AQ7">
    <cfRule type="cellIs" dxfId="5794" priority="1843" operator="lessThan">
      <formula>0</formula>
    </cfRule>
  </conditionalFormatting>
  <conditionalFormatting sqref="AQ7">
    <cfRule type="cellIs" dxfId="5793" priority="1842" operator="lessThan">
      <formula>0</formula>
    </cfRule>
  </conditionalFormatting>
  <conditionalFormatting sqref="AQ7">
    <cfRule type="cellIs" dxfId="5792" priority="1841" operator="lessThan">
      <formula>0</formula>
    </cfRule>
  </conditionalFormatting>
  <conditionalFormatting sqref="AQ7">
    <cfRule type="cellIs" dxfId="5791" priority="1840" operator="lessThan">
      <formula>0</formula>
    </cfRule>
  </conditionalFormatting>
  <conditionalFormatting sqref="AQ7">
    <cfRule type="cellIs" dxfId="5790" priority="1839" operator="lessThan">
      <formula>0</formula>
    </cfRule>
  </conditionalFormatting>
  <conditionalFormatting sqref="AQ7">
    <cfRule type="cellIs" dxfId="5789" priority="1838" operator="lessThan">
      <formula>0</formula>
    </cfRule>
  </conditionalFormatting>
  <conditionalFormatting sqref="AQ7">
    <cfRule type="cellIs" dxfId="5788" priority="1837" operator="lessThan">
      <formula>0</formula>
    </cfRule>
  </conditionalFormatting>
  <conditionalFormatting sqref="AQ7">
    <cfRule type="cellIs" dxfId="5787" priority="1836" operator="lessThan">
      <formula>0</formula>
    </cfRule>
  </conditionalFormatting>
  <conditionalFormatting sqref="AQ7">
    <cfRule type="cellIs" dxfId="5786" priority="1835" operator="lessThan">
      <formula>0</formula>
    </cfRule>
  </conditionalFormatting>
  <conditionalFormatting sqref="AQ7">
    <cfRule type="cellIs" dxfId="5785" priority="1834" operator="lessThan">
      <formula>0</formula>
    </cfRule>
  </conditionalFormatting>
  <conditionalFormatting sqref="AQ7">
    <cfRule type="cellIs" dxfId="5784" priority="1833" operator="lessThan">
      <formula>0</formula>
    </cfRule>
  </conditionalFormatting>
  <conditionalFormatting sqref="AQ7">
    <cfRule type="cellIs" dxfId="5783" priority="1832" operator="lessThan">
      <formula>0</formula>
    </cfRule>
  </conditionalFormatting>
  <conditionalFormatting sqref="AQ7">
    <cfRule type="cellIs" dxfId="5782" priority="1831" operator="lessThan">
      <formula>0</formula>
    </cfRule>
  </conditionalFormatting>
  <conditionalFormatting sqref="AQ7">
    <cfRule type="cellIs" dxfId="5781" priority="1830" operator="lessThan">
      <formula>0</formula>
    </cfRule>
  </conditionalFormatting>
  <conditionalFormatting sqref="AQ7">
    <cfRule type="cellIs" dxfId="5780" priority="1829" operator="lessThan">
      <formula>0</formula>
    </cfRule>
  </conditionalFormatting>
  <conditionalFormatting sqref="AQ7">
    <cfRule type="cellIs" dxfId="5779" priority="1828" operator="lessThan">
      <formula>0</formula>
    </cfRule>
  </conditionalFormatting>
  <conditionalFormatting sqref="AQ7">
    <cfRule type="cellIs" dxfId="5778" priority="1827" operator="lessThan">
      <formula>0</formula>
    </cfRule>
  </conditionalFormatting>
  <conditionalFormatting sqref="AQ7">
    <cfRule type="cellIs" dxfId="5777" priority="1826" operator="lessThan">
      <formula>0</formula>
    </cfRule>
  </conditionalFormatting>
  <conditionalFormatting sqref="AQ7">
    <cfRule type="cellIs" dxfId="5776" priority="1825" operator="lessThan">
      <formula>0</formula>
    </cfRule>
  </conditionalFormatting>
  <conditionalFormatting sqref="AQ7">
    <cfRule type="cellIs" dxfId="5775" priority="1824" operator="lessThan">
      <formula>0</formula>
    </cfRule>
  </conditionalFormatting>
  <conditionalFormatting sqref="AQ7">
    <cfRule type="cellIs" dxfId="5774" priority="1823" operator="lessThan">
      <formula>0</formula>
    </cfRule>
  </conditionalFormatting>
  <conditionalFormatting sqref="AQ7">
    <cfRule type="cellIs" dxfId="5773" priority="1807" operator="lessThan">
      <formula>0</formula>
    </cfRule>
  </conditionalFormatting>
  <conditionalFormatting sqref="AQ7">
    <cfRule type="cellIs" dxfId="5772" priority="1822" operator="lessThan">
      <formula>0</formula>
    </cfRule>
  </conditionalFormatting>
  <conditionalFormatting sqref="AQ7">
    <cfRule type="cellIs" dxfId="5771" priority="1821" operator="lessThan">
      <formula>0</formula>
    </cfRule>
  </conditionalFormatting>
  <conditionalFormatting sqref="AQ7">
    <cfRule type="cellIs" dxfId="5770" priority="1820" operator="lessThan">
      <formula>0</formula>
    </cfRule>
  </conditionalFormatting>
  <conditionalFormatting sqref="AQ7">
    <cfRule type="cellIs" dxfId="5769" priority="1819" operator="lessThan">
      <formula>0</formula>
    </cfRule>
  </conditionalFormatting>
  <conditionalFormatting sqref="AQ7">
    <cfRule type="cellIs" dxfId="5768" priority="1818" operator="lessThan">
      <formula>0</formula>
    </cfRule>
  </conditionalFormatting>
  <conditionalFormatting sqref="AQ7">
    <cfRule type="cellIs" dxfId="5767" priority="1817" operator="lessThan">
      <formula>0</formula>
    </cfRule>
  </conditionalFormatting>
  <conditionalFormatting sqref="AQ7">
    <cfRule type="cellIs" dxfId="5766" priority="1816" operator="lessThan">
      <formula>0</formula>
    </cfRule>
  </conditionalFormatting>
  <conditionalFormatting sqref="AQ7">
    <cfRule type="cellIs" dxfId="5765" priority="1815" operator="lessThan">
      <formula>0</formula>
    </cfRule>
  </conditionalFormatting>
  <conditionalFormatting sqref="AQ7">
    <cfRule type="cellIs" dxfId="5764" priority="1814" operator="lessThan">
      <formula>0</formula>
    </cfRule>
  </conditionalFormatting>
  <conditionalFormatting sqref="AQ7">
    <cfRule type="cellIs" dxfId="5763" priority="1813" operator="lessThan">
      <formula>0</formula>
    </cfRule>
  </conditionalFormatting>
  <conditionalFormatting sqref="AQ7">
    <cfRule type="cellIs" dxfId="5762" priority="1812" operator="lessThan">
      <formula>0</formula>
    </cfRule>
  </conditionalFormatting>
  <conditionalFormatting sqref="AQ7">
    <cfRule type="cellIs" dxfId="5761" priority="1811" operator="lessThan">
      <formula>0</formula>
    </cfRule>
  </conditionalFormatting>
  <conditionalFormatting sqref="AQ7">
    <cfRule type="cellIs" dxfId="5760" priority="1810" operator="lessThan">
      <formula>0</formula>
    </cfRule>
  </conditionalFormatting>
  <conditionalFormatting sqref="AQ7">
    <cfRule type="cellIs" dxfId="5759" priority="1809" operator="lessThan">
      <formula>0</formula>
    </cfRule>
  </conditionalFormatting>
  <conditionalFormatting sqref="AQ7">
    <cfRule type="cellIs" dxfId="5758" priority="1808" operator="lessThan">
      <formula>0</formula>
    </cfRule>
  </conditionalFormatting>
  <conditionalFormatting sqref="AQ14">
    <cfRule type="cellIs" dxfId="5757" priority="1806" operator="lessThan">
      <formula>0</formula>
    </cfRule>
  </conditionalFormatting>
  <conditionalFormatting sqref="AQ14">
    <cfRule type="cellIs" dxfId="5756" priority="1805" operator="lessThan">
      <formula>0</formula>
    </cfRule>
  </conditionalFormatting>
  <conditionalFormatting sqref="AQ16:AQ17">
    <cfRule type="cellIs" dxfId="5755" priority="1804" operator="lessThan">
      <formula>0</formula>
    </cfRule>
  </conditionalFormatting>
  <conditionalFormatting sqref="AQ16:AQ17">
    <cfRule type="cellIs" dxfId="5754" priority="1803" operator="lessThan">
      <formula>0</formula>
    </cfRule>
  </conditionalFormatting>
  <conditionalFormatting sqref="AQ16:AQ17">
    <cfRule type="cellIs" dxfId="5753" priority="1802" operator="lessThan">
      <formula>0</formula>
    </cfRule>
  </conditionalFormatting>
  <conditionalFormatting sqref="AQ16:AQ17">
    <cfRule type="cellIs" dxfId="5752" priority="1801" operator="lessThan">
      <formula>0</formula>
    </cfRule>
  </conditionalFormatting>
  <conditionalFormatting sqref="AQ16:AQ17">
    <cfRule type="cellIs" dxfId="5751" priority="1800" operator="lessThan">
      <formula>0</formula>
    </cfRule>
  </conditionalFormatting>
  <conditionalFormatting sqref="AQ16:AQ17">
    <cfRule type="cellIs" dxfId="5750" priority="1799" operator="lessThan">
      <formula>0</formula>
    </cfRule>
  </conditionalFormatting>
  <conditionalFormatting sqref="AQ16:AQ17">
    <cfRule type="cellIs" dxfId="5749" priority="1798" operator="lessThan">
      <formula>0</formula>
    </cfRule>
  </conditionalFormatting>
  <conditionalFormatting sqref="AQ16:AQ17">
    <cfRule type="cellIs" dxfId="5748" priority="1797" operator="lessThan">
      <formula>0</formula>
    </cfRule>
  </conditionalFormatting>
  <conditionalFormatting sqref="AQ14">
    <cfRule type="cellIs" dxfId="5747" priority="1796" operator="lessThan">
      <formula>0</formula>
    </cfRule>
  </conditionalFormatting>
  <conditionalFormatting sqref="AQ14 AQ16:AQ17">
    <cfRule type="cellIs" dxfId="5746" priority="1795" operator="lessThan">
      <formula>0</formula>
    </cfRule>
  </conditionalFormatting>
  <conditionalFormatting sqref="AQ14 AQ16:AQ17">
    <cfRule type="cellIs" dxfId="5745" priority="1794" operator="lessThan">
      <formula>0</formula>
    </cfRule>
  </conditionalFormatting>
  <conditionalFormatting sqref="AQ14 AQ16:AQ17">
    <cfRule type="cellIs" dxfId="5744" priority="1793" operator="lessThan">
      <formula>0</formula>
    </cfRule>
  </conditionalFormatting>
  <conditionalFormatting sqref="AQ14 AQ16:AQ17">
    <cfRule type="cellIs" dxfId="5743" priority="1792" operator="lessThan">
      <formula>0</formula>
    </cfRule>
  </conditionalFormatting>
  <conditionalFormatting sqref="AQ16:AQ17">
    <cfRule type="cellIs" dxfId="5742" priority="1791" operator="lessThan">
      <formula>0</formula>
    </cfRule>
  </conditionalFormatting>
  <conditionalFormatting sqref="AQ16:AQ17">
    <cfRule type="cellIs" dxfId="5741" priority="1790" operator="lessThan">
      <formula>0</formula>
    </cfRule>
  </conditionalFormatting>
  <conditionalFormatting sqref="AQ16:AQ17">
    <cfRule type="cellIs" dxfId="5740" priority="1789" operator="lessThan">
      <formula>0</formula>
    </cfRule>
  </conditionalFormatting>
  <conditionalFormatting sqref="AQ16:AQ17">
    <cfRule type="cellIs" dxfId="5739" priority="1788" operator="lessThan">
      <formula>0</formula>
    </cfRule>
  </conditionalFormatting>
  <conditionalFormatting sqref="AQ15">
    <cfRule type="cellIs" dxfId="5738" priority="1787" operator="lessThan">
      <formula>0</formula>
    </cfRule>
  </conditionalFormatting>
  <conditionalFormatting sqref="AQ15">
    <cfRule type="cellIs" dxfId="5737" priority="1786" operator="lessThan">
      <formula>0</formula>
    </cfRule>
  </conditionalFormatting>
  <conditionalFormatting sqref="AQ15">
    <cfRule type="cellIs" dxfId="5736" priority="1785" operator="lessThan">
      <formula>0</formula>
    </cfRule>
  </conditionalFormatting>
  <conditionalFormatting sqref="AQ15">
    <cfRule type="cellIs" dxfId="5735" priority="1784" operator="lessThan">
      <formula>0</formula>
    </cfRule>
  </conditionalFormatting>
  <conditionalFormatting sqref="AQ15">
    <cfRule type="cellIs" dxfId="5734" priority="1783" operator="lessThan">
      <formula>0</formula>
    </cfRule>
  </conditionalFormatting>
  <conditionalFormatting sqref="AQ15">
    <cfRule type="cellIs" dxfId="5733" priority="1782" operator="lessThan">
      <formula>0</formula>
    </cfRule>
  </conditionalFormatting>
  <conditionalFormatting sqref="AQ15">
    <cfRule type="cellIs" dxfId="5732" priority="1781" operator="lessThan">
      <formula>0</formula>
    </cfRule>
  </conditionalFormatting>
  <conditionalFormatting sqref="AQ15">
    <cfRule type="cellIs" dxfId="5731" priority="1780" operator="lessThan">
      <formula>0</formula>
    </cfRule>
  </conditionalFormatting>
  <conditionalFormatting sqref="AQ15">
    <cfRule type="cellIs" dxfId="5730" priority="1779" operator="lessThan">
      <formula>0</formula>
    </cfRule>
  </conditionalFormatting>
  <conditionalFormatting sqref="AQ15">
    <cfRule type="cellIs" dxfId="5729" priority="1778" operator="lessThan">
      <formula>0</formula>
    </cfRule>
  </conditionalFormatting>
  <conditionalFormatting sqref="AQ15">
    <cfRule type="cellIs" dxfId="5728" priority="1777" operator="lessThan">
      <formula>0</formula>
    </cfRule>
  </conditionalFormatting>
  <conditionalFormatting sqref="AQ15">
    <cfRule type="cellIs" dxfId="5727" priority="1776" operator="lessThan">
      <formula>0</formula>
    </cfRule>
  </conditionalFormatting>
  <conditionalFormatting sqref="AQ15">
    <cfRule type="cellIs" dxfId="5726" priority="1775" operator="lessThan">
      <formula>0</formula>
    </cfRule>
  </conditionalFormatting>
  <conditionalFormatting sqref="AQ15">
    <cfRule type="cellIs" dxfId="5725" priority="1774" operator="lessThan">
      <formula>0</formula>
    </cfRule>
  </conditionalFormatting>
  <conditionalFormatting sqref="AQ15">
    <cfRule type="cellIs" dxfId="5724" priority="1773" operator="lessThan">
      <formula>0</formula>
    </cfRule>
  </conditionalFormatting>
  <conditionalFormatting sqref="AQ15">
    <cfRule type="cellIs" dxfId="5723" priority="1772" operator="lessThan">
      <formula>0</formula>
    </cfRule>
  </conditionalFormatting>
  <conditionalFormatting sqref="AQ15">
    <cfRule type="cellIs" dxfId="5722" priority="1771" operator="lessThan">
      <formula>0</formula>
    </cfRule>
  </conditionalFormatting>
  <conditionalFormatting sqref="AQ15">
    <cfRule type="cellIs" dxfId="5721" priority="1770" operator="lessThan">
      <formula>0</formula>
    </cfRule>
  </conditionalFormatting>
  <conditionalFormatting sqref="AQ15">
    <cfRule type="cellIs" dxfId="5720" priority="1769" operator="lessThan">
      <formula>0</formula>
    </cfRule>
  </conditionalFormatting>
  <conditionalFormatting sqref="AQ15">
    <cfRule type="cellIs" dxfId="5719" priority="1768" operator="lessThan">
      <formula>0</formula>
    </cfRule>
  </conditionalFormatting>
  <conditionalFormatting sqref="AQ15">
    <cfRule type="cellIs" dxfId="5718" priority="1767" operator="lessThan">
      <formula>0</formula>
    </cfRule>
  </conditionalFormatting>
  <conditionalFormatting sqref="AQ15">
    <cfRule type="cellIs" dxfId="5717" priority="1766" operator="lessThan">
      <formula>0</formula>
    </cfRule>
  </conditionalFormatting>
  <conditionalFormatting sqref="AQ15">
    <cfRule type="cellIs" dxfId="5716" priority="1765" operator="lessThan">
      <formula>0</formula>
    </cfRule>
  </conditionalFormatting>
  <conditionalFormatting sqref="AQ15">
    <cfRule type="cellIs" dxfId="5715" priority="1764" operator="lessThan">
      <formula>0</formula>
    </cfRule>
  </conditionalFormatting>
  <conditionalFormatting sqref="AQ15">
    <cfRule type="cellIs" dxfId="5714" priority="1763" operator="lessThan">
      <formula>0</formula>
    </cfRule>
  </conditionalFormatting>
  <conditionalFormatting sqref="AQ15">
    <cfRule type="cellIs" dxfId="5713" priority="1762" operator="lessThan">
      <formula>0</formula>
    </cfRule>
  </conditionalFormatting>
  <conditionalFormatting sqref="AQ15">
    <cfRule type="cellIs" dxfId="5712" priority="1761" operator="lessThan">
      <formula>0</formula>
    </cfRule>
  </conditionalFormatting>
  <conditionalFormatting sqref="AQ15">
    <cfRule type="cellIs" dxfId="5711" priority="1760" operator="lessThan">
      <formula>0</formula>
    </cfRule>
  </conditionalFormatting>
  <conditionalFormatting sqref="AQ15">
    <cfRule type="cellIs" dxfId="5710" priority="1759" operator="lessThan">
      <formula>0</formula>
    </cfRule>
  </conditionalFormatting>
  <conditionalFormatting sqref="AQ15">
    <cfRule type="cellIs" dxfId="5709" priority="1758" operator="lessThan">
      <formula>0</formula>
    </cfRule>
  </conditionalFormatting>
  <conditionalFormatting sqref="AQ15">
    <cfRule type="cellIs" dxfId="5708" priority="1757" operator="lessThan">
      <formula>0</formula>
    </cfRule>
  </conditionalFormatting>
  <conditionalFormatting sqref="AQ15">
    <cfRule type="cellIs" dxfId="5707" priority="1756" operator="lessThan">
      <formula>0</formula>
    </cfRule>
  </conditionalFormatting>
  <conditionalFormatting sqref="AQ15">
    <cfRule type="cellIs" dxfId="5706" priority="1755" operator="lessThan">
      <formula>0</formula>
    </cfRule>
  </conditionalFormatting>
  <conditionalFormatting sqref="AQ15">
    <cfRule type="cellIs" dxfId="5705" priority="1754" operator="lessThan">
      <formula>0</formula>
    </cfRule>
  </conditionalFormatting>
  <conditionalFormatting sqref="AQ15">
    <cfRule type="cellIs" dxfId="5704" priority="1753" operator="lessThan">
      <formula>0</formula>
    </cfRule>
  </conditionalFormatting>
  <conditionalFormatting sqref="AQ15">
    <cfRule type="cellIs" dxfId="5703" priority="1752" operator="lessThan">
      <formula>0</formula>
    </cfRule>
  </conditionalFormatting>
  <conditionalFormatting sqref="AQ15">
    <cfRule type="cellIs" dxfId="5702" priority="1751" operator="lessThan">
      <formula>0</formula>
    </cfRule>
  </conditionalFormatting>
  <conditionalFormatting sqref="AQ15">
    <cfRule type="cellIs" dxfId="5701" priority="1750" operator="lessThan">
      <formula>0</formula>
    </cfRule>
  </conditionalFormatting>
  <conditionalFormatting sqref="AQ15">
    <cfRule type="cellIs" dxfId="5700" priority="1749" operator="lessThan">
      <formula>0</formula>
    </cfRule>
  </conditionalFormatting>
  <conditionalFormatting sqref="AQ15">
    <cfRule type="cellIs" dxfId="5699" priority="1748" operator="lessThan">
      <formula>0</formula>
    </cfRule>
  </conditionalFormatting>
  <conditionalFormatting sqref="AQ15">
    <cfRule type="cellIs" dxfId="5698" priority="1747" operator="lessThan">
      <formula>0</formula>
    </cfRule>
  </conditionalFormatting>
  <conditionalFormatting sqref="AQ15">
    <cfRule type="cellIs" dxfId="5697" priority="1746" operator="lessThan">
      <formula>0</formula>
    </cfRule>
  </conditionalFormatting>
  <conditionalFormatting sqref="AQ15">
    <cfRule type="cellIs" dxfId="5696" priority="1745" operator="lessThan">
      <formula>0</formula>
    </cfRule>
  </conditionalFormatting>
  <conditionalFormatting sqref="AQ15">
    <cfRule type="cellIs" dxfId="5695" priority="1744" operator="lessThan">
      <formula>0</formula>
    </cfRule>
  </conditionalFormatting>
  <conditionalFormatting sqref="AQ15">
    <cfRule type="cellIs" dxfId="5694" priority="1743" operator="lessThan">
      <formula>0</formula>
    </cfRule>
  </conditionalFormatting>
  <conditionalFormatting sqref="AQ15">
    <cfRule type="cellIs" dxfId="5693" priority="1742" operator="lessThan">
      <formula>0</formula>
    </cfRule>
  </conditionalFormatting>
  <conditionalFormatting sqref="AQ15">
    <cfRule type="cellIs" dxfId="5692" priority="1741" operator="lessThan">
      <formula>0</formula>
    </cfRule>
  </conditionalFormatting>
  <conditionalFormatting sqref="AQ15">
    <cfRule type="cellIs" dxfId="5691" priority="1740" operator="lessThan">
      <formula>0</formula>
    </cfRule>
  </conditionalFormatting>
  <conditionalFormatting sqref="AQ15">
    <cfRule type="cellIs" dxfId="5690" priority="1739" operator="lessThan">
      <formula>0</formula>
    </cfRule>
  </conditionalFormatting>
  <conditionalFormatting sqref="AQ15">
    <cfRule type="cellIs" dxfId="5689" priority="1738" operator="lessThan">
      <formula>0</formula>
    </cfRule>
  </conditionalFormatting>
  <conditionalFormatting sqref="AQ15">
    <cfRule type="cellIs" dxfId="5688" priority="1737" operator="lessThan">
      <formula>0</formula>
    </cfRule>
  </conditionalFormatting>
  <conditionalFormatting sqref="AQ15">
    <cfRule type="cellIs" dxfId="5687" priority="1736" operator="lessThan">
      <formula>0</formula>
    </cfRule>
  </conditionalFormatting>
  <conditionalFormatting sqref="AQ15">
    <cfRule type="cellIs" dxfId="5686" priority="1735" operator="lessThan">
      <formula>0</formula>
    </cfRule>
  </conditionalFormatting>
  <conditionalFormatting sqref="AQ15">
    <cfRule type="cellIs" dxfId="5685" priority="1734" operator="lessThan">
      <formula>0</formula>
    </cfRule>
  </conditionalFormatting>
  <conditionalFormatting sqref="AQ15">
    <cfRule type="cellIs" dxfId="5684" priority="1733" operator="lessThan">
      <formula>0</formula>
    </cfRule>
  </conditionalFormatting>
  <conditionalFormatting sqref="AQ15">
    <cfRule type="cellIs" dxfId="5683" priority="1732" operator="lessThan">
      <formula>0</formula>
    </cfRule>
  </conditionalFormatting>
  <conditionalFormatting sqref="AQ15">
    <cfRule type="cellIs" dxfId="5682" priority="1731" operator="lessThan">
      <formula>0</formula>
    </cfRule>
  </conditionalFormatting>
  <conditionalFormatting sqref="AQ15">
    <cfRule type="cellIs" dxfId="5681" priority="1730" operator="lessThan">
      <formula>0</formula>
    </cfRule>
  </conditionalFormatting>
  <conditionalFormatting sqref="AQ15">
    <cfRule type="cellIs" dxfId="5680" priority="1729" operator="lessThan">
      <formula>0</formula>
    </cfRule>
  </conditionalFormatting>
  <conditionalFormatting sqref="AQ15">
    <cfRule type="cellIs" dxfId="5679" priority="1728" operator="lessThan">
      <formula>0</formula>
    </cfRule>
  </conditionalFormatting>
  <conditionalFormatting sqref="AQ15">
    <cfRule type="cellIs" dxfId="5678" priority="1727" operator="lessThan">
      <formula>0</formula>
    </cfRule>
  </conditionalFormatting>
  <conditionalFormatting sqref="AQ15">
    <cfRule type="cellIs" dxfId="5677" priority="1726" operator="lessThan">
      <formula>0</formula>
    </cfRule>
  </conditionalFormatting>
  <conditionalFormatting sqref="AQ15">
    <cfRule type="cellIs" dxfId="5676" priority="1725" operator="lessThan">
      <formula>0</formula>
    </cfRule>
  </conditionalFormatting>
  <conditionalFormatting sqref="AQ15">
    <cfRule type="cellIs" dxfId="5675" priority="1724" operator="lessThan">
      <formula>0</formula>
    </cfRule>
  </conditionalFormatting>
  <conditionalFormatting sqref="AQ15">
    <cfRule type="cellIs" dxfId="5674" priority="1723" operator="lessThan">
      <formula>0</formula>
    </cfRule>
  </conditionalFormatting>
  <conditionalFormatting sqref="AQ15">
    <cfRule type="cellIs" dxfId="5673" priority="1722" operator="lessThan">
      <formula>0</formula>
    </cfRule>
  </conditionalFormatting>
  <conditionalFormatting sqref="AQ15">
    <cfRule type="cellIs" dxfId="5672" priority="1721" operator="lessThan">
      <formula>0</formula>
    </cfRule>
  </conditionalFormatting>
  <conditionalFormatting sqref="AQ15">
    <cfRule type="cellIs" dxfId="5671" priority="1720" operator="lessThan">
      <formula>0</formula>
    </cfRule>
  </conditionalFormatting>
  <conditionalFormatting sqref="AQ15">
    <cfRule type="cellIs" dxfId="5670" priority="1719" operator="lessThan">
      <formula>0</formula>
    </cfRule>
  </conditionalFormatting>
  <conditionalFormatting sqref="AQ15">
    <cfRule type="cellIs" dxfId="5669" priority="1718" operator="lessThan">
      <formula>0</formula>
    </cfRule>
  </conditionalFormatting>
  <conditionalFormatting sqref="AQ15">
    <cfRule type="cellIs" dxfId="5668" priority="1717" operator="lessThan">
      <formula>0</formula>
    </cfRule>
  </conditionalFormatting>
  <conditionalFormatting sqref="AQ15">
    <cfRule type="cellIs" dxfId="5667" priority="1716" operator="lessThan">
      <formula>0</formula>
    </cfRule>
  </conditionalFormatting>
  <conditionalFormatting sqref="AQ15">
    <cfRule type="cellIs" dxfId="5666" priority="1715" operator="lessThan">
      <formula>0</formula>
    </cfRule>
  </conditionalFormatting>
  <conditionalFormatting sqref="AQ15">
    <cfRule type="cellIs" dxfId="5665" priority="1714" operator="lessThan">
      <formula>0</formula>
    </cfRule>
  </conditionalFormatting>
  <conditionalFormatting sqref="AQ15">
    <cfRule type="cellIs" dxfId="5664" priority="1713" operator="lessThan">
      <formula>0</formula>
    </cfRule>
  </conditionalFormatting>
  <conditionalFormatting sqref="AQ15">
    <cfRule type="cellIs" dxfId="5663" priority="1712" operator="lessThan">
      <formula>0</formula>
    </cfRule>
  </conditionalFormatting>
  <conditionalFormatting sqref="AQ15">
    <cfRule type="cellIs" dxfId="5662" priority="1711" operator="lessThan">
      <formula>0</formula>
    </cfRule>
  </conditionalFormatting>
  <conditionalFormatting sqref="AQ15">
    <cfRule type="cellIs" dxfId="5661" priority="1710" operator="lessThan">
      <formula>0</formula>
    </cfRule>
  </conditionalFormatting>
  <conditionalFormatting sqref="AQ15">
    <cfRule type="cellIs" dxfId="5660" priority="1709" operator="lessThan">
      <formula>0</formula>
    </cfRule>
  </conditionalFormatting>
  <conditionalFormatting sqref="AQ15">
    <cfRule type="cellIs" dxfId="5659" priority="1708" operator="lessThan">
      <formula>0</formula>
    </cfRule>
  </conditionalFormatting>
  <conditionalFormatting sqref="AQ15">
    <cfRule type="cellIs" dxfId="5658" priority="1692" operator="lessThan">
      <formula>0</formula>
    </cfRule>
  </conditionalFormatting>
  <conditionalFormatting sqref="AQ15">
    <cfRule type="cellIs" dxfId="5657" priority="1707" operator="lessThan">
      <formula>0</formula>
    </cfRule>
  </conditionalFormatting>
  <conditionalFormatting sqref="AQ15">
    <cfRule type="cellIs" dxfId="5656" priority="1706" operator="lessThan">
      <formula>0</formula>
    </cfRule>
  </conditionalFormatting>
  <conditionalFormatting sqref="AQ15">
    <cfRule type="cellIs" dxfId="5655" priority="1705" operator="lessThan">
      <formula>0</formula>
    </cfRule>
  </conditionalFormatting>
  <conditionalFormatting sqref="AQ15">
    <cfRule type="cellIs" dxfId="5654" priority="1704" operator="lessThan">
      <formula>0</formula>
    </cfRule>
  </conditionalFormatting>
  <conditionalFormatting sqref="AQ15">
    <cfRule type="cellIs" dxfId="5653" priority="1703" operator="lessThan">
      <formula>0</formula>
    </cfRule>
  </conditionalFormatting>
  <conditionalFormatting sqref="AQ15">
    <cfRule type="cellIs" dxfId="5652" priority="1702" operator="lessThan">
      <formula>0</formula>
    </cfRule>
  </conditionalFormatting>
  <conditionalFormatting sqref="AQ15">
    <cfRule type="cellIs" dxfId="5651" priority="1701" operator="lessThan">
      <formula>0</formula>
    </cfRule>
  </conditionalFormatting>
  <conditionalFormatting sqref="AQ15">
    <cfRule type="cellIs" dxfId="5650" priority="1700" operator="lessThan">
      <formula>0</formula>
    </cfRule>
  </conditionalFormatting>
  <conditionalFormatting sqref="AQ15">
    <cfRule type="cellIs" dxfId="5649" priority="1699" operator="lessThan">
      <formula>0</formula>
    </cfRule>
  </conditionalFormatting>
  <conditionalFormatting sqref="AQ15">
    <cfRule type="cellIs" dxfId="5648" priority="1698" operator="lessThan">
      <formula>0</formula>
    </cfRule>
  </conditionalFormatting>
  <conditionalFormatting sqref="AQ15">
    <cfRule type="cellIs" dxfId="5647" priority="1697" operator="lessThan">
      <formula>0</formula>
    </cfRule>
  </conditionalFormatting>
  <conditionalFormatting sqref="AQ15">
    <cfRule type="cellIs" dxfId="5646" priority="1696" operator="lessThan">
      <formula>0</formula>
    </cfRule>
  </conditionalFormatting>
  <conditionalFormatting sqref="AQ15">
    <cfRule type="cellIs" dxfId="5645" priority="1695" operator="lessThan">
      <formula>0</formula>
    </cfRule>
  </conditionalFormatting>
  <conditionalFormatting sqref="AQ15">
    <cfRule type="cellIs" dxfId="5644" priority="1694" operator="lessThan">
      <formula>0</formula>
    </cfRule>
  </conditionalFormatting>
  <conditionalFormatting sqref="AQ15">
    <cfRule type="cellIs" dxfId="5643" priority="1693" operator="lessThan">
      <formula>0</formula>
    </cfRule>
  </conditionalFormatting>
  <conditionalFormatting sqref="AQ18 AQ26 AQ30 AQ34 AQ38 AQ42 AQ46 AQ50 AQ54 AQ62 AQ66 AQ70 AQ78 AQ86">
    <cfRule type="cellIs" dxfId="5642" priority="1691" operator="lessThan">
      <formula>0</formula>
    </cfRule>
  </conditionalFormatting>
  <conditionalFormatting sqref="AQ18 AQ26 AQ30 AQ34 AQ38 AQ42 AQ46 AQ50 AQ54 AQ62 AQ66 AQ70 AQ78 AQ86">
    <cfRule type="cellIs" dxfId="5641" priority="1690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40" priority="1689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39" priority="1688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38" priority="1687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37" priority="1686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36" priority="1685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35" priority="1684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34" priority="1683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33" priority="1682" operator="lessThan">
      <formula>0</formula>
    </cfRule>
  </conditionalFormatting>
  <conditionalFormatting sqref="AQ18 AQ26 AQ30 AQ34 AQ38 AQ42 AQ46 AQ50 AQ54 AQ62 AQ66 AQ70 AQ78 AQ86">
    <cfRule type="cellIs" dxfId="5632" priority="1681" operator="lessThan">
      <formula>0</formula>
    </cfRule>
  </conditionalFormatting>
  <conditionalFormatting sqref="AQ20:AQ21 AQ28:AQ30 AQ32:AQ34 AQ36:AQ38 AQ40:AQ42 AQ44:AQ46 AQ48:AQ50 AQ52:AQ54 AQ56:AQ57 AQ64:AQ66 AQ68:AQ70 AQ72:AQ73 AQ80:AQ81 AQ88:AQ89 AQ26 AQ78 AQ86">
    <cfRule type="cellIs" dxfId="5631" priority="1680" operator="lessThan">
      <formula>0</formula>
    </cfRule>
  </conditionalFormatting>
  <conditionalFormatting sqref="AQ20:AQ21 AQ28:AQ30 AQ32:AQ34 AQ36:AQ38 AQ40:AQ42 AQ44:AQ46 AQ48:AQ50 AQ52:AQ54 AQ56:AQ57 AQ64:AQ66 AQ68:AQ70 AQ72:AQ73 AQ80:AQ81 AQ88:AQ89 AQ26 AQ78 AQ86">
    <cfRule type="cellIs" dxfId="5630" priority="1679" operator="lessThan">
      <formula>0</formula>
    </cfRule>
  </conditionalFormatting>
  <conditionalFormatting sqref="AQ20:AQ21 AQ28:AQ30 AQ32:AQ34 AQ36:AQ38 AQ40:AQ42 AQ44:AQ46 AQ48:AQ50 AQ52:AQ54 AQ56:AQ57 AQ64:AQ66 AQ68:AQ70 AQ72:AQ73 AQ80:AQ81 AQ88:AQ89 AQ26 AQ78 AQ86">
    <cfRule type="cellIs" dxfId="5629" priority="1678" operator="lessThan">
      <formula>0</formula>
    </cfRule>
  </conditionalFormatting>
  <conditionalFormatting sqref="AQ20:AQ21 AQ28:AQ30 AQ32:AQ34 AQ36:AQ38 AQ40:AQ42 AQ44:AQ46 AQ48:AQ50 AQ52:AQ54 AQ56:AQ57 AQ64:AQ66 AQ68:AQ70 AQ72:AQ73 AQ80:AQ81 AQ88:AQ89 AQ26 AQ78 AQ86">
    <cfRule type="cellIs" dxfId="5628" priority="1677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27" priority="1676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26" priority="1675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25" priority="1674" operator="lessThan">
      <formula>0</formula>
    </cfRule>
  </conditionalFormatting>
  <conditionalFormatting sqref="AQ20:AQ21 AQ28:AQ29 AQ32:AQ33 AQ36:AQ37 AQ40:AQ41 AQ44:AQ45 AQ48:AQ49 AQ52:AQ53 AQ56:AQ57 AQ64:AQ65 AQ68:AQ69 AQ72:AQ73 AQ80:AQ81 AQ88:AQ89">
    <cfRule type="cellIs" dxfId="5624" priority="1673" operator="lessThan">
      <formula>0</formula>
    </cfRule>
  </conditionalFormatting>
  <conditionalFormatting sqref="AQ19 AQ27 AQ31 AQ35 AQ39 AQ43 AQ47 AQ51 AQ55 AQ63 AQ67 AQ71 AQ79 AQ87">
    <cfRule type="cellIs" dxfId="5623" priority="1672" operator="lessThan">
      <formula>0</formula>
    </cfRule>
  </conditionalFormatting>
  <conditionalFormatting sqref="AQ19 AQ27 AQ31 AQ35 AQ39 AQ43 AQ47 AQ51 AQ55 AQ63 AQ67 AQ71 AQ79 AQ87">
    <cfRule type="cellIs" dxfId="5622" priority="1671" operator="lessThan">
      <formula>0</formula>
    </cfRule>
  </conditionalFormatting>
  <conditionalFormatting sqref="AQ19 AQ27 AQ31 AQ35 AQ39 AQ43 AQ47 AQ51 AQ55 AQ63 AQ67 AQ71 AQ79 AQ87">
    <cfRule type="cellIs" dxfId="5621" priority="1670" operator="lessThan">
      <formula>0</formula>
    </cfRule>
  </conditionalFormatting>
  <conditionalFormatting sqref="AQ19 AQ27 AQ31 AQ35 AQ39 AQ43 AQ47 AQ51 AQ55 AQ63 AQ67 AQ71 AQ79 AQ87">
    <cfRule type="cellIs" dxfId="5620" priority="1669" operator="lessThan">
      <formula>0</formula>
    </cfRule>
  </conditionalFormatting>
  <conditionalFormatting sqref="AQ19 AQ27 AQ31 AQ35 AQ39 AQ43 AQ47 AQ51 AQ55 AQ63 AQ67 AQ71 AQ79 AQ87">
    <cfRule type="cellIs" dxfId="5619" priority="1668" operator="lessThan">
      <formula>0</formula>
    </cfRule>
  </conditionalFormatting>
  <conditionalFormatting sqref="AQ19 AQ27 AQ31 AQ35 AQ39 AQ43 AQ47 AQ51 AQ55 AQ63 AQ67 AQ71 AQ79 AQ87">
    <cfRule type="cellIs" dxfId="5618" priority="1667" operator="lessThan">
      <formula>0</formula>
    </cfRule>
  </conditionalFormatting>
  <conditionalFormatting sqref="AQ19 AQ27 AQ31 AQ35 AQ39 AQ43 AQ47 AQ51 AQ55 AQ63 AQ67 AQ71 AQ79 AQ87">
    <cfRule type="cellIs" dxfId="5617" priority="1666" operator="lessThan">
      <formula>0</formula>
    </cfRule>
  </conditionalFormatting>
  <conditionalFormatting sqref="AQ19 AQ27 AQ31 AQ35 AQ39 AQ43 AQ47 AQ51 AQ55 AQ63 AQ67 AQ71 AQ79 AQ87">
    <cfRule type="cellIs" dxfId="5616" priority="1665" operator="lessThan">
      <formula>0</formula>
    </cfRule>
  </conditionalFormatting>
  <conditionalFormatting sqref="AQ19 AQ27 AQ31 AQ35 AQ39 AQ43 AQ47 AQ51 AQ55 AQ63 AQ67 AQ71 AQ79 AQ87">
    <cfRule type="cellIs" dxfId="5615" priority="1664" operator="lessThan">
      <formula>0</formula>
    </cfRule>
  </conditionalFormatting>
  <conditionalFormatting sqref="AQ19 AQ27 AQ31 AQ35 AQ39 AQ43 AQ47 AQ51 AQ55 AQ63 AQ67 AQ71 AQ79 AQ87">
    <cfRule type="cellIs" dxfId="5614" priority="1663" operator="lessThan">
      <formula>0</formula>
    </cfRule>
  </conditionalFormatting>
  <conditionalFormatting sqref="AQ19 AQ27 AQ31 AQ35 AQ39 AQ43 AQ47 AQ51 AQ55 AQ63 AQ67 AQ71 AQ79 AQ87">
    <cfRule type="cellIs" dxfId="5613" priority="1662" operator="lessThan">
      <formula>0</formula>
    </cfRule>
  </conditionalFormatting>
  <conditionalFormatting sqref="AQ19 AQ27 AQ31 AQ35 AQ39 AQ43 AQ47 AQ51 AQ55 AQ63 AQ67 AQ71 AQ79 AQ87">
    <cfRule type="cellIs" dxfId="5612" priority="1661" operator="lessThan">
      <formula>0</formula>
    </cfRule>
  </conditionalFormatting>
  <conditionalFormatting sqref="AQ19 AQ27 AQ31 AQ35 AQ39 AQ43 AQ47 AQ51 AQ55 AQ63 AQ67 AQ71 AQ79 AQ87">
    <cfRule type="cellIs" dxfId="5611" priority="1660" operator="lessThan">
      <formula>0</formula>
    </cfRule>
  </conditionalFormatting>
  <conditionalFormatting sqref="AQ19 AQ27 AQ31 AQ35 AQ39 AQ43 AQ47 AQ51 AQ55 AQ63 AQ67 AQ71 AQ79 AQ87">
    <cfRule type="cellIs" dxfId="5610" priority="1659" operator="lessThan">
      <formula>0</formula>
    </cfRule>
  </conditionalFormatting>
  <conditionalFormatting sqref="AQ19 AQ27 AQ31 AQ35 AQ39 AQ43 AQ47 AQ51 AQ55 AQ63 AQ67 AQ71 AQ79 AQ87">
    <cfRule type="cellIs" dxfId="5609" priority="1658" operator="lessThan">
      <formula>0</formula>
    </cfRule>
  </conditionalFormatting>
  <conditionalFormatting sqref="AQ19 AQ27 AQ31 AQ35 AQ39 AQ43 AQ47 AQ51 AQ55 AQ63 AQ67 AQ71 AQ79 AQ87">
    <cfRule type="cellIs" dxfId="5608" priority="1657" operator="lessThan">
      <formula>0</formula>
    </cfRule>
  </conditionalFormatting>
  <conditionalFormatting sqref="AQ19 AQ27 AQ31 AQ35 AQ39 AQ43 AQ47 AQ51 AQ55 AQ63 AQ67 AQ71 AQ79 AQ87">
    <cfRule type="cellIs" dxfId="5607" priority="1656" operator="lessThan">
      <formula>0</formula>
    </cfRule>
  </conditionalFormatting>
  <conditionalFormatting sqref="AQ19 AQ27 AQ31 AQ35 AQ39 AQ43 AQ47 AQ51 AQ55 AQ63 AQ67 AQ71 AQ79 AQ87">
    <cfRule type="cellIs" dxfId="5606" priority="1655" operator="lessThan">
      <formula>0</formula>
    </cfRule>
  </conditionalFormatting>
  <conditionalFormatting sqref="AQ19 AQ27 AQ31 AQ35 AQ39 AQ43 AQ47 AQ51 AQ55 AQ63 AQ67 AQ71 AQ79 AQ87">
    <cfRule type="cellIs" dxfId="5605" priority="1654" operator="lessThan">
      <formula>0</formula>
    </cfRule>
  </conditionalFormatting>
  <conditionalFormatting sqref="AQ19 AQ27 AQ31 AQ35 AQ39 AQ43 AQ47 AQ51 AQ55 AQ63 AQ67 AQ71 AQ79 AQ87">
    <cfRule type="cellIs" dxfId="5604" priority="1653" operator="lessThan">
      <formula>0</formula>
    </cfRule>
  </conditionalFormatting>
  <conditionalFormatting sqref="AQ19 AQ27 AQ31 AQ35 AQ39 AQ43 AQ47 AQ51 AQ55 AQ63 AQ67 AQ71 AQ79 AQ87">
    <cfRule type="cellIs" dxfId="5603" priority="1652" operator="lessThan">
      <formula>0</formula>
    </cfRule>
  </conditionalFormatting>
  <conditionalFormatting sqref="AQ19 AQ27 AQ31 AQ35 AQ39 AQ43 AQ47 AQ51 AQ55 AQ63 AQ67 AQ71 AQ79 AQ87">
    <cfRule type="cellIs" dxfId="5602" priority="1651" operator="lessThan">
      <formula>0</formula>
    </cfRule>
  </conditionalFormatting>
  <conditionalFormatting sqref="AQ19 AQ27 AQ31 AQ35 AQ39 AQ43 AQ47 AQ51 AQ55 AQ63 AQ67 AQ71 AQ79 AQ87">
    <cfRule type="cellIs" dxfId="5601" priority="1650" operator="lessThan">
      <formula>0</formula>
    </cfRule>
  </conditionalFormatting>
  <conditionalFormatting sqref="AQ19 AQ27 AQ31 AQ35 AQ39 AQ43 AQ47 AQ51 AQ55 AQ63 AQ67 AQ71 AQ79 AQ87">
    <cfRule type="cellIs" dxfId="5600" priority="1649" operator="lessThan">
      <formula>0</formula>
    </cfRule>
  </conditionalFormatting>
  <conditionalFormatting sqref="AQ19 AQ27 AQ31 AQ35 AQ39 AQ43 AQ47 AQ51 AQ55 AQ63 AQ67 AQ71 AQ79 AQ87">
    <cfRule type="cellIs" dxfId="5599" priority="1648" operator="lessThan">
      <formula>0</formula>
    </cfRule>
  </conditionalFormatting>
  <conditionalFormatting sqref="AQ19 AQ27 AQ31 AQ35 AQ39 AQ43 AQ47 AQ51 AQ55 AQ63 AQ67 AQ71 AQ79 AQ87">
    <cfRule type="cellIs" dxfId="5598" priority="1647" operator="lessThan">
      <formula>0</formula>
    </cfRule>
  </conditionalFormatting>
  <conditionalFormatting sqref="AQ19 AQ27 AQ31 AQ35 AQ39 AQ43 AQ47 AQ51 AQ55 AQ63 AQ67 AQ71 AQ79 AQ87">
    <cfRule type="cellIs" dxfId="5597" priority="1646" operator="lessThan">
      <formula>0</formula>
    </cfRule>
  </conditionalFormatting>
  <conditionalFormatting sqref="AQ19 AQ27 AQ31 AQ35 AQ39 AQ43 AQ47 AQ51 AQ55 AQ63 AQ67 AQ71 AQ79 AQ87">
    <cfRule type="cellIs" dxfId="5596" priority="1645" operator="lessThan">
      <formula>0</formula>
    </cfRule>
  </conditionalFormatting>
  <conditionalFormatting sqref="AQ19 AQ27 AQ31 AQ35 AQ39 AQ43 AQ47 AQ51 AQ55 AQ63 AQ67 AQ71 AQ79 AQ87">
    <cfRule type="cellIs" dxfId="5595" priority="1644" operator="lessThan">
      <formula>0</formula>
    </cfRule>
  </conditionalFormatting>
  <conditionalFormatting sqref="AQ19 AQ27 AQ31 AQ35 AQ39 AQ43 AQ47 AQ51 AQ55 AQ63 AQ67 AQ71 AQ79 AQ87">
    <cfRule type="cellIs" dxfId="5594" priority="1643" operator="lessThan">
      <formula>0</formula>
    </cfRule>
  </conditionalFormatting>
  <conditionalFormatting sqref="AQ19 AQ27 AQ31 AQ35 AQ39 AQ43 AQ47 AQ51 AQ55 AQ63 AQ67 AQ71 AQ79 AQ87">
    <cfRule type="cellIs" dxfId="5593" priority="1642" operator="lessThan">
      <formula>0</formula>
    </cfRule>
  </conditionalFormatting>
  <conditionalFormatting sqref="AQ19 AQ27 AQ31 AQ35 AQ39 AQ43 AQ47 AQ51 AQ55 AQ63 AQ67 AQ71 AQ79 AQ87">
    <cfRule type="cellIs" dxfId="5592" priority="1641" operator="lessThan">
      <formula>0</formula>
    </cfRule>
  </conditionalFormatting>
  <conditionalFormatting sqref="AQ19 AQ27 AQ31 AQ35 AQ39 AQ43 AQ47 AQ51 AQ55 AQ63 AQ67 AQ71 AQ79 AQ87">
    <cfRule type="cellIs" dxfId="5591" priority="1640" operator="lessThan">
      <formula>0</formula>
    </cfRule>
  </conditionalFormatting>
  <conditionalFormatting sqref="AQ19 AQ27 AQ31 AQ35 AQ39 AQ43 AQ47 AQ51 AQ55 AQ63 AQ67 AQ71 AQ79 AQ87">
    <cfRule type="cellIs" dxfId="5590" priority="1639" operator="lessThan">
      <formula>0</formula>
    </cfRule>
  </conditionalFormatting>
  <conditionalFormatting sqref="AQ19 AQ27 AQ31 AQ35 AQ39 AQ43 AQ47 AQ51 AQ55 AQ63 AQ67 AQ71 AQ79 AQ87">
    <cfRule type="cellIs" dxfId="5589" priority="1638" operator="lessThan">
      <formula>0</formula>
    </cfRule>
  </conditionalFormatting>
  <conditionalFormatting sqref="AQ19 AQ27 AQ31 AQ35 AQ39 AQ43 AQ47 AQ51 AQ55 AQ63 AQ67 AQ71 AQ79 AQ87">
    <cfRule type="cellIs" dxfId="5588" priority="1637" operator="lessThan">
      <formula>0</formula>
    </cfRule>
  </conditionalFormatting>
  <conditionalFormatting sqref="AQ19 AQ27 AQ31 AQ35 AQ39 AQ43 AQ47 AQ51 AQ55 AQ63 AQ67 AQ71 AQ79 AQ87">
    <cfRule type="cellIs" dxfId="5587" priority="1636" operator="lessThan">
      <formula>0</formula>
    </cfRule>
  </conditionalFormatting>
  <conditionalFormatting sqref="AQ19 AQ27 AQ31 AQ35 AQ39 AQ43 AQ47 AQ51 AQ55 AQ63 AQ67 AQ71 AQ79 AQ87">
    <cfRule type="cellIs" dxfId="5586" priority="1635" operator="lessThan">
      <formula>0</formula>
    </cfRule>
  </conditionalFormatting>
  <conditionalFormatting sqref="AQ19 AQ27 AQ31 AQ35 AQ39 AQ43 AQ47 AQ51 AQ55 AQ63 AQ67 AQ71 AQ79 AQ87">
    <cfRule type="cellIs" dxfId="5585" priority="1634" operator="lessThan">
      <formula>0</formula>
    </cfRule>
  </conditionalFormatting>
  <conditionalFormatting sqref="AQ19 AQ27 AQ31 AQ35 AQ39 AQ43 AQ47 AQ51 AQ55 AQ63 AQ67 AQ71 AQ79 AQ87">
    <cfRule type="cellIs" dxfId="5584" priority="1633" operator="lessThan">
      <formula>0</formula>
    </cfRule>
  </conditionalFormatting>
  <conditionalFormatting sqref="AQ19 AQ27 AQ31 AQ35 AQ39 AQ43 AQ47 AQ51 AQ55 AQ63 AQ67 AQ71 AQ79 AQ87">
    <cfRule type="cellIs" dxfId="5583" priority="1632" operator="lessThan">
      <formula>0</formula>
    </cfRule>
  </conditionalFormatting>
  <conditionalFormatting sqref="AQ19 AQ27 AQ31 AQ35 AQ39 AQ43 AQ47 AQ51 AQ55 AQ63 AQ67 AQ71 AQ79 AQ87">
    <cfRule type="cellIs" dxfId="5582" priority="1631" operator="lessThan">
      <formula>0</formula>
    </cfRule>
  </conditionalFormatting>
  <conditionalFormatting sqref="AQ19 AQ27 AQ31 AQ35 AQ39 AQ43 AQ47 AQ51 AQ55 AQ63 AQ67 AQ71 AQ79 AQ87">
    <cfRule type="cellIs" dxfId="5581" priority="1630" operator="lessThan">
      <formula>0</formula>
    </cfRule>
  </conditionalFormatting>
  <conditionalFormatting sqref="AQ19 AQ27 AQ31 AQ35 AQ39 AQ43 AQ47 AQ51 AQ55 AQ63 AQ67 AQ71 AQ79 AQ87">
    <cfRule type="cellIs" dxfId="5580" priority="1629" operator="lessThan">
      <formula>0</formula>
    </cfRule>
  </conditionalFormatting>
  <conditionalFormatting sqref="AQ19 AQ27 AQ31 AQ35 AQ39 AQ43 AQ47 AQ51 AQ55 AQ63 AQ67 AQ71 AQ79 AQ87">
    <cfRule type="cellIs" dxfId="5579" priority="1628" operator="lessThan">
      <formula>0</formula>
    </cfRule>
  </conditionalFormatting>
  <conditionalFormatting sqref="AQ19 AQ27 AQ31 AQ35 AQ39 AQ43 AQ47 AQ51 AQ55 AQ63 AQ67 AQ71 AQ79 AQ87">
    <cfRule type="cellIs" dxfId="5578" priority="1627" operator="lessThan">
      <formula>0</formula>
    </cfRule>
  </conditionalFormatting>
  <conditionalFormatting sqref="AQ19 AQ27 AQ31 AQ35 AQ39 AQ43 AQ47 AQ51 AQ55 AQ63 AQ67 AQ71 AQ79 AQ87">
    <cfRule type="cellIs" dxfId="5577" priority="1626" operator="lessThan">
      <formula>0</formula>
    </cfRule>
  </conditionalFormatting>
  <conditionalFormatting sqref="AQ19 AQ27 AQ31 AQ35 AQ39 AQ43 AQ47 AQ51 AQ55 AQ63 AQ67 AQ71 AQ79 AQ87">
    <cfRule type="cellIs" dxfId="5576" priority="1625" operator="lessThan">
      <formula>0</formula>
    </cfRule>
  </conditionalFormatting>
  <conditionalFormatting sqref="AQ19 AQ27 AQ31 AQ35 AQ39 AQ43 AQ47 AQ51 AQ55 AQ63 AQ67 AQ71 AQ79 AQ87">
    <cfRule type="cellIs" dxfId="5575" priority="1624" operator="lessThan">
      <formula>0</formula>
    </cfRule>
  </conditionalFormatting>
  <conditionalFormatting sqref="AQ19 AQ27 AQ31 AQ35 AQ39 AQ43 AQ47 AQ51 AQ55 AQ63 AQ67 AQ71 AQ79 AQ87">
    <cfRule type="cellIs" dxfId="5574" priority="1623" operator="lessThan">
      <formula>0</formula>
    </cfRule>
  </conditionalFormatting>
  <conditionalFormatting sqref="AQ19 AQ27 AQ31 AQ35 AQ39 AQ43 AQ47 AQ51 AQ55 AQ63 AQ67 AQ71 AQ79 AQ87">
    <cfRule type="cellIs" dxfId="5573" priority="1622" operator="lessThan">
      <formula>0</formula>
    </cfRule>
  </conditionalFormatting>
  <conditionalFormatting sqref="AQ19 AQ27 AQ31 AQ35 AQ39 AQ43 AQ47 AQ51 AQ55 AQ63 AQ67 AQ71 AQ79 AQ87">
    <cfRule type="cellIs" dxfId="5572" priority="1621" operator="lessThan">
      <formula>0</formula>
    </cfRule>
  </conditionalFormatting>
  <conditionalFormatting sqref="AQ19 AQ27 AQ31 AQ35 AQ39 AQ43 AQ47 AQ51 AQ55 AQ63 AQ67 AQ71 AQ79 AQ87">
    <cfRule type="cellIs" dxfId="5571" priority="1620" operator="lessThan">
      <formula>0</formula>
    </cfRule>
  </conditionalFormatting>
  <conditionalFormatting sqref="AQ19 AQ27 AQ31 AQ35 AQ39 AQ43 AQ47 AQ51 AQ55 AQ63 AQ67 AQ71 AQ79 AQ87">
    <cfRule type="cellIs" dxfId="5570" priority="1619" operator="lessThan">
      <formula>0</formula>
    </cfRule>
  </conditionalFormatting>
  <conditionalFormatting sqref="AQ19 AQ27 AQ31 AQ35 AQ39 AQ43 AQ47 AQ51 AQ55 AQ63 AQ67 AQ71 AQ79 AQ87">
    <cfRule type="cellIs" dxfId="5569" priority="1618" operator="lessThan">
      <formula>0</formula>
    </cfRule>
  </conditionalFormatting>
  <conditionalFormatting sqref="AQ19 AQ27 AQ31 AQ35 AQ39 AQ43 AQ47 AQ51 AQ55 AQ63 AQ67 AQ71 AQ79 AQ87">
    <cfRule type="cellIs" dxfId="5568" priority="1617" operator="lessThan">
      <formula>0</formula>
    </cfRule>
  </conditionalFormatting>
  <conditionalFormatting sqref="AQ19 AQ27 AQ31 AQ35 AQ39 AQ43 AQ47 AQ51 AQ55 AQ63 AQ67 AQ71 AQ79 AQ87">
    <cfRule type="cellIs" dxfId="5567" priority="1616" operator="lessThan">
      <formula>0</formula>
    </cfRule>
  </conditionalFormatting>
  <conditionalFormatting sqref="AQ19 AQ27 AQ31 AQ35 AQ39 AQ43 AQ47 AQ51 AQ55 AQ63 AQ67 AQ71 AQ79 AQ87">
    <cfRule type="cellIs" dxfId="5566" priority="1615" operator="lessThan">
      <formula>0</formula>
    </cfRule>
  </conditionalFormatting>
  <conditionalFormatting sqref="AQ19 AQ27 AQ31 AQ35 AQ39 AQ43 AQ47 AQ51 AQ55 AQ63 AQ67 AQ71 AQ79 AQ87">
    <cfRule type="cellIs" dxfId="5565" priority="1614" operator="lessThan">
      <formula>0</formula>
    </cfRule>
  </conditionalFormatting>
  <conditionalFormatting sqref="AQ19 AQ27 AQ31 AQ35 AQ39 AQ43 AQ47 AQ51 AQ55 AQ63 AQ67 AQ71 AQ79 AQ87">
    <cfRule type="cellIs" dxfId="5564" priority="1613" operator="lessThan">
      <formula>0</formula>
    </cfRule>
  </conditionalFormatting>
  <conditionalFormatting sqref="AQ19 AQ27 AQ31 AQ35 AQ39 AQ43 AQ47 AQ51 AQ55 AQ63 AQ67 AQ71 AQ79 AQ87">
    <cfRule type="cellIs" dxfId="5563" priority="1612" operator="lessThan">
      <formula>0</formula>
    </cfRule>
  </conditionalFormatting>
  <conditionalFormatting sqref="AQ19 AQ27 AQ31 AQ35 AQ39 AQ43 AQ47 AQ51 AQ55 AQ63 AQ67 AQ71 AQ79 AQ87">
    <cfRule type="cellIs" dxfId="5562" priority="1611" operator="lessThan">
      <formula>0</formula>
    </cfRule>
  </conditionalFormatting>
  <conditionalFormatting sqref="AQ19 AQ27 AQ31 AQ35 AQ39 AQ43 AQ47 AQ51 AQ55 AQ63 AQ67 AQ71 AQ79 AQ87">
    <cfRule type="cellIs" dxfId="5561" priority="1610" operator="lessThan">
      <formula>0</formula>
    </cfRule>
  </conditionalFormatting>
  <conditionalFormatting sqref="AQ19 AQ27 AQ31 AQ35 AQ39 AQ43 AQ47 AQ51 AQ55 AQ63 AQ67 AQ71 AQ79 AQ87">
    <cfRule type="cellIs" dxfId="5560" priority="1609" operator="lessThan">
      <formula>0</formula>
    </cfRule>
  </conditionalFormatting>
  <conditionalFormatting sqref="AQ19 AQ27 AQ31 AQ35 AQ39 AQ43 AQ47 AQ51 AQ55 AQ63 AQ67 AQ71 AQ79 AQ87">
    <cfRule type="cellIs" dxfId="5559" priority="1608" operator="lessThan">
      <formula>0</formula>
    </cfRule>
  </conditionalFormatting>
  <conditionalFormatting sqref="AQ19 AQ27 AQ31 AQ35 AQ39 AQ43 AQ47 AQ51 AQ55 AQ63 AQ67 AQ71 AQ79 AQ87">
    <cfRule type="cellIs" dxfId="5558" priority="1607" operator="lessThan">
      <formula>0</formula>
    </cfRule>
  </conditionalFormatting>
  <conditionalFormatting sqref="AQ19 AQ27 AQ31 AQ35 AQ39 AQ43 AQ47 AQ51 AQ55 AQ63 AQ67 AQ71 AQ79 AQ87">
    <cfRule type="cellIs" dxfId="5557" priority="1606" operator="lessThan">
      <formula>0</formula>
    </cfRule>
  </conditionalFormatting>
  <conditionalFormatting sqref="AQ19 AQ27 AQ31 AQ35 AQ39 AQ43 AQ47 AQ51 AQ55 AQ63 AQ67 AQ71 AQ79 AQ87">
    <cfRule type="cellIs" dxfId="5556" priority="1605" operator="lessThan">
      <formula>0</formula>
    </cfRule>
  </conditionalFormatting>
  <conditionalFormatting sqref="AQ19 AQ27 AQ31 AQ35 AQ39 AQ43 AQ47 AQ51 AQ55 AQ63 AQ67 AQ71 AQ79 AQ87">
    <cfRule type="cellIs" dxfId="5555" priority="1604" operator="lessThan">
      <formula>0</formula>
    </cfRule>
  </conditionalFormatting>
  <conditionalFormatting sqref="AQ19 AQ27 AQ31 AQ35 AQ39 AQ43 AQ47 AQ51 AQ55 AQ63 AQ67 AQ71 AQ79 AQ87">
    <cfRule type="cellIs" dxfId="5554" priority="1603" operator="lessThan">
      <formula>0</formula>
    </cfRule>
  </conditionalFormatting>
  <conditionalFormatting sqref="AQ19 AQ27 AQ31 AQ35 AQ39 AQ43 AQ47 AQ51 AQ55 AQ63 AQ67 AQ71 AQ79 AQ87">
    <cfRule type="cellIs" dxfId="5553" priority="1602" operator="lessThan">
      <formula>0</formula>
    </cfRule>
  </conditionalFormatting>
  <conditionalFormatting sqref="AQ19 AQ27 AQ31 AQ35 AQ39 AQ43 AQ47 AQ51 AQ55 AQ63 AQ67 AQ71 AQ79 AQ87">
    <cfRule type="cellIs" dxfId="5552" priority="1601" operator="lessThan">
      <formula>0</formula>
    </cfRule>
  </conditionalFormatting>
  <conditionalFormatting sqref="AQ19 AQ27 AQ31 AQ35 AQ39 AQ43 AQ47 AQ51 AQ55 AQ63 AQ67 AQ71 AQ79 AQ87">
    <cfRule type="cellIs" dxfId="5551" priority="1600" operator="lessThan">
      <formula>0</formula>
    </cfRule>
  </conditionalFormatting>
  <conditionalFormatting sqref="AQ19 AQ27 AQ31 AQ35 AQ39 AQ43 AQ47 AQ51 AQ55 AQ63 AQ67 AQ71 AQ79 AQ87">
    <cfRule type="cellIs" dxfId="5550" priority="1599" operator="lessThan">
      <formula>0</formula>
    </cfRule>
  </conditionalFormatting>
  <conditionalFormatting sqref="AQ19 AQ27 AQ31 AQ35 AQ39 AQ43 AQ47 AQ51 AQ55 AQ63 AQ67 AQ71 AQ79 AQ87">
    <cfRule type="cellIs" dxfId="5549" priority="1598" operator="lessThan">
      <formula>0</formula>
    </cfRule>
  </conditionalFormatting>
  <conditionalFormatting sqref="AQ19 AQ27 AQ31 AQ35 AQ39 AQ43 AQ47 AQ51 AQ55 AQ63 AQ67 AQ71 AQ79 AQ87">
    <cfRule type="cellIs" dxfId="5548" priority="1597" operator="lessThan">
      <formula>0</formula>
    </cfRule>
  </conditionalFormatting>
  <conditionalFormatting sqref="AQ19 AQ27 AQ31 AQ35 AQ39 AQ43 AQ47 AQ51 AQ55 AQ63 AQ67 AQ71 AQ79 AQ87">
    <cfRule type="cellIs" dxfId="5547" priority="1596" operator="lessThan">
      <formula>0</formula>
    </cfRule>
  </conditionalFormatting>
  <conditionalFormatting sqref="AQ19 AQ27 AQ31 AQ35 AQ39 AQ43 AQ47 AQ51 AQ55 AQ63 AQ67 AQ71 AQ79 AQ87">
    <cfRule type="cellIs" dxfId="5546" priority="1595" operator="lessThan">
      <formula>0</formula>
    </cfRule>
  </conditionalFormatting>
  <conditionalFormatting sqref="AQ19 AQ27 AQ31 AQ35 AQ39 AQ43 AQ47 AQ51 AQ55 AQ63 AQ67 AQ71 AQ79 AQ87">
    <cfRule type="cellIs" dxfId="5545" priority="1594" operator="lessThan">
      <formula>0</formula>
    </cfRule>
  </conditionalFormatting>
  <conditionalFormatting sqref="AQ19 AQ27 AQ31 AQ35 AQ39 AQ43 AQ47 AQ51 AQ55 AQ63 AQ67 AQ71 AQ79 AQ87">
    <cfRule type="cellIs" dxfId="5544" priority="1593" operator="lessThan">
      <formula>0</formula>
    </cfRule>
  </conditionalFormatting>
  <conditionalFormatting sqref="AQ19 AQ27 AQ31 AQ35 AQ39 AQ43 AQ47 AQ51 AQ55 AQ63 AQ67 AQ71 AQ79 AQ87">
    <cfRule type="cellIs" dxfId="5543" priority="1577" operator="lessThan">
      <formula>0</formula>
    </cfRule>
  </conditionalFormatting>
  <conditionalFormatting sqref="AQ19 AQ27 AQ31 AQ35 AQ39 AQ43 AQ47 AQ51 AQ55 AQ63 AQ67 AQ71 AQ79 AQ87">
    <cfRule type="cellIs" dxfId="5542" priority="1592" operator="lessThan">
      <formula>0</formula>
    </cfRule>
  </conditionalFormatting>
  <conditionalFormatting sqref="AQ19 AQ27 AQ31 AQ35 AQ39 AQ43 AQ47 AQ51 AQ55 AQ63 AQ67 AQ71 AQ79 AQ87">
    <cfRule type="cellIs" dxfId="5541" priority="1591" operator="lessThan">
      <formula>0</formula>
    </cfRule>
  </conditionalFormatting>
  <conditionalFormatting sqref="AQ19 AQ27 AQ31 AQ35 AQ39 AQ43 AQ47 AQ51 AQ55 AQ63 AQ67 AQ71 AQ79 AQ87">
    <cfRule type="cellIs" dxfId="5540" priority="1590" operator="lessThan">
      <formula>0</formula>
    </cfRule>
  </conditionalFormatting>
  <conditionalFormatting sqref="AQ19 AQ27 AQ31 AQ35 AQ39 AQ43 AQ47 AQ51 AQ55 AQ63 AQ67 AQ71 AQ79 AQ87">
    <cfRule type="cellIs" dxfId="5539" priority="1589" operator="lessThan">
      <formula>0</formula>
    </cfRule>
  </conditionalFormatting>
  <conditionalFormatting sqref="AQ19 AQ27 AQ31 AQ35 AQ39 AQ43 AQ47 AQ51 AQ55 AQ63 AQ67 AQ71 AQ79 AQ87">
    <cfRule type="cellIs" dxfId="5538" priority="1588" operator="lessThan">
      <formula>0</formula>
    </cfRule>
  </conditionalFormatting>
  <conditionalFormatting sqref="AQ19 AQ27 AQ31 AQ35 AQ39 AQ43 AQ47 AQ51 AQ55 AQ63 AQ67 AQ71 AQ79 AQ87">
    <cfRule type="cellIs" dxfId="5537" priority="1587" operator="lessThan">
      <formula>0</formula>
    </cfRule>
  </conditionalFormatting>
  <conditionalFormatting sqref="AQ19 AQ27 AQ31 AQ35 AQ39 AQ43 AQ47 AQ51 AQ55 AQ63 AQ67 AQ71 AQ79 AQ87">
    <cfRule type="cellIs" dxfId="5536" priority="1586" operator="lessThan">
      <formula>0</formula>
    </cfRule>
  </conditionalFormatting>
  <conditionalFormatting sqref="AQ19 AQ27 AQ31 AQ35 AQ39 AQ43 AQ47 AQ51 AQ55 AQ63 AQ67 AQ71 AQ79 AQ87">
    <cfRule type="cellIs" dxfId="5535" priority="1585" operator="lessThan">
      <formula>0</formula>
    </cfRule>
  </conditionalFormatting>
  <conditionalFormatting sqref="AQ19 AQ27 AQ31 AQ35 AQ39 AQ43 AQ47 AQ51 AQ55 AQ63 AQ67 AQ71 AQ79 AQ87">
    <cfRule type="cellIs" dxfId="5534" priority="1584" operator="lessThan">
      <formula>0</formula>
    </cfRule>
  </conditionalFormatting>
  <conditionalFormatting sqref="AQ19 AQ27 AQ31 AQ35 AQ39 AQ43 AQ47 AQ51 AQ55 AQ63 AQ67 AQ71 AQ79 AQ87">
    <cfRule type="cellIs" dxfId="5533" priority="1583" operator="lessThan">
      <formula>0</formula>
    </cfRule>
  </conditionalFormatting>
  <conditionalFormatting sqref="AQ19 AQ27 AQ31 AQ35 AQ39 AQ43 AQ47 AQ51 AQ55 AQ63 AQ67 AQ71 AQ79 AQ87">
    <cfRule type="cellIs" dxfId="5532" priority="1582" operator="lessThan">
      <formula>0</formula>
    </cfRule>
  </conditionalFormatting>
  <conditionalFormatting sqref="AQ19 AQ27 AQ31 AQ35 AQ39 AQ43 AQ47 AQ51 AQ55 AQ63 AQ67 AQ71 AQ79 AQ87">
    <cfRule type="cellIs" dxfId="5531" priority="1581" operator="lessThan">
      <formula>0</formula>
    </cfRule>
  </conditionalFormatting>
  <conditionalFormatting sqref="AQ19 AQ27 AQ31 AQ35 AQ39 AQ43 AQ47 AQ51 AQ55 AQ63 AQ67 AQ71 AQ79 AQ87">
    <cfRule type="cellIs" dxfId="5530" priority="1580" operator="lessThan">
      <formula>0</formula>
    </cfRule>
  </conditionalFormatting>
  <conditionalFormatting sqref="AQ19 AQ27 AQ31 AQ35 AQ39 AQ43 AQ47 AQ51 AQ55 AQ63 AQ67 AQ71 AQ79 AQ87">
    <cfRule type="cellIs" dxfId="5529" priority="1579" operator="lessThan">
      <formula>0</formula>
    </cfRule>
  </conditionalFormatting>
  <conditionalFormatting sqref="AQ19 AQ27 AQ31 AQ35 AQ39 AQ43 AQ47 AQ51 AQ55 AQ63 AQ67 AQ71 AQ79 AQ87">
    <cfRule type="cellIs" dxfId="5528" priority="1578" operator="lessThan">
      <formula>0</formula>
    </cfRule>
  </conditionalFormatting>
  <conditionalFormatting sqref="AQ22">
    <cfRule type="cellIs" dxfId="5527" priority="1575" operator="lessThan">
      <formula>0</formula>
    </cfRule>
  </conditionalFormatting>
  <conditionalFormatting sqref="AM22:AM25">
    <cfRule type="cellIs" dxfId="5526" priority="1573" operator="notEqual">
      <formula>0</formula>
    </cfRule>
  </conditionalFormatting>
  <conditionalFormatting sqref="I24">
    <cfRule type="cellIs" dxfId="5525" priority="1572" operator="greaterThan">
      <formula>0</formula>
    </cfRule>
  </conditionalFormatting>
  <conditionalFormatting sqref="Y24">
    <cfRule type="cellIs" dxfId="5524" priority="1570" operator="lessThan">
      <formula>0</formula>
    </cfRule>
  </conditionalFormatting>
  <conditionalFormatting sqref="Y22:Y24">
    <cfRule type="cellIs" dxfId="5523" priority="1569" operator="lessThan">
      <formula>0</formula>
    </cfRule>
  </conditionalFormatting>
  <conditionalFormatting sqref="Y25">
    <cfRule type="cellIs" dxfId="5522" priority="1568" operator="lessThan">
      <formula>0</formula>
    </cfRule>
  </conditionalFormatting>
  <conditionalFormatting sqref="Y23">
    <cfRule type="iconSet" priority="1576">
      <iconSet>
        <cfvo type="percent" val="0"/>
        <cfvo type="percent" val="&quot;$I$6&quot;"/>
        <cfvo type="percent" val="#REF!"/>
      </iconSet>
    </cfRule>
  </conditionalFormatting>
  <conditionalFormatting sqref="AQ22">
    <cfRule type="cellIs" dxfId="5521" priority="1567" operator="lessThan">
      <formula>0</formula>
    </cfRule>
  </conditionalFormatting>
  <conditionalFormatting sqref="AQ22">
    <cfRule type="cellIs" dxfId="5520" priority="1566" operator="lessThan">
      <formula>0</formula>
    </cfRule>
  </conditionalFormatting>
  <conditionalFormatting sqref="AQ24:AQ25">
    <cfRule type="cellIs" dxfId="5519" priority="1565" operator="lessThan">
      <formula>0</formula>
    </cfRule>
  </conditionalFormatting>
  <conditionalFormatting sqref="AQ24:AQ25">
    <cfRule type="cellIs" dxfId="5518" priority="1564" operator="lessThan">
      <formula>0</formula>
    </cfRule>
  </conditionalFormatting>
  <conditionalFormatting sqref="AQ24:AQ25">
    <cfRule type="cellIs" dxfId="5517" priority="1563" operator="lessThan">
      <formula>0</formula>
    </cfRule>
  </conditionalFormatting>
  <conditionalFormatting sqref="AQ24:AQ25">
    <cfRule type="cellIs" dxfId="5516" priority="1562" operator="lessThan">
      <formula>0</formula>
    </cfRule>
  </conditionalFormatting>
  <conditionalFormatting sqref="AQ24:AQ25">
    <cfRule type="cellIs" dxfId="5515" priority="1561" operator="lessThan">
      <formula>0</formula>
    </cfRule>
  </conditionalFormatting>
  <conditionalFormatting sqref="AQ24:AQ25">
    <cfRule type="cellIs" dxfId="5514" priority="1560" operator="lessThan">
      <formula>0</formula>
    </cfRule>
  </conditionalFormatting>
  <conditionalFormatting sqref="AQ24:AQ25">
    <cfRule type="cellIs" dxfId="5513" priority="1559" operator="lessThan">
      <formula>0</formula>
    </cfRule>
  </conditionalFormatting>
  <conditionalFormatting sqref="AQ24:AQ25">
    <cfRule type="cellIs" dxfId="5512" priority="1558" operator="lessThan">
      <formula>0</formula>
    </cfRule>
  </conditionalFormatting>
  <conditionalFormatting sqref="AQ22">
    <cfRule type="cellIs" dxfId="5511" priority="1557" operator="lessThan">
      <formula>0</formula>
    </cfRule>
  </conditionalFormatting>
  <conditionalFormatting sqref="AQ24:AQ25">
    <cfRule type="cellIs" dxfId="5510" priority="1556" operator="lessThan">
      <formula>0</formula>
    </cfRule>
  </conditionalFormatting>
  <conditionalFormatting sqref="AQ24:AQ25">
    <cfRule type="cellIs" dxfId="5509" priority="1555" operator="lessThan">
      <formula>0</formula>
    </cfRule>
  </conditionalFormatting>
  <conditionalFormatting sqref="AQ24:AQ25">
    <cfRule type="cellIs" dxfId="5508" priority="1554" operator="lessThan">
      <formula>0</formula>
    </cfRule>
  </conditionalFormatting>
  <conditionalFormatting sqref="AQ24:AQ25">
    <cfRule type="cellIs" dxfId="5507" priority="1553" operator="lessThan">
      <formula>0</formula>
    </cfRule>
  </conditionalFormatting>
  <conditionalFormatting sqref="AQ24:AQ25">
    <cfRule type="cellIs" dxfId="5506" priority="1552" operator="lessThan">
      <formula>0</formula>
    </cfRule>
  </conditionalFormatting>
  <conditionalFormatting sqref="AQ24:AQ25">
    <cfRule type="cellIs" dxfId="5505" priority="1551" operator="lessThan">
      <formula>0</formula>
    </cfRule>
  </conditionalFormatting>
  <conditionalFormatting sqref="AQ24:AQ25">
    <cfRule type="cellIs" dxfId="5504" priority="1550" operator="lessThan">
      <formula>0</formula>
    </cfRule>
  </conditionalFormatting>
  <conditionalFormatting sqref="AQ24:AQ25">
    <cfRule type="cellIs" dxfId="5503" priority="1549" operator="lessThan">
      <formula>0</formula>
    </cfRule>
  </conditionalFormatting>
  <conditionalFormatting sqref="AQ23">
    <cfRule type="cellIs" dxfId="5502" priority="1548" operator="lessThan">
      <formula>0</formula>
    </cfRule>
  </conditionalFormatting>
  <conditionalFormatting sqref="AQ23">
    <cfRule type="cellIs" dxfId="5501" priority="1547" operator="lessThan">
      <formula>0</formula>
    </cfRule>
  </conditionalFormatting>
  <conditionalFormatting sqref="AQ23">
    <cfRule type="cellIs" dxfId="5500" priority="1546" operator="lessThan">
      <formula>0</formula>
    </cfRule>
  </conditionalFormatting>
  <conditionalFormatting sqref="AQ23">
    <cfRule type="cellIs" dxfId="5499" priority="1545" operator="lessThan">
      <formula>0</formula>
    </cfRule>
  </conditionalFormatting>
  <conditionalFormatting sqref="AQ23">
    <cfRule type="cellIs" dxfId="5498" priority="1544" operator="lessThan">
      <formula>0</formula>
    </cfRule>
  </conditionalFormatting>
  <conditionalFormatting sqref="AQ23">
    <cfRule type="cellIs" dxfId="5497" priority="1543" operator="lessThan">
      <formula>0</formula>
    </cfRule>
  </conditionalFormatting>
  <conditionalFormatting sqref="AQ23">
    <cfRule type="cellIs" dxfId="5496" priority="1542" operator="lessThan">
      <formula>0</formula>
    </cfRule>
  </conditionalFormatting>
  <conditionalFormatting sqref="AQ23">
    <cfRule type="cellIs" dxfId="5495" priority="1541" operator="lessThan">
      <formula>0</formula>
    </cfRule>
  </conditionalFormatting>
  <conditionalFormatting sqref="AQ23">
    <cfRule type="cellIs" dxfId="5494" priority="1540" operator="lessThan">
      <formula>0</formula>
    </cfRule>
  </conditionalFormatting>
  <conditionalFormatting sqref="AQ23">
    <cfRule type="cellIs" dxfId="5493" priority="1539" operator="lessThan">
      <formula>0</formula>
    </cfRule>
  </conditionalFormatting>
  <conditionalFormatting sqref="AQ23">
    <cfRule type="cellIs" dxfId="5492" priority="1538" operator="lessThan">
      <formula>0</formula>
    </cfRule>
  </conditionalFormatting>
  <conditionalFormatting sqref="AQ23">
    <cfRule type="cellIs" dxfId="5491" priority="1537" operator="lessThan">
      <formula>0</formula>
    </cfRule>
  </conditionalFormatting>
  <conditionalFormatting sqref="AQ23">
    <cfRule type="cellIs" dxfId="5490" priority="1536" operator="lessThan">
      <formula>0</formula>
    </cfRule>
  </conditionalFormatting>
  <conditionalFormatting sqref="AQ23">
    <cfRule type="cellIs" dxfId="5489" priority="1535" operator="lessThan">
      <formula>0</formula>
    </cfRule>
  </conditionalFormatting>
  <conditionalFormatting sqref="AQ23">
    <cfRule type="cellIs" dxfId="5488" priority="1534" operator="lessThan">
      <formula>0</formula>
    </cfRule>
  </conditionalFormatting>
  <conditionalFormatting sqref="AQ23">
    <cfRule type="cellIs" dxfId="5487" priority="1533" operator="lessThan">
      <formula>0</formula>
    </cfRule>
  </conditionalFormatting>
  <conditionalFormatting sqref="AQ23">
    <cfRule type="cellIs" dxfId="5486" priority="1532" operator="lessThan">
      <formula>0</formula>
    </cfRule>
  </conditionalFormatting>
  <conditionalFormatting sqref="AQ23">
    <cfRule type="cellIs" dxfId="5485" priority="1531" operator="lessThan">
      <formula>0</formula>
    </cfRule>
  </conditionalFormatting>
  <conditionalFormatting sqref="AQ23">
    <cfRule type="cellIs" dxfId="5484" priority="1530" operator="lessThan">
      <formula>0</formula>
    </cfRule>
  </conditionalFormatting>
  <conditionalFormatting sqref="AQ23">
    <cfRule type="cellIs" dxfId="5483" priority="1529" operator="lessThan">
      <formula>0</formula>
    </cfRule>
  </conditionalFormatting>
  <conditionalFormatting sqref="AQ23">
    <cfRule type="cellIs" dxfId="5482" priority="1528" operator="lessThan">
      <formula>0</formula>
    </cfRule>
  </conditionalFormatting>
  <conditionalFormatting sqref="AQ23">
    <cfRule type="cellIs" dxfId="5481" priority="1527" operator="lessThan">
      <formula>0</formula>
    </cfRule>
  </conditionalFormatting>
  <conditionalFormatting sqref="AQ23">
    <cfRule type="cellIs" dxfId="5480" priority="1526" operator="lessThan">
      <formula>0</formula>
    </cfRule>
  </conditionalFormatting>
  <conditionalFormatting sqref="AQ23">
    <cfRule type="cellIs" dxfId="5479" priority="1525" operator="lessThan">
      <formula>0</formula>
    </cfRule>
  </conditionalFormatting>
  <conditionalFormatting sqref="AQ23">
    <cfRule type="cellIs" dxfId="5478" priority="1524" operator="lessThan">
      <formula>0</formula>
    </cfRule>
  </conditionalFormatting>
  <conditionalFormatting sqref="AQ23">
    <cfRule type="cellIs" dxfId="5477" priority="1523" operator="lessThan">
      <formula>0</formula>
    </cfRule>
  </conditionalFormatting>
  <conditionalFormatting sqref="AQ23">
    <cfRule type="cellIs" dxfId="5476" priority="1522" operator="lessThan">
      <formula>0</formula>
    </cfRule>
  </conditionalFormatting>
  <conditionalFormatting sqref="AQ23">
    <cfRule type="cellIs" dxfId="5475" priority="1521" operator="lessThan">
      <formula>0</formula>
    </cfRule>
  </conditionalFormatting>
  <conditionalFormatting sqref="AQ23">
    <cfRule type="cellIs" dxfId="5474" priority="1520" operator="lessThan">
      <formula>0</formula>
    </cfRule>
  </conditionalFormatting>
  <conditionalFormatting sqref="AQ23">
    <cfRule type="cellIs" dxfId="5473" priority="1519" operator="lessThan">
      <formula>0</formula>
    </cfRule>
  </conditionalFormatting>
  <conditionalFormatting sqref="AQ23">
    <cfRule type="cellIs" dxfId="5472" priority="1518" operator="lessThan">
      <formula>0</formula>
    </cfRule>
  </conditionalFormatting>
  <conditionalFormatting sqref="AQ23">
    <cfRule type="cellIs" dxfId="5471" priority="1517" operator="lessThan">
      <formula>0</formula>
    </cfRule>
  </conditionalFormatting>
  <conditionalFormatting sqref="AQ23">
    <cfRule type="cellIs" dxfId="5470" priority="1516" operator="lessThan">
      <formula>0</formula>
    </cfRule>
  </conditionalFormatting>
  <conditionalFormatting sqref="AQ23">
    <cfRule type="cellIs" dxfId="5469" priority="1515" operator="lessThan">
      <formula>0</formula>
    </cfRule>
  </conditionalFormatting>
  <conditionalFormatting sqref="AQ23">
    <cfRule type="cellIs" dxfId="5468" priority="1514" operator="lessThan">
      <formula>0</formula>
    </cfRule>
  </conditionalFormatting>
  <conditionalFormatting sqref="AQ23">
    <cfRule type="cellIs" dxfId="5467" priority="1513" operator="lessThan">
      <formula>0</formula>
    </cfRule>
  </conditionalFormatting>
  <conditionalFormatting sqref="AQ23">
    <cfRule type="cellIs" dxfId="5466" priority="1512" operator="lessThan">
      <formula>0</formula>
    </cfRule>
  </conditionalFormatting>
  <conditionalFormatting sqref="AQ23">
    <cfRule type="cellIs" dxfId="5465" priority="1511" operator="lessThan">
      <formula>0</formula>
    </cfRule>
  </conditionalFormatting>
  <conditionalFormatting sqref="AQ23">
    <cfRule type="cellIs" dxfId="5464" priority="1510" operator="lessThan">
      <formula>0</formula>
    </cfRule>
  </conditionalFormatting>
  <conditionalFormatting sqref="AQ23">
    <cfRule type="cellIs" dxfId="5463" priority="1509" operator="lessThan">
      <formula>0</formula>
    </cfRule>
  </conditionalFormatting>
  <conditionalFormatting sqref="AQ23">
    <cfRule type="cellIs" dxfId="5462" priority="1508" operator="lessThan">
      <formula>0</formula>
    </cfRule>
  </conditionalFormatting>
  <conditionalFormatting sqref="AQ23">
    <cfRule type="cellIs" dxfId="5461" priority="1507" operator="lessThan">
      <formula>0</formula>
    </cfRule>
  </conditionalFormatting>
  <conditionalFormatting sqref="AQ23">
    <cfRule type="cellIs" dxfId="5460" priority="1506" operator="lessThan">
      <formula>0</formula>
    </cfRule>
  </conditionalFormatting>
  <conditionalFormatting sqref="AQ23">
    <cfRule type="cellIs" dxfId="5459" priority="1505" operator="lessThan">
      <formula>0</formula>
    </cfRule>
  </conditionalFormatting>
  <conditionalFormatting sqref="AQ23">
    <cfRule type="cellIs" dxfId="5458" priority="1504" operator="lessThan">
      <formula>0</formula>
    </cfRule>
  </conditionalFormatting>
  <conditionalFormatting sqref="AQ23">
    <cfRule type="cellIs" dxfId="5457" priority="1503" operator="lessThan">
      <formula>0</formula>
    </cfRule>
  </conditionalFormatting>
  <conditionalFormatting sqref="AQ23">
    <cfRule type="cellIs" dxfId="5456" priority="1502" operator="lessThan">
      <formula>0</formula>
    </cfRule>
  </conditionalFormatting>
  <conditionalFormatting sqref="AQ23">
    <cfRule type="cellIs" dxfId="5455" priority="1501" operator="lessThan">
      <formula>0</formula>
    </cfRule>
  </conditionalFormatting>
  <conditionalFormatting sqref="AQ23">
    <cfRule type="cellIs" dxfId="5454" priority="1500" operator="lessThan">
      <formula>0</formula>
    </cfRule>
  </conditionalFormatting>
  <conditionalFormatting sqref="AQ23">
    <cfRule type="cellIs" dxfId="5453" priority="1499" operator="lessThan">
      <formula>0</formula>
    </cfRule>
  </conditionalFormatting>
  <conditionalFormatting sqref="AQ23">
    <cfRule type="cellIs" dxfId="5452" priority="1498" operator="lessThan">
      <formula>0</formula>
    </cfRule>
  </conditionalFormatting>
  <conditionalFormatting sqref="AQ23">
    <cfRule type="cellIs" dxfId="5451" priority="1497" operator="lessThan">
      <formula>0</formula>
    </cfRule>
  </conditionalFormatting>
  <conditionalFormatting sqref="AQ23">
    <cfRule type="cellIs" dxfId="5450" priority="1496" operator="lessThan">
      <formula>0</formula>
    </cfRule>
  </conditionalFormatting>
  <conditionalFormatting sqref="AQ23">
    <cfRule type="cellIs" dxfId="5449" priority="1495" operator="lessThan">
      <formula>0</formula>
    </cfRule>
  </conditionalFormatting>
  <conditionalFormatting sqref="AQ23">
    <cfRule type="cellIs" dxfId="5448" priority="1494" operator="lessThan">
      <formula>0</formula>
    </cfRule>
  </conditionalFormatting>
  <conditionalFormatting sqref="AQ23">
    <cfRule type="cellIs" dxfId="5447" priority="1493" operator="lessThan">
      <formula>0</formula>
    </cfRule>
  </conditionalFormatting>
  <conditionalFormatting sqref="AQ23">
    <cfRule type="cellIs" dxfId="5446" priority="1492" operator="lessThan">
      <formula>0</formula>
    </cfRule>
  </conditionalFormatting>
  <conditionalFormatting sqref="AQ23">
    <cfRule type="cellIs" dxfId="5445" priority="1491" operator="lessThan">
      <formula>0</formula>
    </cfRule>
  </conditionalFormatting>
  <conditionalFormatting sqref="AQ23">
    <cfRule type="cellIs" dxfId="5444" priority="1490" operator="lessThan">
      <formula>0</formula>
    </cfRule>
  </conditionalFormatting>
  <conditionalFormatting sqref="AQ23">
    <cfRule type="cellIs" dxfId="5443" priority="1489" operator="lessThan">
      <formula>0</formula>
    </cfRule>
  </conditionalFormatting>
  <conditionalFormatting sqref="AQ23">
    <cfRule type="cellIs" dxfId="5442" priority="1488" operator="lessThan">
      <formula>0</formula>
    </cfRule>
  </conditionalFormatting>
  <conditionalFormatting sqref="AQ23">
    <cfRule type="cellIs" dxfId="5441" priority="1487" operator="lessThan">
      <formula>0</formula>
    </cfRule>
  </conditionalFormatting>
  <conditionalFormatting sqref="AQ23">
    <cfRule type="cellIs" dxfId="5440" priority="1486" operator="lessThan">
      <formula>0</formula>
    </cfRule>
  </conditionalFormatting>
  <conditionalFormatting sqref="AQ23">
    <cfRule type="cellIs" dxfId="5439" priority="1485" operator="lessThan">
      <formula>0</formula>
    </cfRule>
  </conditionalFormatting>
  <conditionalFormatting sqref="AQ23">
    <cfRule type="cellIs" dxfId="5438" priority="1484" operator="lessThan">
      <formula>0</formula>
    </cfRule>
  </conditionalFormatting>
  <conditionalFormatting sqref="AQ23">
    <cfRule type="cellIs" dxfId="5437" priority="1483" operator="lessThan">
      <formula>0</formula>
    </cfRule>
  </conditionalFormatting>
  <conditionalFormatting sqref="AQ23">
    <cfRule type="cellIs" dxfId="5436" priority="1482" operator="lessThan">
      <formula>0</formula>
    </cfRule>
  </conditionalFormatting>
  <conditionalFormatting sqref="AQ23">
    <cfRule type="cellIs" dxfId="5435" priority="1481" operator="lessThan">
      <formula>0</formula>
    </cfRule>
  </conditionalFormatting>
  <conditionalFormatting sqref="AQ23">
    <cfRule type="cellIs" dxfId="5434" priority="1480" operator="lessThan">
      <formula>0</formula>
    </cfRule>
  </conditionalFormatting>
  <conditionalFormatting sqref="AQ23">
    <cfRule type="cellIs" dxfId="5433" priority="1479" operator="lessThan">
      <formula>0</formula>
    </cfRule>
  </conditionalFormatting>
  <conditionalFormatting sqref="AQ23">
    <cfRule type="cellIs" dxfId="5432" priority="1478" operator="lessThan">
      <formula>0</formula>
    </cfRule>
  </conditionalFormatting>
  <conditionalFormatting sqref="AQ23">
    <cfRule type="cellIs" dxfId="5431" priority="1477" operator="lessThan">
      <formula>0</formula>
    </cfRule>
  </conditionalFormatting>
  <conditionalFormatting sqref="AQ23">
    <cfRule type="cellIs" dxfId="5430" priority="1476" operator="lessThan">
      <formula>0</formula>
    </cfRule>
  </conditionalFormatting>
  <conditionalFormatting sqref="AQ23">
    <cfRule type="cellIs" dxfId="5429" priority="1475" operator="lessThan">
      <formula>0</formula>
    </cfRule>
  </conditionalFormatting>
  <conditionalFormatting sqref="AQ23">
    <cfRule type="cellIs" dxfId="5428" priority="1474" operator="lessThan">
      <formula>0</formula>
    </cfRule>
  </conditionalFormatting>
  <conditionalFormatting sqref="AQ23">
    <cfRule type="cellIs" dxfId="5427" priority="1473" operator="lessThan">
      <formula>0</formula>
    </cfRule>
  </conditionalFormatting>
  <conditionalFormatting sqref="AQ23">
    <cfRule type="cellIs" dxfId="5426" priority="1472" operator="lessThan">
      <formula>0</formula>
    </cfRule>
  </conditionalFormatting>
  <conditionalFormatting sqref="AQ23">
    <cfRule type="cellIs" dxfId="5425" priority="1471" operator="lessThan">
      <formula>0</formula>
    </cfRule>
  </conditionalFormatting>
  <conditionalFormatting sqref="AQ23">
    <cfRule type="cellIs" dxfId="5424" priority="1470" operator="lessThan">
      <formula>0</formula>
    </cfRule>
  </conditionalFormatting>
  <conditionalFormatting sqref="AQ23">
    <cfRule type="cellIs" dxfId="5423" priority="1469" operator="lessThan">
      <formula>0</formula>
    </cfRule>
  </conditionalFormatting>
  <conditionalFormatting sqref="AQ23">
    <cfRule type="cellIs" dxfId="5422" priority="1453" operator="lessThan">
      <formula>0</formula>
    </cfRule>
  </conditionalFormatting>
  <conditionalFormatting sqref="AQ23">
    <cfRule type="cellIs" dxfId="5421" priority="1468" operator="lessThan">
      <formula>0</formula>
    </cfRule>
  </conditionalFormatting>
  <conditionalFormatting sqref="AQ23">
    <cfRule type="cellIs" dxfId="5420" priority="1467" operator="lessThan">
      <formula>0</formula>
    </cfRule>
  </conditionalFormatting>
  <conditionalFormatting sqref="AQ23">
    <cfRule type="cellIs" dxfId="5419" priority="1466" operator="lessThan">
      <formula>0</formula>
    </cfRule>
  </conditionalFormatting>
  <conditionalFormatting sqref="AQ23">
    <cfRule type="cellIs" dxfId="5418" priority="1465" operator="lessThan">
      <formula>0</formula>
    </cfRule>
  </conditionalFormatting>
  <conditionalFormatting sqref="AQ23">
    <cfRule type="cellIs" dxfId="5417" priority="1464" operator="lessThan">
      <formula>0</formula>
    </cfRule>
  </conditionalFormatting>
  <conditionalFormatting sqref="AQ23">
    <cfRule type="cellIs" dxfId="5416" priority="1463" operator="lessThan">
      <formula>0</formula>
    </cfRule>
  </conditionalFormatting>
  <conditionalFormatting sqref="AQ23">
    <cfRule type="cellIs" dxfId="5415" priority="1462" operator="lessThan">
      <formula>0</formula>
    </cfRule>
  </conditionalFormatting>
  <conditionalFormatting sqref="AQ23">
    <cfRule type="cellIs" dxfId="5414" priority="1461" operator="lessThan">
      <formula>0</formula>
    </cfRule>
  </conditionalFormatting>
  <conditionalFormatting sqref="AQ23">
    <cfRule type="cellIs" dxfId="5413" priority="1460" operator="lessThan">
      <formula>0</formula>
    </cfRule>
  </conditionalFormatting>
  <conditionalFormatting sqref="AQ23">
    <cfRule type="cellIs" dxfId="5412" priority="1459" operator="lessThan">
      <formula>0</formula>
    </cfRule>
  </conditionalFormatting>
  <conditionalFormatting sqref="AQ23">
    <cfRule type="cellIs" dxfId="5411" priority="1458" operator="lessThan">
      <formula>0</formula>
    </cfRule>
  </conditionalFormatting>
  <conditionalFormatting sqref="AQ23">
    <cfRule type="cellIs" dxfId="5410" priority="1457" operator="lessThan">
      <formula>0</formula>
    </cfRule>
  </conditionalFormatting>
  <conditionalFormatting sqref="AQ23">
    <cfRule type="cellIs" dxfId="5409" priority="1456" operator="lessThan">
      <formula>0</formula>
    </cfRule>
  </conditionalFormatting>
  <conditionalFormatting sqref="AQ23">
    <cfRule type="cellIs" dxfId="5408" priority="1455" operator="lessThan">
      <formula>0</formula>
    </cfRule>
  </conditionalFormatting>
  <conditionalFormatting sqref="AQ23">
    <cfRule type="cellIs" dxfId="5407" priority="1454" operator="lessThan">
      <formula>0</formula>
    </cfRule>
  </conditionalFormatting>
  <conditionalFormatting sqref="AQ58">
    <cfRule type="cellIs" dxfId="5406" priority="1446" operator="lessThan">
      <formula>0</formula>
    </cfRule>
  </conditionalFormatting>
  <conditionalFormatting sqref="AM58:AM61">
    <cfRule type="cellIs" dxfId="5405" priority="1444" operator="notEqual">
      <formula>0</formula>
    </cfRule>
  </conditionalFormatting>
  <conditionalFormatting sqref="Y59">
    <cfRule type="iconSet" priority="1443">
      <iconSet>
        <cfvo type="percent" val="0"/>
        <cfvo type="percent" val="&quot;$I$6&quot;"/>
        <cfvo type="percent" val="#REF!"/>
      </iconSet>
    </cfRule>
  </conditionalFormatting>
  <conditionalFormatting sqref="Y60">
    <cfRule type="cellIs" dxfId="5404" priority="1442" operator="lessThan">
      <formula>0</formula>
    </cfRule>
  </conditionalFormatting>
  <conditionalFormatting sqref="Y58:Y60">
    <cfRule type="cellIs" dxfId="5403" priority="1441" operator="lessThan">
      <formula>0</formula>
    </cfRule>
  </conditionalFormatting>
  <conditionalFormatting sqref="Y61">
    <cfRule type="cellIs" dxfId="5402" priority="1440" operator="lessThan">
      <formula>0</formula>
    </cfRule>
  </conditionalFormatting>
  <conditionalFormatting sqref="I60">
    <cfRule type="cellIs" dxfId="5401" priority="1439" operator="greaterThan">
      <formula>0</formula>
    </cfRule>
  </conditionalFormatting>
  <conditionalFormatting sqref="J60">
    <cfRule type="cellIs" dxfId="5400" priority="1438" operator="greaterThan">
      <formula>0</formula>
    </cfRule>
  </conditionalFormatting>
  <conditionalFormatting sqref="AQ58">
    <cfRule type="cellIs" dxfId="5399" priority="1437" operator="lessThan">
      <formula>0</formula>
    </cfRule>
  </conditionalFormatting>
  <conditionalFormatting sqref="AQ58">
    <cfRule type="cellIs" dxfId="5398" priority="1436" operator="lessThan">
      <formula>0</formula>
    </cfRule>
  </conditionalFormatting>
  <conditionalFormatting sqref="AQ60:AQ61">
    <cfRule type="cellIs" dxfId="5397" priority="1435" operator="lessThan">
      <formula>0</formula>
    </cfRule>
  </conditionalFormatting>
  <conditionalFormatting sqref="AQ60:AQ61">
    <cfRule type="cellIs" dxfId="5396" priority="1434" operator="lessThan">
      <formula>0</formula>
    </cfRule>
  </conditionalFormatting>
  <conditionalFormatting sqref="AQ60:AQ61">
    <cfRule type="cellIs" dxfId="5395" priority="1433" operator="lessThan">
      <formula>0</formula>
    </cfRule>
  </conditionalFormatting>
  <conditionalFormatting sqref="AQ60:AQ61">
    <cfRule type="cellIs" dxfId="5394" priority="1432" operator="lessThan">
      <formula>0</formula>
    </cfRule>
  </conditionalFormatting>
  <conditionalFormatting sqref="AQ60:AQ61">
    <cfRule type="cellIs" dxfId="5393" priority="1431" operator="lessThan">
      <formula>0</formula>
    </cfRule>
  </conditionalFormatting>
  <conditionalFormatting sqref="AQ60:AQ61">
    <cfRule type="cellIs" dxfId="5392" priority="1430" operator="lessThan">
      <formula>0</formula>
    </cfRule>
  </conditionalFormatting>
  <conditionalFormatting sqref="AQ60:AQ61">
    <cfRule type="cellIs" dxfId="5391" priority="1429" operator="lessThan">
      <formula>0</formula>
    </cfRule>
  </conditionalFormatting>
  <conditionalFormatting sqref="AQ60:AQ61">
    <cfRule type="cellIs" dxfId="5390" priority="1428" operator="lessThan">
      <formula>0</formula>
    </cfRule>
  </conditionalFormatting>
  <conditionalFormatting sqref="AQ58">
    <cfRule type="cellIs" dxfId="5389" priority="1427" operator="lessThan">
      <formula>0</formula>
    </cfRule>
  </conditionalFormatting>
  <conditionalFormatting sqref="AQ60:AQ61">
    <cfRule type="cellIs" dxfId="5388" priority="1426" operator="lessThan">
      <formula>0</formula>
    </cfRule>
  </conditionalFormatting>
  <conditionalFormatting sqref="AQ60:AQ61">
    <cfRule type="cellIs" dxfId="5387" priority="1425" operator="lessThan">
      <formula>0</formula>
    </cfRule>
  </conditionalFormatting>
  <conditionalFormatting sqref="AQ60:AQ61">
    <cfRule type="cellIs" dxfId="5386" priority="1424" operator="lessThan">
      <formula>0</formula>
    </cfRule>
  </conditionalFormatting>
  <conditionalFormatting sqref="AQ60:AQ61">
    <cfRule type="cellIs" dxfId="5385" priority="1423" operator="lessThan">
      <formula>0</formula>
    </cfRule>
  </conditionalFormatting>
  <conditionalFormatting sqref="AQ60:AQ61">
    <cfRule type="cellIs" dxfId="5384" priority="1422" operator="lessThan">
      <formula>0</formula>
    </cfRule>
  </conditionalFormatting>
  <conditionalFormatting sqref="AQ60:AQ61">
    <cfRule type="cellIs" dxfId="5383" priority="1421" operator="lessThan">
      <formula>0</formula>
    </cfRule>
  </conditionalFormatting>
  <conditionalFormatting sqref="AQ60:AQ61">
    <cfRule type="cellIs" dxfId="5382" priority="1420" operator="lessThan">
      <formula>0</formula>
    </cfRule>
  </conditionalFormatting>
  <conditionalFormatting sqref="AQ60:AQ61">
    <cfRule type="cellIs" dxfId="5381" priority="1419" operator="lessThan">
      <formula>0</formula>
    </cfRule>
  </conditionalFormatting>
  <conditionalFormatting sqref="AQ58">
    <cfRule type="cellIs" dxfId="5380" priority="1322" operator="lessThan">
      <formula>0</formula>
    </cfRule>
  </conditionalFormatting>
  <conditionalFormatting sqref="AQ58">
    <cfRule type="cellIs" dxfId="5379" priority="1321" operator="lessThan">
      <formula>0</formula>
    </cfRule>
  </conditionalFormatting>
  <conditionalFormatting sqref="AQ60:AQ61">
    <cfRule type="cellIs" dxfId="5378" priority="1320" operator="lessThan">
      <formula>0</formula>
    </cfRule>
  </conditionalFormatting>
  <conditionalFormatting sqref="AQ60:AQ61">
    <cfRule type="cellIs" dxfId="5377" priority="1319" operator="lessThan">
      <formula>0</formula>
    </cfRule>
  </conditionalFormatting>
  <conditionalFormatting sqref="AQ60:AQ61">
    <cfRule type="cellIs" dxfId="5376" priority="1318" operator="lessThan">
      <formula>0</formula>
    </cfRule>
  </conditionalFormatting>
  <conditionalFormatting sqref="AQ60:AQ61">
    <cfRule type="cellIs" dxfId="5375" priority="1317" operator="lessThan">
      <formula>0</formula>
    </cfRule>
  </conditionalFormatting>
  <conditionalFormatting sqref="AQ60:AQ61">
    <cfRule type="cellIs" dxfId="5374" priority="1316" operator="lessThan">
      <formula>0</formula>
    </cfRule>
  </conditionalFormatting>
  <conditionalFormatting sqref="AQ60:AQ61">
    <cfRule type="cellIs" dxfId="5373" priority="1315" operator="lessThan">
      <formula>0</formula>
    </cfRule>
  </conditionalFormatting>
  <conditionalFormatting sqref="AQ60:AQ61">
    <cfRule type="cellIs" dxfId="5372" priority="1314" operator="lessThan">
      <formula>0</formula>
    </cfRule>
  </conditionalFormatting>
  <conditionalFormatting sqref="AQ60:AQ61">
    <cfRule type="cellIs" dxfId="5371" priority="1313" operator="lessThan">
      <formula>0</formula>
    </cfRule>
  </conditionalFormatting>
  <conditionalFormatting sqref="AQ58">
    <cfRule type="cellIs" dxfId="5370" priority="1312" operator="lessThan">
      <formula>0</formula>
    </cfRule>
  </conditionalFormatting>
  <conditionalFormatting sqref="AQ58 AQ60:AQ61">
    <cfRule type="cellIs" dxfId="5369" priority="1311" operator="lessThan">
      <formula>0</formula>
    </cfRule>
  </conditionalFormatting>
  <conditionalFormatting sqref="AQ58 AQ60:AQ61">
    <cfRule type="cellIs" dxfId="5368" priority="1310" operator="lessThan">
      <formula>0</formula>
    </cfRule>
  </conditionalFormatting>
  <conditionalFormatting sqref="AQ58 AQ60:AQ61">
    <cfRule type="cellIs" dxfId="5367" priority="1309" operator="lessThan">
      <formula>0</formula>
    </cfRule>
  </conditionalFormatting>
  <conditionalFormatting sqref="AQ58 AQ60:AQ61">
    <cfRule type="cellIs" dxfId="5366" priority="1308" operator="lessThan">
      <formula>0</formula>
    </cfRule>
  </conditionalFormatting>
  <conditionalFormatting sqref="AQ60:AQ61">
    <cfRule type="cellIs" dxfId="5365" priority="1307" operator="lessThan">
      <formula>0</formula>
    </cfRule>
  </conditionalFormatting>
  <conditionalFormatting sqref="AQ60:AQ61">
    <cfRule type="cellIs" dxfId="5364" priority="1306" operator="lessThan">
      <formula>0</formula>
    </cfRule>
  </conditionalFormatting>
  <conditionalFormatting sqref="AQ60:AQ61">
    <cfRule type="cellIs" dxfId="5363" priority="1305" operator="lessThan">
      <formula>0</formula>
    </cfRule>
  </conditionalFormatting>
  <conditionalFormatting sqref="AQ60:AQ61">
    <cfRule type="cellIs" dxfId="5362" priority="1304" operator="lessThan">
      <formula>0</formula>
    </cfRule>
  </conditionalFormatting>
  <conditionalFormatting sqref="AQ74">
    <cfRule type="cellIs" dxfId="5361" priority="1203" operator="lessThan">
      <formula>0</formula>
    </cfRule>
  </conditionalFormatting>
  <conditionalFormatting sqref="AM74:AM77">
    <cfRule type="cellIs" dxfId="5360" priority="1201" operator="notEqual">
      <formula>0</formula>
    </cfRule>
  </conditionalFormatting>
  <conditionalFormatting sqref="I76">
    <cfRule type="cellIs" dxfId="5359" priority="1200" operator="greaterThan">
      <formula>0</formula>
    </cfRule>
  </conditionalFormatting>
  <conditionalFormatting sqref="J76">
    <cfRule type="cellIs" dxfId="5358" priority="1199" operator="greaterThan">
      <formula>0</formula>
    </cfRule>
  </conditionalFormatting>
  <conditionalFormatting sqref="Y76">
    <cfRule type="cellIs" dxfId="5357" priority="1198" operator="lessThan">
      <formula>0</formula>
    </cfRule>
  </conditionalFormatting>
  <conditionalFormatting sqref="Y74:Y76">
    <cfRule type="cellIs" dxfId="5356" priority="1197" operator="lessThan">
      <formula>0</formula>
    </cfRule>
  </conditionalFormatting>
  <conditionalFormatting sqref="Y77">
    <cfRule type="cellIs" dxfId="5355" priority="1196" operator="lessThan">
      <formula>0</formula>
    </cfRule>
  </conditionalFormatting>
  <conditionalFormatting sqref="Y75">
    <cfRule type="iconSet" priority="1204">
      <iconSet>
        <cfvo type="percent" val="0"/>
        <cfvo type="percent" val="&quot;$I$6&quot;"/>
        <cfvo type="percent" val="#REF!"/>
      </iconSet>
    </cfRule>
  </conditionalFormatting>
  <conditionalFormatting sqref="AQ74">
    <cfRule type="cellIs" dxfId="5354" priority="1195" operator="lessThan">
      <formula>0</formula>
    </cfRule>
  </conditionalFormatting>
  <conditionalFormatting sqref="AQ74">
    <cfRule type="cellIs" dxfId="5353" priority="1194" operator="lessThan">
      <formula>0</formula>
    </cfRule>
  </conditionalFormatting>
  <conditionalFormatting sqref="AQ76:AQ77">
    <cfRule type="cellIs" dxfId="5352" priority="1193" operator="lessThan">
      <formula>0</formula>
    </cfRule>
  </conditionalFormatting>
  <conditionalFormatting sqref="AQ76:AQ77">
    <cfRule type="cellIs" dxfId="5351" priority="1192" operator="lessThan">
      <formula>0</formula>
    </cfRule>
  </conditionalFormatting>
  <conditionalFormatting sqref="AQ76:AQ77">
    <cfRule type="cellIs" dxfId="5350" priority="1191" operator="lessThan">
      <formula>0</formula>
    </cfRule>
  </conditionalFormatting>
  <conditionalFormatting sqref="AQ76:AQ77">
    <cfRule type="cellIs" dxfId="5349" priority="1190" operator="lessThan">
      <formula>0</formula>
    </cfRule>
  </conditionalFormatting>
  <conditionalFormatting sqref="AQ76:AQ77">
    <cfRule type="cellIs" dxfId="5348" priority="1189" operator="lessThan">
      <formula>0</formula>
    </cfRule>
  </conditionalFormatting>
  <conditionalFormatting sqref="AQ76:AQ77">
    <cfRule type="cellIs" dxfId="5347" priority="1188" operator="lessThan">
      <formula>0</formula>
    </cfRule>
  </conditionalFormatting>
  <conditionalFormatting sqref="AQ76:AQ77">
    <cfRule type="cellIs" dxfId="5346" priority="1187" operator="lessThan">
      <formula>0</formula>
    </cfRule>
  </conditionalFormatting>
  <conditionalFormatting sqref="AQ76:AQ77">
    <cfRule type="cellIs" dxfId="5345" priority="1186" operator="lessThan">
      <formula>0</formula>
    </cfRule>
  </conditionalFormatting>
  <conditionalFormatting sqref="AQ74">
    <cfRule type="cellIs" dxfId="5344" priority="1185" operator="lessThan">
      <formula>0</formula>
    </cfRule>
  </conditionalFormatting>
  <conditionalFormatting sqref="AQ76:AQ77">
    <cfRule type="cellIs" dxfId="5343" priority="1184" operator="lessThan">
      <formula>0</formula>
    </cfRule>
  </conditionalFormatting>
  <conditionalFormatting sqref="AQ76:AQ77">
    <cfRule type="cellIs" dxfId="5342" priority="1183" operator="lessThan">
      <formula>0</formula>
    </cfRule>
  </conditionalFormatting>
  <conditionalFormatting sqref="AQ76:AQ77">
    <cfRule type="cellIs" dxfId="5341" priority="1182" operator="lessThan">
      <formula>0</formula>
    </cfRule>
  </conditionalFormatting>
  <conditionalFormatting sqref="AQ76:AQ77">
    <cfRule type="cellIs" dxfId="5340" priority="1181" operator="lessThan">
      <formula>0</formula>
    </cfRule>
  </conditionalFormatting>
  <conditionalFormatting sqref="AQ76:AQ77">
    <cfRule type="cellIs" dxfId="5339" priority="1180" operator="lessThan">
      <formula>0</formula>
    </cfRule>
  </conditionalFormatting>
  <conditionalFormatting sqref="AQ76:AQ77">
    <cfRule type="cellIs" dxfId="5338" priority="1179" operator="lessThan">
      <formula>0</formula>
    </cfRule>
  </conditionalFormatting>
  <conditionalFormatting sqref="AQ76:AQ77">
    <cfRule type="cellIs" dxfId="5337" priority="1178" operator="lessThan">
      <formula>0</formula>
    </cfRule>
  </conditionalFormatting>
  <conditionalFormatting sqref="AQ76:AQ77">
    <cfRule type="cellIs" dxfId="5336" priority="1177" operator="lessThan">
      <formula>0</formula>
    </cfRule>
  </conditionalFormatting>
  <conditionalFormatting sqref="AQ74">
    <cfRule type="cellIs" dxfId="5335" priority="1080" operator="lessThan">
      <formula>0</formula>
    </cfRule>
  </conditionalFormatting>
  <conditionalFormatting sqref="AQ74">
    <cfRule type="cellIs" dxfId="5334" priority="1079" operator="lessThan">
      <formula>0</formula>
    </cfRule>
  </conditionalFormatting>
  <conditionalFormatting sqref="AQ76:AQ77">
    <cfRule type="cellIs" dxfId="5333" priority="1078" operator="lessThan">
      <formula>0</formula>
    </cfRule>
  </conditionalFormatting>
  <conditionalFormatting sqref="AQ76:AQ77">
    <cfRule type="cellIs" dxfId="5332" priority="1077" operator="lessThan">
      <formula>0</formula>
    </cfRule>
  </conditionalFormatting>
  <conditionalFormatting sqref="AQ76:AQ77">
    <cfRule type="cellIs" dxfId="5331" priority="1076" operator="lessThan">
      <formula>0</formula>
    </cfRule>
  </conditionalFormatting>
  <conditionalFormatting sqref="AQ76:AQ77">
    <cfRule type="cellIs" dxfId="5330" priority="1075" operator="lessThan">
      <formula>0</formula>
    </cfRule>
  </conditionalFormatting>
  <conditionalFormatting sqref="AQ76:AQ77">
    <cfRule type="cellIs" dxfId="5329" priority="1074" operator="lessThan">
      <formula>0</formula>
    </cfRule>
  </conditionalFormatting>
  <conditionalFormatting sqref="AQ76:AQ77">
    <cfRule type="cellIs" dxfId="5328" priority="1073" operator="lessThan">
      <formula>0</formula>
    </cfRule>
  </conditionalFormatting>
  <conditionalFormatting sqref="AQ76:AQ77">
    <cfRule type="cellIs" dxfId="5327" priority="1072" operator="lessThan">
      <formula>0</formula>
    </cfRule>
  </conditionalFormatting>
  <conditionalFormatting sqref="AQ76:AQ77">
    <cfRule type="cellIs" dxfId="5326" priority="1071" operator="lessThan">
      <formula>0</formula>
    </cfRule>
  </conditionalFormatting>
  <conditionalFormatting sqref="AQ74">
    <cfRule type="cellIs" dxfId="5325" priority="1070" operator="lessThan">
      <formula>0</formula>
    </cfRule>
  </conditionalFormatting>
  <conditionalFormatting sqref="AQ74 AQ76:AQ77">
    <cfRule type="cellIs" dxfId="5324" priority="1069" operator="lessThan">
      <formula>0</formula>
    </cfRule>
  </conditionalFormatting>
  <conditionalFormatting sqref="AQ74 AQ76:AQ77">
    <cfRule type="cellIs" dxfId="5323" priority="1068" operator="lessThan">
      <formula>0</formula>
    </cfRule>
  </conditionalFormatting>
  <conditionalFormatting sqref="AQ74 AQ76:AQ77">
    <cfRule type="cellIs" dxfId="5322" priority="1067" operator="lessThan">
      <formula>0</formula>
    </cfRule>
  </conditionalFormatting>
  <conditionalFormatting sqref="AQ74 AQ76:AQ77">
    <cfRule type="cellIs" dxfId="5321" priority="1066" operator="lessThan">
      <formula>0</formula>
    </cfRule>
  </conditionalFormatting>
  <conditionalFormatting sqref="AQ76:AQ77">
    <cfRule type="cellIs" dxfId="5320" priority="1065" operator="lessThan">
      <formula>0</formula>
    </cfRule>
  </conditionalFormatting>
  <conditionalFormatting sqref="AQ76:AQ77">
    <cfRule type="cellIs" dxfId="5319" priority="1064" operator="lessThan">
      <formula>0</formula>
    </cfRule>
  </conditionalFormatting>
  <conditionalFormatting sqref="AQ76:AQ77">
    <cfRule type="cellIs" dxfId="5318" priority="1063" operator="lessThan">
      <formula>0</formula>
    </cfRule>
  </conditionalFormatting>
  <conditionalFormatting sqref="AQ76:AQ77">
    <cfRule type="cellIs" dxfId="5317" priority="1062" operator="lessThan">
      <formula>0</formula>
    </cfRule>
  </conditionalFormatting>
  <conditionalFormatting sqref="Z33">
    <cfRule type="cellIs" dxfId="5316" priority="962" operator="lessThan">
      <formula>0</formula>
    </cfRule>
  </conditionalFormatting>
  <conditionalFormatting sqref="X7">
    <cfRule type="iconSet" priority="961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5315" priority="960" operator="lessThan">
      <formula>0</formula>
    </cfRule>
  </conditionalFormatting>
  <conditionalFormatting sqref="X6:X9">
    <cfRule type="cellIs" dxfId="5314" priority="959" operator="lessThan">
      <formula>0</formula>
    </cfRule>
  </conditionalFormatting>
  <conditionalFormatting sqref="X11 X15 X19 X23 X27 X31 X35 X39 X43 X47 X51 X55 X59 X63 X67 X71 X75 X79 X87">
    <cfRule type="iconSet" priority="958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 X88">
    <cfRule type="cellIs" dxfId="5313" priority="957" operator="lessThan">
      <formula>0</formula>
    </cfRule>
  </conditionalFormatting>
  <conditionalFormatting sqref="X10:X81 X86:X89">
    <cfRule type="cellIs" dxfId="5312" priority="956" operator="lessThan">
      <formula>0</formula>
    </cfRule>
  </conditionalFormatting>
  <conditionalFormatting sqref="AQ59">
    <cfRule type="cellIs" dxfId="5311" priority="955" operator="lessThan">
      <formula>0</formula>
    </cfRule>
  </conditionalFormatting>
  <conditionalFormatting sqref="AQ59">
    <cfRule type="cellIs" dxfId="5310" priority="954" operator="lessThan">
      <formula>0</formula>
    </cfRule>
  </conditionalFormatting>
  <conditionalFormatting sqref="AQ59">
    <cfRule type="cellIs" dxfId="5309" priority="953" operator="lessThan">
      <formula>0</formula>
    </cfRule>
  </conditionalFormatting>
  <conditionalFormatting sqref="AQ59">
    <cfRule type="cellIs" dxfId="5308" priority="952" operator="lessThan">
      <formula>0</formula>
    </cfRule>
  </conditionalFormatting>
  <conditionalFormatting sqref="AQ59">
    <cfRule type="cellIs" dxfId="5307" priority="951" operator="lessThan">
      <formula>0</formula>
    </cfRule>
  </conditionalFormatting>
  <conditionalFormatting sqref="AQ59">
    <cfRule type="cellIs" dxfId="5306" priority="950" operator="lessThan">
      <formula>0</formula>
    </cfRule>
  </conditionalFormatting>
  <conditionalFormatting sqref="AQ59">
    <cfRule type="cellIs" dxfId="5305" priority="949" operator="lessThan">
      <formula>0</formula>
    </cfRule>
  </conditionalFormatting>
  <conditionalFormatting sqref="AQ59">
    <cfRule type="cellIs" dxfId="5304" priority="948" operator="lessThan">
      <formula>0</formula>
    </cfRule>
  </conditionalFormatting>
  <conditionalFormatting sqref="AQ59">
    <cfRule type="cellIs" dxfId="5303" priority="947" operator="lessThan">
      <formula>0</formula>
    </cfRule>
  </conditionalFormatting>
  <conditionalFormatting sqref="AQ59">
    <cfRule type="cellIs" dxfId="5302" priority="946" operator="lessThan">
      <formula>0</formula>
    </cfRule>
  </conditionalFormatting>
  <conditionalFormatting sqref="AQ59">
    <cfRule type="cellIs" dxfId="5301" priority="945" operator="lessThan">
      <formula>0</formula>
    </cfRule>
  </conditionalFormatting>
  <conditionalFormatting sqref="AQ59">
    <cfRule type="cellIs" dxfId="5300" priority="944" operator="lessThan">
      <formula>0</formula>
    </cfRule>
  </conditionalFormatting>
  <conditionalFormatting sqref="AQ59">
    <cfRule type="cellIs" dxfId="5299" priority="943" operator="lessThan">
      <formula>0</formula>
    </cfRule>
  </conditionalFormatting>
  <conditionalFormatting sqref="AQ59">
    <cfRule type="cellIs" dxfId="5298" priority="942" operator="lessThan">
      <formula>0</formula>
    </cfRule>
  </conditionalFormatting>
  <conditionalFormatting sqref="AQ59">
    <cfRule type="cellIs" dxfId="5297" priority="941" operator="lessThan">
      <formula>0</formula>
    </cfRule>
  </conditionalFormatting>
  <conditionalFormatting sqref="AQ59">
    <cfRule type="cellIs" dxfId="5296" priority="940" operator="lessThan">
      <formula>0</formula>
    </cfRule>
  </conditionalFormatting>
  <conditionalFormatting sqref="AQ59">
    <cfRule type="cellIs" dxfId="5295" priority="939" operator="lessThan">
      <formula>0</formula>
    </cfRule>
  </conditionalFormatting>
  <conditionalFormatting sqref="AQ59">
    <cfRule type="cellIs" dxfId="5294" priority="938" operator="lessThan">
      <formula>0</formula>
    </cfRule>
  </conditionalFormatting>
  <conditionalFormatting sqref="AQ59">
    <cfRule type="cellIs" dxfId="5293" priority="937" operator="lessThan">
      <formula>0</formula>
    </cfRule>
  </conditionalFormatting>
  <conditionalFormatting sqref="AQ59">
    <cfRule type="cellIs" dxfId="5292" priority="936" operator="lessThan">
      <formula>0</formula>
    </cfRule>
  </conditionalFormatting>
  <conditionalFormatting sqref="AQ59">
    <cfRule type="cellIs" dxfId="5291" priority="935" operator="lessThan">
      <formula>0</formula>
    </cfRule>
  </conditionalFormatting>
  <conditionalFormatting sqref="AQ59">
    <cfRule type="cellIs" dxfId="5290" priority="934" operator="lessThan">
      <formula>0</formula>
    </cfRule>
  </conditionalFormatting>
  <conditionalFormatting sqref="AQ59">
    <cfRule type="cellIs" dxfId="5289" priority="933" operator="lessThan">
      <formula>0</formula>
    </cfRule>
  </conditionalFormatting>
  <conditionalFormatting sqref="AQ59">
    <cfRule type="cellIs" dxfId="5288" priority="932" operator="lessThan">
      <formula>0</formula>
    </cfRule>
  </conditionalFormatting>
  <conditionalFormatting sqref="AQ59">
    <cfRule type="cellIs" dxfId="5287" priority="931" operator="lessThan">
      <formula>0</formula>
    </cfRule>
  </conditionalFormatting>
  <conditionalFormatting sqref="AQ59">
    <cfRule type="cellIs" dxfId="5286" priority="930" operator="lessThan">
      <formula>0</formula>
    </cfRule>
  </conditionalFormatting>
  <conditionalFormatting sqref="AQ59">
    <cfRule type="cellIs" dxfId="5285" priority="929" operator="lessThan">
      <formula>0</formula>
    </cfRule>
  </conditionalFormatting>
  <conditionalFormatting sqref="AQ59">
    <cfRule type="cellIs" dxfId="5284" priority="928" operator="lessThan">
      <formula>0</formula>
    </cfRule>
  </conditionalFormatting>
  <conditionalFormatting sqref="AQ59">
    <cfRule type="cellIs" dxfId="5283" priority="927" operator="lessThan">
      <formula>0</formula>
    </cfRule>
  </conditionalFormatting>
  <conditionalFormatting sqref="AQ59">
    <cfRule type="cellIs" dxfId="5282" priority="926" operator="lessThan">
      <formula>0</formula>
    </cfRule>
  </conditionalFormatting>
  <conditionalFormatting sqref="AQ59">
    <cfRule type="cellIs" dxfId="5281" priority="925" operator="lessThan">
      <formula>0</formula>
    </cfRule>
  </conditionalFormatting>
  <conditionalFormatting sqref="AQ59">
    <cfRule type="cellIs" dxfId="5280" priority="924" operator="lessThan">
      <formula>0</formula>
    </cfRule>
  </conditionalFormatting>
  <conditionalFormatting sqref="AQ59">
    <cfRule type="cellIs" dxfId="5279" priority="923" operator="lessThan">
      <formula>0</formula>
    </cfRule>
  </conditionalFormatting>
  <conditionalFormatting sqref="AQ59">
    <cfRule type="cellIs" dxfId="5278" priority="922" operator="lessThan">
      <formula>0</formula>
    </cfRule>
  </conditionalFormatting>
  <conditionalFormatting sqref="AQ59">
    <cfRule type="cellIs" dxfId="5277" priority="921" operator="lessThan">
      <formula>0</formula>
    </cfRule>
  </conditionalFormatting>
  <conditionalFormatting sqref="AQ59">
    <cfRule type="cellIs" dxfId="5276" priority="920" operator="lessThan">
      <formula>0</formula>
    </cfRule>
  </conditionalFormatting>
  <conditionalFormatting sqref="AQ59">
    <cfRule type="cellIs" dxfId="5275" priority="919" operator="lessThan">
      <formula>0</formula>
    </cfRule>
  </conditionalFormatting>
  <conditionalFormatting sqref="AQ59">
    <cfRule type="cellIs" dxfId="5274" priority="918" operator="lessThan">
      <formula>0</formula>
    </cfRule>
  </conditionalFormatting>
  <conditionalFormatting sqref="AQ59">
    <cfRule type="cellIs" dxfId="5273" priority="917" operator="lessThan">
      <formula>0</formula>
    </cfRule>
  </conditionalFormatting>
  <conditionalFormatting sqref="AQ59">
    <cfRule type="cellIs" dxfId="5272" priority="916" operator="lessThan">
      <formula>0</formula>
    </cfRule>
  </conditionalFormatting>
  <conditionalFormatting sqref="AQ59">
    <cfRule type="cellIs" dxfId="5271" priority="915" operator="lessThan">
      <formula>0</formula>
    </cfRule>
  </conditionalFormatting>
  <conditionalFormatting sqref="AQ59">
    <cfRule type="cellIs" dxfId="5270" priority="914" operator="lessThan">
      <formula>0</formula>
    </cfRule>
  </conditionalFormatting>
  <conditionalFormatting sqref="AQ59">
    <cfRule type="cellIs" dxfId="5269" priority="913" operator="lessThan">
      <formula>0</formula>
    </cfRule>
  </conditionalFormatting>
  <conditionalFormatting sqref="AQ59">
    <cfRule type="cellIs" dxfId="5268" priority="912" operator="lessThan">
      <formula>0</formula>
    </cfRule>
  </conditionalFormatting>
  <conditionalFormatting sqref="AQ59">
    <cfRule type="cellIs" dxfId="5267" priority="911" operator="lessThan">
      <formula>0</formula>
    </cfRule>
  </conditionalFormatting>
  <conditionalFormatting sqref="AQ59">
    <cfRule type="cellIs" dxfId="5266" priority="910" operator="lessThan">
      <formula>0</formula>
    </cfRule>
  </conditionalFormatting>
  <conditionalFormatting sqref="AQ59">
    <cfRule type="cellIs" dxfId="5265" priority="909" operator="lessThan">
      <formula>0</formula>
    </cfRule>
  </conditionalFormatting>
  <conditionalFormatting sqref="AQ59">
    <cfRule type="cellIs" dxfId="5264" priority="908" operator="lessThan">
      <formula>0</formula>
    </cfRule>
  </conditionalFormatting>
  <conditionalFormatting sqref="AQ59">
    <cfRule type="cellIs" dxfId="5263" priority="907" operator="lessThan">
      <formula>0</formula>
    </cfRule>
  </conditionalFormatting>
  <conditionalFormatting sqref="AQ59">
    <cfRule type="cellIs" dxfId="5262" priority="906" operator="lessThan">
      <formula>0</formula>
    </cfRule>
  </conditionalFormatting>
  <conditionalFormatting sqref="AQ59">
    <cfRule type="cellIs" dxfId="5261" priority="905" operator="lessThan">
      <formula>0</formula>
    </cfRule>
  </conditionalFormatting>
  <conditionalFormatting sqref="AQ59">
    <cfRule type="cellIs" dxfId="5260" priority="904" operator="lessThan">
      <formula>0</formula>
    </cfRule>
  </conditionalFormatting>
  <conditionalFormatting sqref="AQ59">
    <cfRule type="cellIs" dxfId="5259" priority="903" operator="lessThan">
      <formula>0</formula>
    </cfRule>
  </conditionalFormatting>
  <conditionalFormatting sqref="AQ59">
    <cfRule type="cellIs" dxfId="5258" priority="902" operator="lessThan">
      <formula>0</formula>
    </cfRule>
  </conditionalFormatting>
  <conditionalFormatting sqref="AQ59">
    <cfRule type="cellIs" dxfId="5257" priority="901" operator="lessThan">
      <formula>0</formula>
    </cfRule>
  </conditionalFormatting>
  <conditionalFormatting sqref="AQ59">
    <cfRule type="cellIs" dxfId="5256" priority="900" operator="lessThan">
      <formula>0</formula>
    </cfRule>
  </conditionalFormatting>
  <conditionalFormatting sqref="AQ59">
    <cfRule type="cellIs" dxfId="5255" priority="899" operator="lessThan">
      <formula>0</formula>
    </cfRule>
  </conditionalFormatting>
  <conditionalFormatting sqref="AQ59">
    <cfRule type="cellIs" dxfId="5254" priority="898" operator="lessThan">
      <formula>0</formula>
    </cfRule>
  </conditionalFormatting>
  <conditionalFormatting sqref="AQ59">
    <cfRule type="cellIs" dxfId="5253" priority="897" operator="lessThan">
      <formula>0</formula>
    </cfRule>
  </conditionalFormatting>
  <conditionalFormatting sqref="AQ59">
    <cfRule type="cellIs" dxfId="5252" priority="896" operator="lessThan">
      <formula>0</formula>
    </cfRule>
  </conditionalFormatting>
  <conditionalFormatting sqref="AQ59">
    <cfRule type="cellIs" dxfId="5251" priority="895" operator="lessThan">
      <formula>0</formula>
    </cfRule>
  </conditionalFormatting>
  <conditionalFormatting sqref="AQ59">
    <cfRule type="cellIs" dxfId="5250" priority="894" operator="lessThan">
      <formula>0</formula>
    </cfRule>
  </conditionalFormatting>
  <conditionalFormatting sqref="AQ59">
    <cfRule type="cellIs" dxfId="5249" priority="893" operator="lessThan">
      <formula>0</formula>
    </cfRule>
  </conditionalFormatting>
  <conditionalFormatting sqref="AQ59">
    <cfRule type="cellIs" dxfId="5248" priority="892" operator="lessThan">
      <formula>0</formula>
    </cfRule>
  </conditionalFormatting>
  <conditionalFormatting sqref="AQ59">
    <cfRule type="cellIs" dxfId="5247" priority="891" operator="lessThan">
      <formula>0</formula>
    </cfRule>
  </conditionalFormatting>
  <conditionalFormatting sqref="AQ59">
    <cfRule type="cellIs" dxfId="5246" priority="890" operator="lessThan">
      <formula>0</formula>
    </cfRule>
  </conditionalFormatting>
  <conditionalFormatting sqref="AQ59">
    <cfRule type="cellIs" dxfId="5245" priority="889" operator="lessThan">
      <formula>0</formula>
    </cfRule>
  </conditionalFormatting>
  <conditionalFormatting sqref="AQ59">
    <cfRule type="cellIs" dxfId="5244" priority="888" operator="lessThan">
      <formula>0</formula>
    </cfRule>
  </conditionalFormatting>
  <conditionalFormatting sqref="AQ59">
    <cfRule type="cellIs" dxfId="5243" priority="887" operator="lessThan">
      <formula>0</formula>
    </cfRule>
  </conditionalFormatting>
  <conditionalFormatting sqref="AQ59">
    <cfRule type="cellIs" dxfId="5242" priority="886" operator="lessThan">
      <formula>0</formula>
    </cfRule>
  </conditionalFormatting>
  <conditionalFormatting sqref="AQ59">
    <cfRule type="cellIs" dxfId="5241" priority="885" operator="lessThan">
      <formula>0</formula>
    </cfRule>
  </conditionalFormatting>
  <conditionalFormatting sqref="AQ59">
    <cfRule type="cellIs" dxfId="5240" priority="884" operator="lessThan">
      <formula>0</formula>
    </cfRule>
  </conditionalFormatting>
  <conditionalFormatting sqref="AQ59">
    <cfRule type="cellIs" dxfId="5239" priority="883" operator="lessThan">
      <formula>0</formula>
    </cfRule>
  </conditionalFormatting>
  <conditionalFormatting sqref="AQ59">
    <cfRule type="cellIs" dxfId="5238" priority="882" operator="lessThan">
      <formula>0</formula>
    </cfRule>
  </conditionalFormatting>
  <conditionalFormatting sqref="AQ59">
    <cfRule type="cellIs" dxfId="5237" priority="881" operator="lessThan">
      <formula>0</formula>
    </cfRule>
  </conditionalFormatting>
  <conditionalFormatting sqref="AQ59">
    <cfRule type="cellIs" dxfId="5236" priority="880" operator="lessThan">
      <formula>0</formula>
    </cfRule>
  </conditionalFormatting>
  <conditionalFormatting sqref="AQ59">
    <cfRule type="cellIs" dxfId="5235" priority="879" operator="lessThan">
      <formula>0</formula>
    </cfRule>
  </conditionalFormatting>
  <conditionalFormatting sqref="AQ59">
    <cfRule type="cellIs" dxfId="5234" priority="878" operator="lessThan">
      <formula>0</formula>
    </cfRule>
  </conditionalFormatting>
  <conditionalFormatting sqref="AQ59">
    <cfRule type="cellIs" dxfId="5233" priority="877" operator="lessThan">
      <formula>0</formula>
    </cfRule>
  </conditionalFormatting>
  <conditionalFormatting sqref="AQ59">
    <cfRule type="cellIs" dxfId="5232" priority="876" operator="lessThan">
      <formula>0</formula>
    </cfRule>
  </conditionalFormatting>
  <conditionalFormatting sqref="AQ59">
    <cfRule type="cellIs" dxfId="5231" priority="860" operator="lessThan">
      <formula>0</formula>
    </cfRule>
  </conditionalFormatting>
  <conditionalFormatting sqref="AQ59">
    <cfRule type="cellIs" dxfId="5230" priority="875" operator="lessThan">
      <formula>0</formula>
    </cfRule>
  </conditionalFormatting>
  <conditionalFormatting sqref="AQ59">
    <cfRule type="cellIs" dxfId="5229" priority="874" operator="lessThan">
      <formula>0</formula>
    </cfRule>
  </conditionalFormatting>
  <conditionalFormatting sqref="AQ59">
    <cfRule type="cellIs" dxfId="5228" priority="873" operator="lessThan">
      <formula>0</formula>
    </cfRule>
  </conditionalFormatting>
  <conditionalFormatting sqref="AQ59">
    <cfRule type="cellIs" dxfId="5227" priority="872" operator="lessThan">
      <formula>0</formula>
    </cfRule>
  </conditionalFormatting>
  <conditionalFormatting sqref="AQ59">
    <cfRule type="cellIs" dxfId="5226" priority="871" operator="lessThan">
      <formula>0</formula>
    </cfRule>
  </conditionalFormatting>
  <conditionalFormatting sqref="AQ59">
    <cfRule type="cellIs" dxfId="5225" priority="870" operator="lessThan">
      <formula>0</formula>
    </cfRule>
  </conditionalFormatting>
  <conditionalFormatting sqref="AQ59">
    <cfRule type="cellIs" dxfId="5224" priority="869" operator="lessThan">
      <formula>0</formula>
    </cfRule>
  </conditionalFormatting>
  <conditionalFormatting sqref="AQ59">
    <cfRule type="cellIs" dxfId="5223" priority="868" operator="lessThan">
      <formula>0</formula>
    </cfRule>
  </conditionalFormatting>
  <conditionalFormatting sqref="AQ59">
    <cfRule type="cellIs" dxfId="5222" priority="867" operator="lessThan">
      <formula>0</formula>
    </cfRule>
  </conditionalFormatting>
  <conditionalFormatting sqref="AQ59">
    <cfRule type="cellIs" dxfId="5221" priority="866" operator="lessThan">
      <formula>0</formula>
    </cfRule>
  </conditionalFormatting>
  <conditionalFormatting sqref="AQ59">
    <cfRule type="cellIs" dxfId="5220" priority="865" operator="lessThan">
      <formula>0</formula>
    </cfRule>
  </conditionalFormatting>
  <conditionalFormatting sqref="AQ59">
    <cfRule type="cellIs" dxfId="5219" priority="864" operator="lessThan">
      <formula>0</formula>
    </cfRule>
  </conditionalFormatting>
  <conditionalFormatting sqref="AQ59">
    <cfRule type="cellIs" dxfId="5218" priority="863" operator="lessThan">
      <formula>0</formula>
    </cfRule>
  </conditionalFormatting>
  <conditionalFormatting sqref="AQ59">
    <cfRule type="cellIs" dxfId="5217" priority="862" operator="lessThan">
      <formula>0</formula>
    </cfRule>
  </conditionalFormatting>
  <conditionalFormatting sqref="AQ59">
    <cfRule type="cellIs" dxfId="5216" priority="861" operator="lessThan">
      <formula>0</formula>
    </cfRule>
  </conditionalFormatting>
  <conditionalFormatting sqref="AQ75">
    <cfRule type="cellIs" dxfId="5215" priority="859" operator="lessThan">
      <formula>0</formula>
    </cfRule>
  </conditionalFormatting>
  <conditionalFormatting sqref="AQ75">
    <cfRule type="cellIs" dxfId="5214" priority="858" operator="lessThan">
      <formula>0</formula>
    </cfRule>
  </conditionalFormatting>
  <conditionalFormatting sqref="AQ75">
    <cfRule type="cellIs" dxfId="5213" priority="857" operator="lessThan">
      <formula>0</formula>
    </cfRule>
  </conditionalFormatting>
  <conditionalFormatting sqref="AQ75">
    <cfRule type="cellIs" dxfId="5212" priority="856" operator="lessThan">
      <formula>0</formula>
    </cfRule>
  </conditionalFormatting>
  <conditionalFormatting sqref="AQ75">
    <cfRule type="cellIs" dxfId="5211" priority="855" operator="lessThan">
      <formula>0</formula>
    </cfRule>
  </conditionalFormatting>
  <conditionalFormatting sqref="AQ75">
    <cfRule type="cellIs" dxfId="5210" priority="854" operator="lessThan">
      <formula>0</formula>
    </cfRule>
  </conditionalFormatting>
  <conditionalFormatting sqref="AQ75">
    <cfRule type="cellIs" dxfId="5209" priority="853" operator="lessThan">
      <formula>0</formula>
    </cfRule>
  </conditionalFormatting>
  <conditionalFormatting sqref="AQ75">
    <cfRule type="cellIs" dxfId="5208" priority="852" operator="lessThan">
      <formula>0</formula>
    </cfRule>
  </conditionalFormatting>
  <conditionalFormatting sqref="AQ75">
    <cfRule type="cellIs" dxfId="5207" priority="851" operator="lessThan">
      <formula>0</formula>
    </cfRule>
  </conditionalFormatting>
  <conditionalFormatting sqref="AQ75">
    <cfRule type="cellIs" dxfId="5206" priority="850" operator="lessThan">
      <formula>0</formula>
    </cfRule>
  </conditionalFormatting>
  <conditionalFormatting sqref="AQ75">
    <cfRule type="cellIs" dxfId="5205" priority="849" operator="lessThan">
      <formula>0</formula>
    </cfRule>
  </conditionalFormatting>
  <conditionalFormatting sqref="AQ75">
    <cfRule type="cellIs" dxfId="5204" priority="848" operator="lessThan">
      <formula>0</formula>
    </cfRule>
  </conditionalFormatting>
  <conditionalFormatting sqref="AQ75">
    <cfRule type="cellIs" dxfId="5203" priority="847" operator="lessThan">
      <formula>0</formula>
    </cfRule>
  </conditionalFormatting>
  <conditionalFormatting sqref="AQ75">
    <cfRule type="cellIs" dxfId="5202" priority="846" operator="lessThan">
      <formula>0</formula>
    </cfRule>
  </conditionalFormatting>
  <conditionalFormatting sqref="AQ75">
    <cfRule type="cellIs" dxfId="5201" priority="845" operator="lessThan">
      <formula>0</formula>
    </cfRule>
  </conditionalFormatting>
  <conditionalFormatting sqref="AQ75">
    <cfRule type="cellIs" dxfId="5200" priority="844" operator="lessThan">
      <formula>0</formula>
    </cfRule>
  </conditionalFormatting>
  <conditionalFormatting sqref="AQ75">
    <cfRule type="cellIs" dxfId="5199" priority="843" operator="lessThan">
      <formula>0</formula>
    </cfRule>
  </conditionalFormatting>
  <conditionalFormatting sqref="AQ75">
    <cfRule type="cellIs" dxfId="5198" priority="842" operator="lessThan">
      <formula>0</formula>
    </cfRule>
  </conditionalFormatting>
  <conditionalFormatting sqref="AQ75">
    <cfRule type="cellIs" dxfId="5197" priority="841" operator="lessThan">
      <formula>0</formula>
    </cfRule>
  </conditionalFormatting>
  <conditionalFormatting sqref="AQ75">
    <cfRule type="cellIs" dxfId="5196" priority="840" operator="lessThan">
      <formula>0</formula>
    </cfRule>
  </conditionalFormatting>
  <conditionalFormatting sqref="AQ75">
    <cfRule type="cellIs" dxfId="5195" priority="839" operator="lessThan">
      <formula>0</formula>
    </cfRule>
  </conditionalFormatting>
  <conditionalFormatting sqref="AQ75">
    <cfRule type="cellIs" dxfId="5194" priority="838" operator="lessThan">
      <formula>0</formula>
    </cfRule>
  </conditionalFormatting>
  <conditionalFormatting sqref="AQ75">
    <cfRule type="cellIs" dxfId="5193" priority="837" operator="lessThan">
      <formula>0</formula>
    </cfRule>
  </conditionalFormatting>
  <conditionalFormatting sqref="AQ75">
    <cfRule type="cellIs" dxfId="5192" priority="836" operator="lessThan">
      <formula>0</formula>
    </cfRule>
  </conditionalFormatting>
  <conditionalFormatting sqref="AQ75">
    <cfRule type="cellIs" dxfId="5191" priority="835" operator="lessThan">
      <formula>0</formula>
    </cfRule>
  </conditionalFormatting>
  <conditionalFormatting sqref="AQ75">
    <cfRule type="cellIs" dxfId="5190" priority="834" operator="lessThan">
      <formula>0</formula>
    </cfRule>
  </conditionalFormatting>
  <conditionalFormatting sqref="AQ75">
    <cfRule type="cellIs" dxfId="5189" priority="833" operator="lessThan">
      <formula>0</formula>
    </cfRule>
  </conditionalFormatting>
  <conditionalFormatting sqref="AQ75">
    <cfRule type="cellIs" dxfId="5188" priority="832" operator="lessThan">
      <formula>0</formula>
    </cfRule>
  </conditionalFormatting>
  <conditionalFormatting sqref="AQ75">
    <cfRule type="cellIs" dxfId="5187" priority="831" operator="lessThan">
      <formula>0</formula>
    </cfRule>
  </conditionalFormatting>
  <conditionalFormatting sqref="AQ75">
    <cfRule type="cellIs" dxfId="5186" priority="830" operator="lessThan">
      <formula>0</formula>
    </cfRule>
  </conditionalFormatting>
  <conditionalFormatting sqref="AQ75">
    <cfRule type="cellIs" dxfId="5185" priority="829" operator="lessThan">
      <formula>0</formula>
    </cfRule>
  </conditionalFormatting>
  <conditionalFormatting sqref="AQ75">
    <cfRule type="cellIs" dxfId="5184" priority="828" operator="lessThan">
      <formula>0</formula>
    </cfRule>
  </conditionalFormatting>
  <conditionalFormatting sqref="AQ75">
    <cfRule type="cellIs" dxfId="5183" priority="827" operator="lessThan">
      <formula>0</formula>
    </cfRule>
  </conditionalFormatting>
  <conditionalFormatting sqref="AQ75">
    <cfRule type="cellIs" dxfId="5182" priority="826" operator="lessThan">
      <formula>0</formula>
    </cfRule>
  </conditionalFormatting>
  <conditionalFormatting sqref="AQ75">
    <cfRule type="cellIs" dxfId="5181" priority="825" operator="lessThan">
      <formula>0</formula>
    </cfRule>
  </conditionalFormatting>
  <conditionalFormatting sqref="AQ75">
    <cfRule type="cellIs" dxfId="5180" priority="824" operator="lessThan">
      <formula>0</formula>
    </cfRule>
  </conditionalFormatting>
  <conditionalFormatting sqref="AQ75">
    <cfRule type="cellIs" dxfId="5179" priority="823" operator="lessThan">
      <formula>0</formula>
    </cfRule>
  </conditionalFormatting>
  <conditionalFormatting sqref="AQ75">
    <cfRule type="cellIs" dxfId="5178" priority="822" operator="lessThan">
      <formula>0</formula>
    </cfRule>
  </conditionalFormatting>
  <conditionalFormatting sqref="AQ75">
    <cfRule type="cellIs" dxfId="5177" priority="821" operator="lessThan">
      <formula>0</formula>
    </cfRule>
  </conditionalFormatting>
  <conditionalFormatting sqref="AQ75">
    <cfRule type="cellIs" dxfId="5176" priority="820" operator="lessThan">
      <formula>0</formula>
    </cfRule>
  </conditionalFormatting>
  <conditionalFormatting sqref="AQ75">
    <cfRule type="cellIs" dxfId="5175" priority="819" operator="lessThan">
      <formula>0</formula>
    </cfRule>
  </conditionalFormatting>
  <conditionalFormatting sqref="AQ75">
    <cfRule type="cellIs" dxfId="5174" priority="818" operator="lessThan">
      <formula>0</formula>
    </cfRule>
  </conditionalFormatting>
  <conditionalFormatting sqref="AQ75">
    <cfRule type="cellIs" dxfId="5173" priority="817" operator="lessThan">
      <formula>0</formula>
    </cfRule>
  </conditionalFormatting>
  <conditionalFormatting sqref="AQ75">
    <cfRule type="cellIs" dxfId="5172" priority="816" operator="lessThan">
      <formula>0</formula>
    </cfRule>
  </conditionalFormatting>
  <conditionalFormatting sqref="AQ75">
    <cfRule type="cellIs" dxfId="5171" priority="815" operator="lessThan">
      <formula>0</formula>
    </cfRule>
  </conditionalFormatting>
  <conditionalFormatting sqref="AQ75">
    <cfRule type="cellIs" dxfId="5170" priority="814" operator="lessThan">
      <formula>0</formula>
    </cfRule>
  </conditionalFormatting>
  <conditionalFormatting sqref="AQ75">
    <cfRule type="cellIs" dxfId="5169" priority="813" operator="lessThan">
      <formula>0</formula>
    </cfRule>
  </conditionalFormatting>
  <conditionalFormatting sqref="AQ75">
    <cfRule type="cellIs" dxfId="5168" priority="812" operator="lessThan">
      <formula>0</formula>
    </cfRule>
  </conditionalFormatting>
  <conditionalFormatting sqref="AQ75">
    <cfRule type="cellIs" dxfId="5167" priority="811" operator="lessThan">
      <formula>0</formula>
    </cfRule>
  </conditionalFormatting>
  <conditionalFormatting sqref="AQ75">
    <cfRule type="cellIs" dxfId="5166" priority="810" operator="lessThan">
      <formula>0</formula>
    </cfRule>
  </conditionalFormatting>
  <conditionalFormatting sqref="AQ75">
    <cfRule type="cellIs" dxfId="5165" priority="809" operator="lessThan">
      <formula>0</formula>
    </cfRule>
  </conditionalFormatting>
  <conditionalFormatting sqref="AQ75">
    <cfRule type="cellIs" dxfId="5164" priority="808" operator="lessThan">
      <formula>0</formula>
    </cfRule>
  </conditionalFormatting>
  <conditionalFormatting sqref="AQ75">
    <cfRule type="cellIs" dxfId="5163" priority="807" operator="lessThan">
      <formula>0</formula>
    </cfRule>
  </conditionalFormatting>
  <conditionalFormatting sqref="AQ75">
    <cfRule type="cellIs" dxfId="5162" priority="806" operator="lessThan">
      <formula>0</formula>
    </cfRule>
  </conditionalFormatting>
  <conditionalFormatting sqref="AQ75">
    <cfRule type="cellIs" dxfId="5161" priority="805" operator="lessThan">
      <formula>0</formula>
    </cfRule>
  </conditionalFormatting>
  <conditionalFormatting sqref="AQ75">
    <cfRule type="cellIs" dxfId="5160" priority="804" operator="lessThan">
      <formula>0</formula>
    </cfRule>
  </conditionalFormatting>
  <conditionalFormatting sqref="AQ75">
    <cfRule type="cellIs" dxfId="5159" priority="803" operator="lessThan">
      <formula>0</formula>
    </cfRule>
  </conditionalFormatting>
  <conditionalFormatting sqref="AQ75">
    <cfRule type="cellIs" dxfId="5158" priority="802" operator="lessThan">
      <formula>0</formula>
    </cfRule>
  </conditionalFormatting>
  <conditionalFormatting sqref="AQ75">
    <cfRule type="cellIs" dxfId="5157" priority="801" operator="lessThan">
      <formula>0</formula>
    </cfRule>
  </conditionalFormatting>
  <conditionalFormatting sqref="AQ75">
    <cfRule type="cellIs" dxfId="5156" priority="800" operator="lessThan">
      <formula>0</formula>
    </cfRule>
  </conditionalFormatting>
  <conditionalFormatting sqref="AQ75">
    <cfRule type="cellIs" dxfId="5155" priority="799" operator="lessThan">
      <formula>0</formula>
    </cfRule>
  </conditionalFormatting>
  <conditionalFormatting sqref="AQ75">
    <cfRule type="cellIs" dxfId="5154" priority="798" operator="lessThan">
      <formula>0</formula>
    </cfRule>
  </conditionalFormatting>
  <conditionalFormatting sqref="AQ75">
    <cfRule type="cellIs" dxfId="5153" priority="797" operator="lessThan">
      <formula>0</formula>
    </cfRule>
  </conditionalFormatting>
  <conditionalFormatting sqref="AQ75">
    <cfRule type="cellIs" dxfId="5152" priority="796" operator="lessThan">
      <formula>0</formula>
    </cfRule>
  </conditionalFormatting>
  <conditionalFormatting sqref="AQ75">
    <cfRule type="cellIs" dxfId="5151" priority="795" operator="lessThan">
      <formula>0</formula>
    </cfRule>
  </conditionalFormatting>
  <conditionalFormatting sqref="AQ75">
    <cfRule type="cellIs" dxfId="5150" priority="794" operator="lessThan">
      <formula>0</formula>
    </cfRule>
  </conditionalFormatting>
  <conditionalFormatting sqref="AQ75">
    <cfRule type="cellIs" dxfId="5149" priority="793" operator="lessThan">
      <formula>0</formula>
    </cfRule>
  </conditionalFormatting>
  <conditionalFormatting sqref="AQ75">
    <cfRule type="cellIs" dxfId="5148" priority="792" operator="lessThan">
      <formula>0</formula>
    </cfRule>
  </conditionalFormatting>
  <conditionalFormatting sqref="AQ75">
    <cfRule type="cellIs" dxfId="5147" priority="791" operator="lessThan">
      <formula>0</formula>
    </cfRule>
  </conditionalFormatting>
  <conditionalFormatting sqref="AQ75">
    <cfRule type="cellIs" dxfId="5146" priority="790" operator="lessThan">
      <formula>0</formula>
    </cfRule>
  </conditionalFormatting>
  <conditionalFormatting sqref="AQ75">
    <cfRule type="cellIs" dxfId="5145" priority="789" operator="lessThan">
      <formula>0</formula>
    </cfRule>
  </conditionalFormatting>
  <conditionalFormatting sqref="AQ75">
    <cfRule type="cellIs" dxfId="5144" priority="788" operator="lessThan">
      <formula>0</formula>
    </cfRule>
  </conditionalFormatting>
  <conditionalFormatting sqref="AQ75">
    <cfRule type="cellIs" dxfId="5143" priority="787" operator="lessThan">
      <formula>0</formula>
    </cfRule>
  </conditionalFormatting>
  <conditionalFormatting sqref="AQ75">
    <cfRule type="cellIs" dxfId="5142" priority="786" operator="lessThan">
      <formula>0</formula>
    </cfRule>
  </conditionalFormatting>
  <conditionalFormatting sqref="AQ75">
    <cfRule type="cellIs" dxfId="5141" priority="785" operator="lessThan">
      <formula>0</formula>
    </cfRule>
  </conditionalFormatting>
  <conditionalFormatting sqref="AQ75">
    <cfRule type="cellIs" dxfId="5140" priority="784" operator="lessThan">
      <formula>0</formula>
    </cfRule>
  </conditionalFormatting>
  <conditionalFormatting sqref="AQ75">
    <cfRule type="cellIs" dxfId="5139" priority="783" operator="lessThan">
      <formula>0</formula>
    </cfRule>
  </conditionalFormatting>
  <conditionalFormatting sqref="AQ75">
    <cfRule type="cellIs" dxfId="5138" priority="782" operator="lessThan">
      <formula>0</formula>
    </cfRule>
  </conditionalFormatting>
  <conditionalFormatting sqref="AQ75">
    <cfRule type="cellIs" dxfId="5137" priority="781" operator="lessThan">
      <formula>0</formula>
    </cfRule>
  </conditionalFormatting>
  <conditionalFormatting sqref="AQ75">
    <cfRule type="cellIs" dxfId="5136" priority="780" operator="lessThan">
      <formula>0</formula>
    </cfRule>
  </conditionalFormatting>
  <conditionalFormatting sqref="AQ75">
    <cfRule type="cellIs" dxfId="5135" priority="764" operator="lessThan">
      <formula>0</formula>
    </cfRule>
  </conditionalFormatting>
  <conditionalFormatting sqref="AQ75">
    <cfRule type="cellIs" dxfId="5134" priority="779" operator="lessThan">
      <formula>0</formula>
    </cfRule>
  </conditionalFormatting>
  <conditionalFormatting sqref="AQ75">
    <cfRule type="cellIs" dxfId="5133" priority="778" operator="lessThan">
      <formula>0</formula>
    </cfRule>
  </conditionalFormatting>
  <conditionalFormatting sqref="AQ75">
    <cfRule type="cellIs" dxfId="5132" priority="777" operator="lessThan">
      <formula>0</formula>
    </cfRule>
  </conditionalFormatting>
  <conditionalFormatting sqref="AQ75">
    <cfRule type="cellIs" dxfId="5131" priority="776" operator="lessThan">
      <formula>0</formula>
    </cfRule>
  </conditionalFormatting>
  <conditionalFormatting sqref="AQ75">
    <cfRule type="cellIs" dxfId="5130" priority="775" operator="lessThan">
      <formula>0</formula>
    </cfRule>
  </conditionalFormatting>
  <conditionalFormatting sqref="AQ75">
    <cfRule type="cellIs" dxfId="5129" priority="774" operator="lessThan">
      <formula>0</formula>
    </cfRule>
  </conditionalFormatting>
  <conditionalFormatting sqref="AQ75">
    <cfRule type="cellIs" dxfId="5128" priority="773" operator="lessThan">
      <formula>0</formula>
    </cfRule>
  </conditionalFormatting>
  <conditionalFormatting sqref="AQ75">
    <cfRule type="cellIs" dxfId="5127" priority="772" operator="lessThan">
      <formula>0</formula>
    </cfRule>
  </conditionalFormatting>
  <conditionalFormatting sqref="AQ75">
    <cfRule type="cellIs" dxfId="5126" priority="771" operator="lessThan">
      <formula>0</formula>
    </cfRule>
  </conditionalFormatting>
  <conditionalFormatting sqref="AQ75">
    <cfRule type="cellIs" dxfId="5125" priority="770" operator="lessThan">
      <formula>0</formula>
    </cfRule>
  </conditionalFormatting>
  <conditionalFormatting sqref="AQ75">
    <cfRule type="cellIs" dxfId="5124" priority="769" operator="lessThan">
      <formula>0</formula>
    </cfRule>
  </conditionalFormatting>
  <conditionalFormatting sqref="AQ75">
    <cfRule type="cellIs" dxfId="5123" priority="768" operator="lessThan">
      <formula>0</formula>
    </cfRule>
  </conditionalFormatting>
  <conditionalFormatting sqref="AQ75">
    <cfRule type="cellIs" dxfId="5122" priority="767" operator="lessThan">
      <formula>0</formula>
    </cfRule>
  </conditionalFormatting>
  <conditionalFormatting sqref="AQ75">
    <cfRule type="cellIs" dxfId="5121" priority="766" operator="lessThan">
      <formula>0</formula>
    </cfRule>
  </conditionalFormatting>
  <conditionalFormatting sqref="AQ75">
    <cfRule type="cellIs" dxfId="5120" priority="765" operator="lessThan">
      <formula>0</formula>
    </cfRule>
  </conditionalFormatting>
  <conditionalFormatting sqref="AQ75">
    <cfRule type="cellIs" dxfId="5119" priority="763" operator="lessThan">
      <formula>0</formula>
    </cfRule>
  </conditionalFormatting>
  <conditionalFormatting sqref="AQ75">
    <cfRule type="cellIs" dxfId="5118" priority="762" operator="lessThan">
      <formula>0</formula>
    </cfRule>
  </conditionalFormatting>
  <conditionalFormatting sqref="AQ75">
    <cfRule type="cellIs" dxfId="5117" priority="761" operator="lessThan">
      <formula>0</formula>
    </cfRule>
  </conditionalFormatting>
  <conditionalFormatting sqref="AQ75">
    <cfRule type="cellIs" dxfId="5116" priority="760" operator="lessThan">
      <formula>0</formula>
    </cfRule>
  </conditionalFormatting>
  <conditionalFormatting sqref="AQ75">
    <cfRule type="cellIs" dxfId="5115" priority="759" operator="lessThan">
      <formula>0</formula>
    </cfRule>
  </conditionalFormatting>
  <conditionalFormatting sqref="AQ75">
    <cfRule type="cellIs" dxfId="5114" priority="758" operator="lessThan">
      <formula>0</formula>
    </cfRule>
  </conditionalFormatting>
  <conditionalFormatting sqref="AQ75">
    <cfRule type="cellIs" dxfId="5113" priority="757" operator="lessThan">
      <formula>0</formula>
    </cfRule>
  </conditionalFormatting>
  <conditionalFormatting sqref="AQ75">
    <cfRule type="cellIs" dxfId="5112" priority="756" operator="lessThan">
      <formula>0</formula>
    </cfRule>
  </conditionalFormatting>
  <conditionalFormatting sqref="AQ75">
    <cfRule type="cellIs" dxfId="5111" priority="755" operator="lessThan">
      <formula>0</formula>
    </cfRule>
  </conditionalFormatting>
  <conditionalFormatting sqref="AQ75">
    <cfRule type="cellIs" dxfId="5110" priority="754" operator="lessThan">
      <formula>0</formula>
    </cfRule>
  </conditionalFormatting>
  <conditionalFormatting sqref="AQ75">
    <cfRule type="cellIs" dxfId="5109" priority="753" operator="lessThan">
      <formula>0</formula>
    </cfRule>
  </conditionalFormatting>
  <conditionalFormatting sqref="AQ75">
    <cfRule type="cellIs" dxfId="5108" priority="752" operator="lessThan">
      <formula>0</formula>
    </cfRule>
  </conditionalFormatting>
  <conditionalFormatting sqref="AQ75">
    <cfRule type="cellIs" dxfId="5107" priority="751" operator="lessThan">
      <formula>0</formula>
    </cfRule>
  </conditionalFormatting>
  <conditionalFormatting sqref="AQ75">
    <cfRule type="cellIs" dxfId="5106" priority="750" operator="lessThan">
      <formula>0</formula>
    </cfRule>
  </conditionalFormatting>
  <conditionalFormatting sqref="AQ75">
    <cfRule type="cellIs" dxfId="5105" priority="749" operator="lessThan">
      <formula>0</formula>
    </cfRule>
  </conditionalFormatting>
  <conditionalFormatting sqref="AQ75">
    <cfRule type="cellIs" dxfId="5104" priority="748" operator="lessThan">
      <formula>0</formula>
    </cfRule>
  </conditionalFormatting>
  <conditionalFormatting sqref="AQ75">
    <cfRule type="cellIs" dxfId="5103" priority="747" operator="lessThan">
      <formula>0</formula>
    </cfRule>
  </conditionalFormatting>
  <conditionalFormatting sqref="AQ75">
    <cfRule type="cellIs" dxfId="5102" priority="746" operator="lessThan">
      <formula>0</formula>
    </cfRule>
  </conditionalFormatting>
  <conditionalFormatting sqref="AQ75">
    <cfRule type="cellIs" dxfId="5101" priority="745" operator="lessThan">
      <formula>0</formula>
    </cfRule>
  </conditionalFormatting>
  <conditionalFormatting sqref="AQ75">
    <cfRule type="cellIs" dxfId="5100" priority="744" operator="lessThan">
      <formula>0</formula>
    </cfRule>
  </conditionalFormatting>
  <conditionalFormatting sqref="AQ75">
    <cfRule type="cellIs" dxfId="5099" priority="743" operator="lessThan">
      <formula>0</formula>
    </cfRule>
  </conditionalFormatting>
  <conditionalFormatting sqref="AQ75">
    <cfRule type="cellIs" dxfId="5098" priority="742" operator="lessThan">
      <formula>0</formula>
    </cfRule>
  </conditionalFormatting>
  <conditionalFormatting sqref="AQ75">
    <cfRule type="cellIs" dxfId="5097" priority="741" operator="lessThan">
      <formula>0</formula>
    </cfRule>
  </conditionalFormatting>
  <conditionalFormatting sqref="AQ75">
    <cfRule type="cellIs" dxfId="5096" priority="740" operator="lessThan">
      <formula>0</formula>
    </cfRule>
  </conditionalFormatting>
  <conditionalFormatting sqref="AQ75">
    <cfRule type="cellIs" dxfId="5095" priority="739" operator="lessThan">
      <formula>0</formula>
    </cfRule>
  </conditionalFormatting>
  <conditionalFormatting sqref="AQ75">
    <cfRule type="cellIs" dxfId="5094" priority="738" operator="lessThan">
      <formula>0</formula>
    </cfRule>
  </conditionalFormatting>
  <conditionalFormatting sqref="AQ75">
    <cfRule type="cellIs" dxfId="5093" priority="737" operator="lessThan">
      <formula>0</formula>
    </cfRule>
  </conditionalFormatting>
  <conditionalFormatting sqref="AQ75">
    <cfRule type="cellIs" dxfId="5092" priority="736" operator="lessThan">
      <formula>0</formula>
    </cfRule>
  </conditionalFormatting>
  <conditionalFormatting sqref="AQ75">
    <cfRule type="cellIs" dxfId="5091" priority="735" operator="lessThan">
      <formula>0</formula>
    </cfRule>
  </conditionalFormatting>
  <conditionalFormatting sqref="AQ75">
    <cfRule type="cellIs" dxfId="5090" priority="734" operator="lessThan">
      <formula>0</formula>
    </cfRule>
  </conditionalFormatting>
  <conditionalFormatting sqref="AQ75">
    <cfRule type="cellIs" dxfId="5089" priority="733" operator="lessThan">
      <formula>0</formula>
    </cfRule>
  </conditionalFormatting>
  <conditionalFormatting sqref="AQ75">
    <cfRule type="cellIs" dxfId="5088" priority="732" operator="lessThan">
      <formula>0</formula>
    </cfRule>
  </conditionalFormatting>
  <conditionalFormatting sqref="AQ75">
    <cfRule type="cellIs" dxfId="5087" priority="731" operator="lessThan">
      <formula>0</formula>
    </cfRule>
  </conditionalFormatting>
  <conditionalFormatting sqref="AQ75">
    <cfRule type="cellIs" dxfId="5086" priority="730" operator="lessThan">
      <formula>0</formula>
    </cfRule>
  </conditionalFormatting>
  <conditionalFormatting sqref="AQ75">
    <cfRule type="cellIs" dxfId="5085" priority="729" operator="lessThan">
      <formula>0</formula>
    </cfRule>
  </conditionalFormatting>
  <conditionalFormatting sqref="AQ75">
    <cfRule type="cellIs" dxfId="5084" priority="728" operator="lessThan">
      <formula>0</formula>
    </cfRule>
  </conditionalFormatting>
  <conditionalFormatting sqref="AQ75">
    <cfRule type="cellIs" dxfId="5083" priority="727" operator="lessThan">
      <formula>0</formula>
    </cfRule>
  </conditionalFormatting>
  <conditionalFormatting sqref="AQ75">
    <cfRule type="cellIs" dxfId="5082" priority="726" operator="lessThan">
      <formula>0</formula>
    </cfRule>
  </conditionalFormatting>
  <conditionalFormatting sqref="AQ75">
    <cfRule type="cellIs" dxfId="5081" priority="725" operator="lessThan">
      <formula>0</formula>
    </cfRule>
  </conditionalFormatting>
  <conditionalFormatting sqref="AQ75">
    <cfRule type="cellIs" dxfId="5080" priority="724" operator="lessThan">
      <formula>0</formula>
    </cfRule>
  </conditionalFormatting>
  <conditionalFormatting sqref="AQ75">
    <cfRule type="cellIs" dxfId="5079" priority="723" operator="lessThan">
      <formula>0</formula>
    </cfRule>
  </conditionalFormatting>
  <conditionalFormatting sqref="AQ75">
    <cfRule type="cellIs" dxfId="5078" priority="722" operator="lessThan">
      <formula>0</formula>
    </cfRule>
  </conditionalFormatting>
  <conditionalFormatting sqref="AQ75">
    <cfRule type="cellIs" dxfId="5077" priority="721" operator="lessThan">
      <formula>0</formula>
    </cfRule>
  </conditionalFormatting>
  <conditionalFormatting sqref="AQ75">
    <cfRule type="cellIs" dxfId="5076" priority="720" operator="lessThan">
      <formula>0</formula>
    </cfRule>
  </conditionalFormatting>
  <conditionalFormatting sqref="AQ75">
    <cfRule type="cellIs" dxfId="5075" priority="719" operator="lessThan">
      <formula>0</formula>
    </cfRule>
  </conditionalFormatting>
  <conditionalFormatting sqref="AQ75">
    <cfRule type="cellIs" dxfId="5074" priority="718" operator="lessThan">
      <formula>0</formula>
    </cfRule>
  </conditionalFormatting>
  <conditionalFormatting sqref="AQ75">
    <cfRule type="cellIs" dxfId="5073" priority="717" operator="lessThan">
      <formula>0</formula>
    </cfRule>
  </conditionalFormatting>
  <conditionalFormatting sqref="AQ75">
    <cfRule type="cellIs" dxfId="5072" priority="716" operator="lessThan">
      <formula>0</formula>
    </cfRule>
  </conditionalFormatting>
  <conditionalFormatting sqref="AQ75">
    <cfRule type="cellIs" dxfId="5071" priority="715" operator="lessThan">
      <formula>0</formula>
    </cfRule>
  </conditionalFormatting>
  <conditionalFormatting sqref="AQ75">
    <cfRule type="cellIs" dxfId="5070" priority="714" operator="lessThan">
      <formula>0</formula>
    </cfRule>
  </conditionalFormatting>
  <conditionalFormatting sqref="AQ75">
    <cfRule type="cellIs" dxfId="5069" priority="713" operator="lessThan">
      <formula>0</formula>
    </cfRule>
  </conditionalFormatting>
  <conditionalFormatting sqref="AQ75">
    <cfRule type="cellIs" dxfId="5068" priority="712" operator="lessThan">
      <formula>0</formula>
    </cfRule>
  </conditionalFormatting>
  <conditionalFormatting sqref="AQ75">
    <cfRule type="cellIs" dxfId="5067" priority="711" operator="lessThan">
      <formula>0</formula>
    </cfRule>
  </conditionalFormatting>
  <conditionalFormatting sqref="AQ75">
    <cfRule type="cellIs" dxfId="5066" priority="710" operator="lessThan">
      <formula>0</formula>
    </cfRule>
  </conditionalFormatting>
  <conditionalFormatting sqref="AQ75">
    <cfRule type="cellIs" dxfId="5065" priority="709" operator="lessThan">
      <formula>0</formula>
    </cfRule>
  </conditionalFormatting>
  <conditionalFormatting sqref="AQ75">
    <cfRule type="cellIs" dxfId="5064" priority="708" operator="lessThan">
      <formula>0</formula>
    </cfRule>
  </conditionalFormatting>
  <conditionalFormatting sqref="AQ75">
    <cfRule type="cellIs" dxfId="5063" priority="707" operator="lessThan">
      <formula>0</formula>
    </cfRule>
  </conditionalFormatting>
  <conditionalFormatting sqref="AQ75">
    <cfRule type="cellIs" dxfId="5062" priority="706" operator="lessThan">
      <formula>0</formula>
    </cfRule>
  </conditionalFormatting>
  <conditionalFormatting sqref="AQ75">
    <cfRule type="cellIs" dxfId="5061" priority="705" operator="lessThan">
      <formula>0</formula>
    </cfRule>
  </conditionalFormatting>
  <conditionalFormatting sqref="AQ75">
    <cfRule type="cellIs" dxfId="5060" priority="704" operator="lessThan">
      <formula>0</formula>
    </cfRule>
  </conditionalFormatting>
  <conditionalFormatting sqref="AQ75">
    <cfRule type="cellIs" dxfId="5059" priority="703" operator="lessThan">
      <formula>0</formula>
    </cfRule>
  </conditionalFormatting>
  <conditionalFormatting sqref="AQ75">
    <cfRule type="cellIs" dxfId="5058" priority="702" operator="lessThan">
      <formula>0</formula>
    </cfRule>
  </conditionalFormatting>
  <conditionalFormatting sqref="AQ75">
    <cfRule type="cellIs" dxfId="5057" priority="701" operator="lessThan">
      <formula>0</formula>
    </cfRule>
  </conditionalFormatting>
  <conditionalFormatting sqref="AQ75">
    <cfRule type="cellIs" dxfId="5056" priority="700" operator="lessThan">
      <formula>0</formula>
    </cfRule>
  </conditionalFormatting>
  <conditionalFormatting sqref="AQ75">
    <cfRule type="cellIs" dxfId="5055" priority="699" operator="lessThan">
      <formula>0</formula>
    </cfRule>
  </conditionalFormatting>
  <conditionalFormatting sqref="AQ75">
    <cfRule type="cellIs" dxfId="5054" priority="698" operator="lessThan">
      <formula>0</formula>
    </cfRule>
  </conditionalFormatting>
  <conditionalFormatting sqref="AQ75">
    <cfRule type="cellIs" dxfId="5053" priority="697" operator="lessThan">
      <formula>0</formula>
    </cfRule>
  </conditionalFormatting>
  <conditionalFormatting sqref="AQ75">
    <cfRule type="cellIs" dxfId="5052" priority="696" operator="lessThan">
      <formula>0</formula>
    </cfRule>
  </conditionalFormatting>
  <conditionalFormatting sqref="AQ75">
    <cfRule type="cellIs" dxfId="5051" priority="695" operator="lessThan">
      <formula>0</formula>
    </cfRule>
  </conditionalFormatting>
  <conditionalFormatting sqref="AQ75">
    <cfRule type="cellIs" dxfId="5050" priority="694" operator="lessThan">
      <formula>0</formula>
    </cfRule>
  </conditionalFormatting>
  <conditionalFormatting sqref="AQ75">
    <cfRule type="cellIs" dxfId="5049" priority="693" operator="lessThan">
      <formula>0</formula>
    </cfRule>
  </conditionalFormatting>
  <conditionalFormatting sqref="AQ75">
    <cfRule type="cellIs" dxfId="5048" priority="692" operator="lessThan">
      <formula>0</formula>
    </cfRule>
  </conditionalFormatting>
  <conditionalFormatting sqref="AQ75">
    <cfRule type="cellIs" dxfId="5047" priority="691" operator="lessThan">
      <formula>0</formula>
    </cfRule>
  </conditionalFormatting>
  <conditionalFormatting sqref="AQ75">
    <cfRule type="cellIs" dxfId="5046" priority="690" operator="lessThan">
      <formula>0</formula>
    </cfRule>
  </conditionalFormatting>
  <conditionalFormatting sqref="AQ75">
    <cfRule type="cellIs" dxfId="5045" priority="689" operator="lessThan">
      <formula>0</formula>
    </cfRule>
  </conditionalFormatting>
  <conditionalFormatting sqref="AQ75">
    <cfRule type="cellIs" dxfId="5044" priority="688" operator="lessThan">
      <formula>0</formula>
    </cfRule>
  </conditionalFormatting>
  <conditionalFormatting sqref="AQ75">
    <cfRule type="cellIs" dxfId="5043" priority="687" operator="lessThan">
      <formula>0</formula>
    </cfRule>
  </conditionalFormatting>
  <conditionalFormatting sqref="AQ75">
    <cfRule type="cellIs" dxfId="5042" priority="686" operator="lessThan">
      <formula>0</formula>
    </cfRule>
  </conditionalFormatting>
  <conditionalFormatting sqref="AQ75">
    <cfRule type="cellIs" dxfId="5041" priority="685" operator="lessThan">
      <formula>0</formula>
    </cfRule>
  </conditionalFormatting>
  <conditionalFormatting sqref="AQ75">
    <cfRule type="cellIs" dxfId="5040" priority="684" operator="lessThan">
      <formula>0</formula>
    </cfRule>
  </conditionalFormatting>
  <conditionalFormatting sqref="AQ75">
    <cfRule type="cellIs" dxfId="5039" priority="668" operator="lessThan">
      <formula>0</formula>
    </cfRule>
  </conditionalFormatting>
  <conditionalFormatting sqref="AQ75">
    <cfRule type="cellIs" dxfId="5038" priority="683" operator="lessThan">
      <formula>0</formula>
    </cfRule>
  </conditionalFormatting>
  <conditionalFormatting sqref="AQ75">
    <cfRule type="cellIs" dxfId="5037" priority="682" operator="lessThan">
      <formula>0</formula>
    </cfRule>
  </conditionalFormatting>
  <conditionalFormatting sqref="AQ75">
    <cfRule type="cellIs" dxfId="5036" priority="681" operator="lessThan">
      <formula>0</formula>
    </cfRule>
  </conditionalFormatting>
  <conditionalFormatting sqref="AQ75">
    <cfRule type="cellIs" dxfId="5035" priority="680" operator="lessThan">
      <formula>0</formula>
    </cfRule>
  </conditionalFormatting>
  <conditionalFormatting sqref="AQ75">
    <cfRule type="cellIs" dxfId="5034" priority="679" operator="lessThan">
      <formula>0</formula>
    </cfRule>
  </conditionalFormatting>
  <conditionalFormatting sqref="AQ75">
    <cfRule type="cellIs" dxfId="5033" priority="678" operator="lessThan">
      <formula>0</formula>
    </cfRule>
  </conditionalFormatting>
  <conditionalFormatting sqref="AQ75">
    <cfRule type="cellIs" dxfId="5032" priority="677" operator="lessThan">
      <formula>0</formula>
    </cfRule>
  </conditionalFormatting>
  <conditionalFormatting sqref="AQ75">
    <cfRule type="cellIs" dxfId="5031" priority="676" operator="lessThan">
      <formula>0</formula>
    </cfRule>
  </conditionalFormatting>
  <conditionalFormatting sqref="AQ75">
    <cfRule type="cellIs" dxfId="5030" priority="675" operator="lessThan">
      <formula>0</formula>
    </cfRule>
  </conditionalFormatting>
  <conditionalFormatting sqref="AQ75">
    <cfRule type="cellIs" dxfId="5029" priority="674" operator="lessThan">
      <formula>0</formula>
    </cfRule>
  </conditionalFormatting>
  <conditionalFormatting sqref="AQ75">
    <cfRule type="cellIs" dxfId="5028" priority="673" operator="lessThan">
      <formula>0</formula>
    </cfRule>
  </conditionalFormatting>
  <conditionalFormatting sqref="AQ75">
    <cfRule type="cellIs" dxfId="5027" priority="672" operator="lessThan">
      <formula>0</formula>
    </cfRule>
  </conditionalFormatting>
  <conditionalFormatting sqref="AQ75">
    <cfRule type="cellIs" dxfId="5026" priority="671" operator="lessThan">
      <formula>0</formula>
    </cfRule>
  </conditionalFormatting>
  <conditionalFormatting sqref="AQ75">
    <cfRule type="cellIs" dxfId="5025" priority="670" operator="lessThan">
      <formula>0</formula>
    </cfRule>
  </conditionalFormatting>
  <conditionalFormatting sqref="AQ75">
    <cfRule type="cellIs" dxfId="5024" priority="669" operator="lessThan">
      <formula>0</formula>
    </cfRule>
  </conditionalFormatting>
  <conditionalFormatting sqref="AM82:AM85">
    <cfRule type="cellIs" dxfId="5023" priority="664" operator="notEqual">
      <formula>0</formula>
    </cfRule>
  </conditionalFormatting>
  <conditionalFormatting sqref="I84">
    <cfRule type="cellIs" dxfId="5022" priority="663" operator="greaterThan">
      <formula>0</formula>
    </cfRule>
  </conditionalFormatting>
  <conditionalFormatting sqref="Y84">
    <cfRule type="cellIs" dxfId="5021" priority="662" operator="lessThan">
      <formula>0</formula>
    </cfRule>
  </conditionalFormatting>
  <conditionalFormatting sqref="Y82:Y84">
    <cfRule type="cellIs" dxfId="5020" priority="661" operator="lessThan">
      <formula>0</formula>
    </cfRule>
  </conditionalFormatting>
  <conditionalFormatting sqref="Y85">
    <cfRule type="cellIs" dxfId="5019" priority="660" operator="lessThan">
      <formula>0</formula>
    </cfRule>
  </conditionalFormatting>
  <conditionalFormatting sqref="Y83">
    <cfRule type="iconSet" priority="667">
      <iconSet>
        <cfvo type="percent" val="0"/>
        <cfvo type="percent" val="&quot;$I$6&quot;"/>
        <cfvo type="percent" val="#REF!"/>
      </iconSet>
    </cfRule>
  </conditionalFormatting>
  <conditionalFormatting sqref="X83">
    <cfRule type="iconSet" priority="428">
      <iconSet>
        <cfvo type="percent" val="0"/>
        <cfvo type="percent" val="&quot;$I$6&quot;"/>
        <cfvo type="percent" val="#REF!"/>
      </iconSet>
    </cfRule>
  </conditionalFormatting>
  <conditionalFormatting sqref="X84">
    <cfRule type="cellIs" dxfId="5018" priority="427" operator="lessThan">
      <formula>0</formula>
    </cfRule>
  </conditionalFormatting>
  <conditionalFormatting sqref="X82:X85">
    <cfRule type="cellIs" dxfId="5017" priority="426" operator="lessThan">
      <formula>0</formula>
    </cfRule>
  </conditionalFormatting>
  <conditionalFormatting sqref="AQ82">
    <cfRule type="cellIs" dxfId="5016" priority="425" operator="lessThan">
      <formula>0</formula>
    </cfRule>
  </conditionalFormatting>
  <conditionalFormatting sqref="AQ82">
    <cfRule type="cellIs" dxfId="5015" priority="424" operator="lessThan">
      <formula>0</formula>
    </cfRule>
  </conditionalFormatting>
  <conditionalFormatting sqref="AQ82">
    <cfRule type="cellIs" dxfId="5014" priority="423" operator="lessThan">
      <formula>0</formula>
    </cfRule>
  </conditionalFormatting>
  <conditionalFormatting sqref="AQ84:AQ85">
    <cfRule type="cellIs" dxfId="5013" priority="422" operator="lessThan">
      <formula>0</formula>
    </cfRule>
  </conditionalFormatting>
  <conditionalFormatting sqref="AQ84:AQ85">
    <cfRule type="cellIs" dxfId="5012" priority="421" operator="lessThan">
      <formula>0</formula>
    </cfRule>
  </conditionalFormatting>
  <conditionalFormatting sqref="AQ84:AQ85">
    <cfRule type="cellIs" dxfId="5011" priority="420" operator="lessThan">
      <formula>0</formula>
    </cfRule>
  </conditionalFormatting>
  <conditionalFormatting sqref="AQ84:AQ85">
    <cfRule type="cellIs" dxfId="5010" priority="419" operator="lessThan">
      <formula>0</formula>
    </cfRule>
  </conditionalFormatting>
  <conditionalFormatting sqref="AQ84:AQ85">
    <cfRule type="cellIs" dxfId="5009" priority="418" operator="lessThan">
      <formula>0</formula>
    </cfRule>
  </conditionalFormatting>
  <conditionalFormatting sqref="AQ84:AQ85">
    <cfRule type="cellIs" dxfId="5008" priority="417" operator="lessThan">
      <formula>0</formula>
    </cfRule>
  </conditionalFormatting>
  <conditionalFormatting sqref="AQ84:AQ85">
    <cfRule type="cellIs" dxfId="5007" priority="416" operator="lessThan">
      <formula>0</formula>
    </cfRule>
  </conditionalFormatting>
  <conditionalFormatting sqref="AQ84:AQ85">
    <cfRule type="cellIs" dxfId="5006" priority="415" operator="lessThan">
      <formula>0</formula>
    </cfRule>
  </conditionalFormatting>
  <conditionalFormatting sqref="AQ82">
    <cfRule type="cellIs" dxfId="5005" priority="414" operator="lessThan">
      <formula>0</formula>
    </cfRule>
  </conditionalFormatting>
  <conditionalFormatting sqref="AQ84:AQ85">
    <cfRule type="cellIs" dxfId="5004" priority="413" operator="lessThan">
      <formula>0</formula>
    </cfRule>
  </conditionalFormatting>
  <conditionalFormatting sqref="AQ84:AQ85">
    <cfRule type="cellIs" dxfId="5003" priority="412" operator="lessThan">
      <formula>0</formula>
    </cfRule>
  </conditionalFormatting>
  <conditionalFormatting sqref="AQ84:AQ85">
    <cfRule type="cellIs" dxfId="5002" priority="411" operator="lessThan">
      <formula>0</formula>
    </cfRule>
  </conditionalFormatting>
  <conditionalFormatting sqref="AQ84:AQ85">
    <cfRule type="cellIs" dxfId="5001" priority="410" operator="lessThan">
      <formula>0</formula>
    </cfRule>
  </conditionalFormatting>
  <conditionalFormatting sqref="AQ84:AQ85">
    <cfRule type="cellIs" dxfId="5000" priority="409" operator="lessThan">
      <formula>0</formula>
    </cfRule>
  </conditionalFormatting>
  <conditionalFormatting sqref="AQ84:AQ85">
    <cfRule type="cellIs" dxfId="4999" priority="408" operator="lessThan">
      <formula>0</formula>
    </cfRule>
  </conditionalFormatting>
  <conditionalFormatting sqref="AQ84:AQ85">
    <cfRule type="cellIs" dxfId="4998" priority="407" operator="lessThan">
      <formula>0</formula>
    </cfRule>
  </conditionalFormatting>
  <conditionalFormatting sqref="AQ84:AQ85">
    <cfRule type="cellIs" dxfId="4997" priority="406" operator="lessThan">
      <formula>0</formula>
    </cfRule>
  </conditionalFormatting>
  <conditionalFormatting sqref="AQ82">
    <cfRule type="cellIs" dxfId="4996" priority="309" operator="lessThan">
      <formula>0</formula>
    </cfRule>
  </conditionalFormatting>
  <conditionalFormatting sqref="AQ82">
    <cfRule type="cellIs" dxfId="4995" priority="308" operator="lessThan">
      <formula>0</formula>
    </cfRule>
  </conditionalFormatting>
  <conditionalFormatting sqref="AQ84:AQ85">
    <cfRule type="cellIs" dxfId="4994" priority="307" operator="lessThan">
      <formula>0</formula>
    </cfRule>
  </conditionalFormatting>
  <conditionalFormatting sqref="AQ84:AQ85">
    <cfRule type="cellIs" dxfId="4993" priority="306" operator="lessThan">
      <formula>0</formula>
    </cfRule>
  </conditionalFormatting>
  <conditionalFormatting sqref="AQ84:AQ85">
    <cfRule type="cellIs" dxfId="4992" priority="305" operator="lessThan">
      <formula>0</formula>
    </cfRule>
  </conditionalFormatting>
  <conditionalFormatting sqref="AQ84:AQ85">
    <cfRule type="cellIs" dxfId="4991" priority="304" operator="lessThan">
      <formula>0</formula>
    </cfRule>
  </conditionalFormatting>
  <conditionalFormatting sqref="AQ84:AQ85">
    <cfRule type="cellIs" dxfId="4990" priority="303" operator="lessThan">
      <formula>0</formula>
    </cfRule>
  </conditionalFormatting>
  <conditionalFormatting sqref="AQ84:AQ85">
    <cfRule type="cellIs" dxfId="4989" priority="302" operator="lessThan">
      <formula>0</formula>
    </cfRule>
  </conditionalFormatting>
  <conditionalFormatting sqref="AQ84:AQ85">
    <cfRule type="cellIs" dxfId="4988" priority="301" operator="lessThan">
      <formula>0</formula>
    </cfRule>
  </conditionalFormatting>
  <conditionalFormatting sqref="AQ84:AQ85">
    <cfRule type="cellIs" dxfId="4987" priority="300" operator="lessThan">
      <formula>0</formula>
    </cfRule>
  </conditionalFormatting>
  <conditionalFormatting sqref="AQ82">
    <cfRule type="cellIs" dxfId="4986" priority="299" operator="lessThan">
      <formula>0</formula>
    </cfRule>
  </conditionalFormatting>
  <conditionalFormatting sqref="AQ84:AQ85 AQ82">
    <cfRule type="cellIs" dxfId="4985" priority="298" operator="lessThan">
      <formula>0</formula>
    </cfRule>
  </conditionalFormatting>
  <conditionalFormatting sqref="AQ84:AQ85 AQ82">
    <cfRule type="cellIs" dxfId="4984" priority="297" operator="lessThan">
      <formula>0</formula>
    </cfRule>
  </conditionalFormatting>
  <conditionalFormatting sqref="AQ84:AQ85 AQ82">
    <cfRule type="cellIs" dxfId="4983" priority="296" operator="lessThan">
      <formula>0</formula>
    </cfRule>
  </conditionalFormatting>
  <conditionalFormatting sqref="AQ84:AQ85 AQ82">
    <cfRule type="cellIs" dxfId="4982" priority="295" operator="lessThan">
      <formula>0</formula>
    </cfRule>
  </conditionalFormatting>
  <conditionalFormatting sqref="AQ84:AQ85">
    <cfRule type="cellIs" dxfId="4981" priority="294" operator="lessThan">
      <formula>0</formula>
    </cfRule>
  </conditionalFormatting>
  <conditionalFormatting sqref="AQ84:AQ85">
    <cfRule type="cellIs" dxfId="4980" priority="293" operator="lessThan">
      <formula>0</formula>
    </cfRule>
  </conditionalFormatting>
  <conditionalFormatting sqref="AQ84:AQ85">
    <cfRule type="cellIs" dxfId="4979" priority="292" operator="lessThan">
      <formula>0</formula>
    </cfRule>
  </conditionalFormatting>
  <conditionalFormatting sqref="AQ84:AQ85">
    <cfRule type="cellIs" dxfId="4978" priority="291" operator="lessThan">
      <formula>0</formula>
    </cfRule>
  </conditionalFormatting>
  <conditionalFormatting sqref="AQ83">
    <cfRule type="cellIs" dxfId="4977" priority="194" operator="lessThan">
      <formula>0</formula>
    </cfRule>
  </conditionalFormatting>
  <conditionalFormatting sqref="AQ83">
    <cfRule type="cellIs" dxfId="4976" priority="193" operator="lessThan">
      <formula>0</formula>
    </cfRule>
  </conditionalFormatting>
  <conditionalFormatting sqref="AQ83">
    <cfRule type="cellIs" dxfId="4975" priority="192" operator="lessThan">
      <formula>0</formula>
    </cfRule>
  </conditionalFormatting>
  <conditionalFormatting sqref="AQ83">
    <cfRule type="cellIs" dxfId="4974" priority="191" operator="lessThan">
      <formula>0</formula>
    </cfRule>
  </conditionalFormatting>
  <conditionalFormatting sqref="AQ83">
    <cfRule type="cellIs" dxfId="4973" priority="190" operator="lessThan">
      <formula>0</formula>
    </cfRule>
  </conditionalFormatting>
  <conditionalFormatting sqref="AQ83">
    <cfRule type="cellIs" dxfId="4972" priority="189" operator="lessThan">
      <formula>0</formula>
    </cfRule>
  </conditionalFormatting>
  <conditionalFormatting sqref="AQ83">
    <cfRule type="cellIs" dxfId="4971" priority="188" operator="lessThan">
      <formula>0</formula>
    </cfRule>
  </conditionalFormatting>
  <conditionalFormatting sqref="AQ83">
    <cfRule type="cellIs" dxfId="4970" priority="187" operator="lessThan">
      <formula>0</formula>
    </cfRule>
  </conditionalFormatting>
  <conditionalFormatting sqref="AQ83">
    <cfRule type="cellIs" dxfId="4969" priority="186" operator="lessThan">
      <formula>0</formula>
    </cfRule>
  </conditionalFormatting>
  <conditionalFormatting sqref="AQ83">
    <cfRule type="cellIs" dxfId="4968" priority="185" operator="lessThan">
      <formula>0</formula>
    </cfRule>
  </conditionalFormatting>
  <conditionalFormatting sqref="AQ83">
    <cfRule type="cellIs" dxfId="4967" priority="184" operator="lessThan">
      <formula>0</formula>
    </cfRule>
  </conditionalFormatting>
  <conditionalFormatting sqref="AQ83">
    <cfRule type="cellIs" dxfId="4966" priority="183" operator="lessThan">
      <formula>0</formula>
    </cfRule>
  </conditionalFormatting>
  <conditionalFormatting sqref="AQ83">
    <cfRule type="cellIs" dxfId="4965" priority="182" operator="lessThan">
      <formula>0</formula>
    </cfRule>
  </conditionalFormatting>
  <conditionalFormatting sqref="AQ83">
    <cfRule type="cellIs" dxfId="4964" priority="181" operator="lessThan">
      <formula>0</formula>
    </cfRule>
  </conditionalFormatting>
  <conditionalFormatting sqref="AQ83">
    <cfRule type="cellIs" dxfId="4963" priority="180" operator="lessThan">
      <formula>0</formula>
    </cfRule>
  </conditionalFormatting>
  <conditionalFormatting sqref="AQ83">
    <cfRule type="cellIs" dxfId="4962" priority="179" operator="lessThan">
      <formula>0</formula>
    </cfRule>
  </conditionalFormatting>
  <conditionalFormatting sqref="AQ83">
    <cfRule type="cellIs" dxfId="4961" priority="178" operator="lessThan">
      <formula>0</formula>
    </cfRule>
  </conditionalFormatting>
  <conditionalFormatting sqref="AQ83">
    <cfRule type="cellIs" dxfId="4960" priority="177" operator="lessThan">
      <formula>0</formula>
    </cfRule>
  </conditionalFormatting>
  <conditionalFormatting sqref="AQ83">
    <cfRule type="cellIs" dxfId="4959" priority="176" operator="lessThan">
      <formula>0</formula>
    </cfRule>
  </conditionalFormatting>
  <conditionalFormatting sqref="AQ83">
    <cfRule type="cellIs" dxfId="4958" priority="175" operator="lessThan">
      <formula>0</formula>
    </cfRule>
  </conditionalFormatting>
  <conditionalFormatting sqref="AQ83">
    <cfRule type="cellIs" dxfId="4957" priority="174" operator="lessThan">
      <formula>0</formula>
    </cfRule>
  </conditionalFormatting>
  <conditionalFormatting sqref="AQ83">
    <cfRule type="cellIs" dxfId="4956" priority="173" operator="lessThan">
      <formula>0</formula>
    </cfRule>
  </conditionalFormatting>
  <conditionalFormatting sqref="AQ83">
    <cfRule type="cellIs" dxfId="4955" priority="172" operator="lessThan">
      <formula>0</formula>
    </cfRule>
  </conditionalFormatting>
  <conditionalFormatting sqref="AQ83">
    <cfRule type="cellIs" dxfId="4954" priority="171" operator="lessThan">
      <formula>0</formula>
    </cfRule>
  </conditionalFormatting>
  <conditionalFormatting sqref="AQ83">
    <cfRule type="cellIs" dxfId="4953" priority="170" operator="lessThan">
      <formula>0</formula>
    </cfRule>
  </conditionalFormatting>
  <conditionalFormatting sqref="AQ83">
    <cfRule type="cellIs" dxfId="4952" priority="169" operator="lessThan">
      <formula>0</formula>
    </cfRule>
  </conditionalFormatting>
  <conditionalFormatting sqref="AQ83">
    <cfRule type="cellIs" dxfId="4951" priority="168" operator="lessThan">
      <formula>0</formula>
    </cfRule>
  </conditionalFormatting>
  <conditionalFormatting sqref="AQ83">
    <cfRule type="cellIs" dxfId="4950" priority="167" operator="lessThan">
      <formula>0</formula>
    </cfRule>
  </conditionalFormatting>
  <conditionalFormatting sqref="AQ83">
    <cfRule type="cellIs" dxfId="4949" priority="166" operator="lessThan">
      <formula>0</formula>
    </cfRule>
  </conditionalFormatting>
  <conditionalFormatting sqref="AQ83">
    <cfRule type="cellIs" dxfId="4948" priority="165" operator="lessThan">
      <formula>0</formula>
    </cfRule>
  </conditionalFormatting>
  <conditionalFormatting sqref="AQ83">
    <cfRule type="cellIs" dxfId="4947" priority="164" operator="lessThan">
      <formula>0</formula>
    </cfRule>
  </conditionalFormatting>
  <conditionalFormatting sqref="AQ83">
    <cfRule type="cellIs" dxfId="4946" priority="163" operator="lessThan">
      <formula>0</formula>
    </cfRule>
  </conditionalFormatting>
  <conditionalFormatting sqref="AQ83">
    <cfRule type="cellIs" dxfId="4945" priority="162" operator="lessThan">
      <formula>0</formula>
    </cfRule>
  </conditionalFormatting>
  <conditionalFormatting sqref="AQ83">
    <cfRule type="cellIs" dxfId="4944" priority="161" operator="lessThan">
      <formula>0</formula>
    </cfRule>
  </conditionalFormatting>
  <conditionalFormatting sqref="AQ83">
    <cfRule type="cellIs" dxfId="4943" priority="160" operator="lessThan">
      <formula>0</formula>
    </cfRule>
  </conditionalFormatting>
  <conditionalFormatting sqref="AQ83">
    <cfRule type="cellIs" dxfId="4942" priority="159" operator="lessThan">
      <formula>0</formula>
    </cfRule>
  </conditionalFormatting>
  <conditionalFormatting sqref="AQ83">
    <cfRule type="cellIs" dxfId="4941" priority="158" operator="lessThan">
      <formula>0</formula>
    </cfRule>
  </conditionalFormatting>
  <conditionalFormatting sqref="AQ83">
    <cfRule type="cellIs" dxfId="4940" priority="157" operator="lessThan">
      <formula>0</formula>
    </cfRule>
  </conditionalFormatting>
  <conditionalFormatting sqref="AQ83">
    <cfRule type="cellIs" dxfId="4939" priority="156" operator="lessThan">
      <formula>0</formula>
    </cfRule>
  </conditionalFormatting>
  <conditionalFormatting sqref="AQ83">
    <cfRule type="cellIs" dxfId="4938" priority="155" operator="lessThan">
      <formula>0</formula>
    </cfRule>
  </conditionalFormatting>
  <conditionalFormatting sqref="AQ83">
    <cfRule type="cellIs" dxfId="4937" priority="154" operator="lessThan">
      <formula>0</formula>
    </cfRule>
  </conditionalFormatting>
  <conditionalFormatting sqref="AQ83">
    <cfRule type="cellIs" dxfId="4936" priority="153" operator="lessThan">
      <formula>0</formula>
    </cfRule>
  </conditionalFormatting>
  <conditionalFormatting sqref="AQ83">
    <cfRule type="cellIs" dxfId="4935" priority="152" operator="lessThan">
      <formula>0</formula>
    </cfRule>
  </conditionalFormatting>
  <conditionalFormatting sqref="AQ83">
    <cfRule type="cellIs" dxfId="4934" priority="151" operator="lessThan">
      <formula>0</formula>
    </cfRule>
  </conditionalFormatting>
  <conditionalFormatting sqref="AQ83">
    <cfRule type="cellIs" dxfId="4933" priority="150" operator="lessThan">
      <formula>0</formula>
    </cfRule>
  </conditionalFormatting>
  <conditionalFormatting sqref="AQ83">
    <cfRule type="cellIs" dxfId="4932" priority="149" operator="lessThan">
      <formula>0</formula>
    </cfRule>
  </conditionalFormatting>
  <conditionalFormatting sqref="AQ83">
    <cfRule type="cellIs" dxfId="4931" priority="148" operator="lessThan">
      <formula>0</formula>
    </cfRule>
  </conditionalFormatting>
  <conditionalFormatting sqref="AQ83">
    <cfRule type="cellIs" dxfId="4930" priority="147" operator="lessThan">
      <formula>0</formula>
    </cfRule>
  </conditionalFormatting>
  <conditionalFormatting sqref="AQ83">
    <cfRule type="cellIs" dxfId="4929" priority="146" operator="lessThan">
      <formula>0</formula>
    </cfRule>
  </conditionalFormatting>
  <conditionalFormatting sqref="AQ83">
    <cfRule type="cellIs" dxfId="4928" priority="145" operator="lessThan">
      <formula>0</formula>
    </cfRule>
  </conditionalFormatting>
  <conditionalFormatting sqref="AQ83">
    <cfRule type="cellIs" dxfId="4927" priority="144" operator="lessThan">
      <formula>0</formula>
    </cfRule>
  </conditionalFormatting>
  <conditionalFormatting sqref="AQ83">
    <cfRule type="cellIs" dxfId="4926" priority="143" operator="lessThan">
      <formula>0</formula>
    </cfRule>
  </conditionalFormatting>
  <conditionalFormatting sqref="AQ83">
    <cfRule type="cellIs" dxfId="4925" priority="142" operator="lessThan">
      <formula>0</formula>
    </cfRule>
  </conditionalFormatting>
  <conditionalFormatting sqref="AQ83">
    <cfRule type="cellIs" dxfId="4924" priority="141" operator="lessThan">
      <formula>0</formula>
    </cfRule>
  </conditionalFormatting>
  <conditionalFormatting sqref="AQ83">
    <cfRule type="cellIs" dxfId="4923" priority="140" operator="lessThan">
      <formula>0</formula>
    </cfRule>
  </conditionalFormatting>
  <conditionalFormatting sqref="AQ83">
    <cfRule type="cellIs" dxfId="4922" priority="139" operator="lessThan">
      <formula>0</formula>
    </cfRule>
  </conditionalFormatting>
  <conditionalFormatting sqref="AQ83">
    <cfRule type="cellIs" dxfId="4921" priority="138" operator="lessThan">
      <formula>0</formula>
    </cfRule>
  </conditionalFormatting>
  <conditionalFormatting sqref="AQ83">
    <cfRule type="cellIs" dxfId="4920" priority="137" operator="lessThan">
      <formula>0</formula>
    </cfRule>
  </conditionalFormatting>
  <conditionalFormatting sqref="AQ83">
    <cfRule type="cellIs" dxfId="4919" priority="136" operator="lessThan">
      <formula>0</formula>
    </cfRule>
  </conditionalFormatting>
  <conditionalFormatting sqref="AQ83">
    <cfRule type="cellIs" dxfId="4918" priority="135" operator="lessThan">
      <formula>0</formula>
    </cfRule>
  </conditionalFormatting>
  <conditionalFormatting sqref="AQ83">
    <cfRule type="cellIs" dxfId="4917" priority="134" operator="lessThan">
      <formula>0</formula>
    </cfRule>
  </conditionalFormatting>
  <conditionalFormatting sqref="AQ83">
    <cfRule type="cellIs" dxfId="4916" priority="133" operator="lessThan">
      <formula>0</formula>
    </cfRule>
  </conditionalFormatting>
  <conditionalFormatting sqref="AQ83">
    <cfRule type="cellIs" dxfId="4915" priority="132" operator="lessThan">
      <formula>0</formula>
    </cfRule>
  </conditionalFormatting>
  <conditionalFormatting sqref="AQ83">
    <cfRule type="cellIs" dxfId="4914" priority="131" operator="lessThan">
      <formula>0</formula>
    </cfRule>
  </conditionalFormatting>
  <conditionalFormatting sqref="AQ83">
    <cfRule type="cellIs" dxfId="4913" priority="130" operator="lessThan">
      <formula>0</formula>
    </cfRule>
  </conditionalFormatting>
  <conditionalFormatting sqref="AQ83">
    <cfRule type="cellIs" dxfId="4912" priority="129" operator="lessThan">
      <formula>0</formula>
    </cfRule>
  </conditionalFormatting>
  <conditionalFormatting sqref="AQ83">
    <cfRule type="cellIs" dxfId="4911" priority="128" operator="lessThan">
      <formula>0</formula>
    </cfRule>
  </conditionalFormatting>
  <conditionalFormatting sqref="AQ83">
    <cfRule type="cellIs" dxfId="4910" priority="127" operator="lessThan">
      <formula>0</formula>
    </cfRule>
  </conditionalFormatting>
  <conditionalFormatting sqref="AQ83">
    <cfRule type="cellIs" dxfId="4909" priority="126" operator="lessThan">
      <formula>0</formula>
    </cfRule>
  </conditionalFormatting>
  <conditionalFormatting sqref="AQ83">
    <cfRule type="cellIs" dxfId="4908" priority="125" operator="lessThan">
      <formula>0</formula>
    </cfRule>
  </conditionalFormatting>
  <conditionalFormatting sqref="AQ83">
    <cfRule type="cellIs" dxfId="4907" priority="124" operator="lessThan">
      <formula>0</formula>
    </cfRule>
  </conditionalFormatting>
  <conditionalFormatting sqref="AQ83">
    <cfRule type="cellIs" dxfId="4906" priority="123" operator="lessThan">
      <formula>0</formula>
    </cfRule>
  </conditionalFormatting>
  <conditionalFormatting sqref="AQ83">
    <cfRule type="cellIs" dxfId="4905" priority="122" operator="lessThan">
      <formula>0</formula>
    </cfRule>
  </conditionalFormatting>
  <conditionalFormatting sqref="AQ83">
    <cfRule type="cellIs" dxfId="4904" priority="121" operator="lessThan">
      <formula>0</formula>
    </cfRule>
  </conditionalFormatting>
  <conditionalFormatting sqref="AQ83">
    <cfRule type="cellIs" dxfId="4903" priority="120" operator="lessThan">
      <formula>0</formula>
    </cfRule>
  </conditionalFormatting>
  <conditionalFormatting sqref="AQ83">
    <cfRule type="cellIs" dxfId="4902" priority="119" operator="lessThan">
      <formula>0</formula>
    </cfRule>
  </conditionalFormatting>
  <conditionalFormatting sqref="AQ83">
    <cfRule type="cellIs" dxfId="4901" priority="118" operator="lessThan">
      <formula>0</formula>
    </cfRule>
  </conditionalFormatting>
  <conditionalFormatting sqref="AQ83">
    <cfRule type="cellIs" dxfId="4900" priority="117" operator="lessThan">
      <formula>0</formula>
    </cfRule>
  </conditionalFormatting>
  <conditionalFormatting sqref="AQ83">
    <cfRule type="cellIs" dxfId="4899" priority="116" operator="lessThan">
      <formula>0</formula>
    </cfRule>
  </conditionalFormatting>
  <conditionalFormatting sqref="AQ83">
    <cfRule type="cellIs" dxfId="4898" priority="115" operator="lessThan">
      <formula>0</formula>
    </cfRule>
  </conditionalFormatting>
  <conditionalFormatting sqref="AQ83">
    <cfRule type="cellIs" dxfId="4897" priority="99" operator="lessThan">
      <formula>0</formula>
    </cfRule>
  </conditionalFormatting>
  <conditionalFormatting sqref="AQ83">
    <cfRule type="cellIs" dxfId="4896" priority="114" operator="lessThan">
      <formula>0</formula>
    </cfRule>
  </conditionalFormatting>
  <conditionalFormatting sqref="AQ83">
    <cfRule type="cellIs" dxfId="4895" priority="113" operator="lessThan">
      <formula>0</formula>
    </cfRule>
  </conditionalFormatting>
  <conditionalFormatting sqref="AQ83">
    <cfRule type="cellIs" dxfId="4894" priority="112" operator="lessThan">
      <formula>0</formula>
    </cfRule>
  </conditionalFormatting>
  <conditionalFormatting sqref="AQ83">
    <cfRule type="cellIs" dxfId="4893" priority="111" operator="lessThan">
      <formula>0</formula>
    </cfRule>
  </conditionalFormatting>
  <conditionalFormatting sqref="AQ83">
    <cfRule type="cellIs" dxfId="4892" priority="110" operator="lessThan">
      <formula>0</formula>
    </cfRule>
  </conditionalFormatting>
  <conditionalFormatting sqref="AQ83">
    <cfRule type="cellIs" dxfId="4891" priority="109" operator="lessThan">
      <formula>0</formula>
    </cfRule>
  </conditionalFormatting>
  <conditionalFormatting sqref="AQ83">
    <cfRule type="cellIs" dxfId="4890" priority="108" operator="lessThan">
      <formula>0</formula>
    </cfRule>
  </conditionalFormatting>
  <conditionalFormatting sqref="AQ83">
    <cfRule type="cellIs" dxfId="4889" priority="107" operator="lessThan">
      <formula>0</formula>
    </cfRule>
  </conditionalFormatting>
  <conditionalFormatting sqref="AQ83">
    <cfRule type="cellIs" dxfId="4888" priority="106" operator="lessThan">
      <formula>0</formula>
    </cfRule>
  </conditionalFormatting>
  <conditionalFormatting sqref="AQ83">
    <cfRule type="cellIs" dxfId="4887" priority="105" operator="lessThan">
      <formula>0</formula>
    </cfRule>
  </conditionalFormatting>
  <conditionalFormatting sqref="AQ83">
    <cfRule type="cellIs" dxfId="4886" priority="104" operator="lessThan">
      <formula>0</formula>
    </cfRule>
  </conditionalFormatting>
  <conditionalFormatting sqref="AQ83">
    <cfRule type="cellIs" dxfId="4885" priority="103" operator="lessThan">
      <formula>0</formula>
    </cfRule>
  </conditionalFormatting>
  <conditionalFormatting sqref="AQ83">
    <cfRule type="cellIs" dxfId="4884" priority="102" operator="lessThan">
      <formula>0</formula>
    </cfRule>
  </conditionalFormatting>
  <conditionalFormatting sqref="AQ83">
    <cfRule type="cellIs" dxfId="4883" priority="101" operator="lessThan">
      <formula>0</formula>
    </cfRule>
  </conditionalFormatting>
  <conditionalFormatting sqref="AQ83">
    <cfRule type="cellIs" dxfId="4882" priority="100" operator="lessThan">
      <formula>0</formula>
    </cfRule>
  </conditionalFormatting>
  <conditionalFormatting sqref="AQ83">
    <cfRule type="cellIs" dxfId="4881" priority="98" operator="lessThan">
      <formula>0</formula>
    </cfRule>
  </conditionalFormatting>
  <conditionalFormatting sqref="AQ83">
    <cfRule type="cellIs" dxfId="4880" priority="97" operator="lessThan">
      <formula>0</formula>
    </cfRule>
  </conditionalFormatting>
  <conditionalFormatting sqref="AQ83">
    <cfRule type="cellIs" dxfId="4879" priority="96" operator="lessThan">
      <formula>0</formula>
    </cfRule>
  </conditionalFormatting>
  <conditionalFormatting sqref="AQ83">
    <cfRule type="cellIs" dxfId="4878" priority="95" operator="lessThan">
      <formula>0</formula>
    </cfRule>
  </conditionalFormatting>
  <conditionalFormatting sqref="AQ83">
    <cfRule type="cellIs" dxfId="4877" priority="94" operator="lessThan">
      <formula>0</formula>
    </cfRule>
  </conditionalFormatting>
  <conditionalFormatting sqref="AQ83">
    <cfRule type="cellIs" dxfId="4876" priority="93" operator="lessThan">
      <formula>0</formula>
    </cfRule>
  </conditionalFormatting>
  <conditionalFormatting sqref="AQ83">
    <cfRule type="cellIs" dxfId="4875" priority="92" operator="lessThan">
      <formula>0</formula>
    </cfRule>
  </conditionalFormatting>
  <conditionalFormatting sqref="AQ83">
    <cfRule type="cellIs" dxfId="4874" priority="91" operator="lessThan">
      <formula>0</formula>
    </cfRule>
  </conditionalFormatting>
  <conditionalFormatting sqref="AQ83">
    <cfRule type="cellIs" dxfId="4873" priority="90" operator="lessThan">
      <formula>0</formula>
    </cfRule>
  </conditionalFormatting>
  <conditionalFormatting sqref="AQ83">
    <cfRule type="cellIs" dxfId="4872" priority="89" operator="lessThan">
      <formula>0</formula>
    </cfRule>
  </conditionalFormatting>
  <conditionalFormatting sqref="AQ83">
    <cfRule type="cellIs" dxfId="4871" priority="88" operator="lessThan">
      <formula>0</formula>
    </cfRule>
  </conditionalFormatting>
  <conditionalFormatting sqref="AQ83">
    <cfRule type="cellIs" dxfId="4870" priority="87" operator="lessThan">
      <formula>0</formula>
    </cfRule>
  </conditionalFormatting>
  <conditionalFormatting sqref="AQ83">
    <cfRule type="cellIs" dxfId="4869" priority="86" operator="lessThan">
      <formula>0</formula>
    </cfRule>
  </conditionalFormatting>
  <conditionalFormatting sqref="AQ83">
    <cfRule type="cellIs" dxfId="4868" priority="85" operator="lessThan">
      <formula>0</formula>
    </cfRule>
  </conditionalFormatting>
  <conditionalFormatting sqref="AQ83">
    <cfRule type="cellIs" dxfId="4867" priority="84" operator="lessThan">
      <formula>0</formula>
    </cfRule>
  </conditionalFormatting>
  <conditionalFormatting sqref="AQ83">
    <cfRule type="cellIs" dxfId="4866" priority="83" operator="lessThan">
      <formula>0</formula>
    </cfRule>
  </conditionalFormatting>
  <conditionalFormatting sqref="AQ83">
    <cfRule type="cellIs" dxfId="4865" priority="82" operator="lessThan">
      <formula>0</formula>
    </cfRule>
  </conditionalFormatting>
  <conditionalFormatting sqref="AQ83">
    <cfRule type="cellIs" dxfId="4864" priority="81" operator="lessThan">
      <formula>0</formula>
    </cfRule>
  </conditionalFormatting>
  <conditionalFormatting sqref="AQ83">
    <cfRule type="cellIs" dxfId="4863" priority="80" operator="lessThan">
      <formula>0</formula>
    </cfRule>
  </conditionalFormatting>
  <conditionalFormatting sqref="AQ83">
    <cfRule type="cellIs" dxfId="4862" priority="79" operator="lessThan">
      <formula>0</formula>
    </cfRule>
  </conditionalFormatting>
  <conditionalFormatting sqref="AQ83">
    <cfRule type="cellIs" dxfId="4861" priority="78" operator="lessThan">
      <formula>0</formula>
    </cfRule>
  </conditionalFormatting>
  <conditionalFormatting sqref="AQ83">
    <cfRule type="cellIs" dxfId="4860" priority="77" operator="lessThan">
      <formula>0</formula>
    </cfRule>
  </conditionalFormatting>
  <conditionalFormatting sqref="AQ83">
    <cfRule type="cellIs" dxfId="4859" priority="76" operator="lessThan">
      <formula>0</formula>
    </cfRule>
  </conditionalFormatting>
  <conditionalFormatting sqref="AQ83">
    <cfRule type="cellIs" dxfId="4858" priority="75" operator="lessThan">
      <formula>0</formula>
    </cfRule>
  </conditionalFormatting>
  <conditionalFormatting sqref="AQ83">
    <cfRule type="cellIs" dxfId="4857" priority="74" operator="lessThan">
      <formula>0</formula>
    </cfRule>
  </conditionalFormatting>
  <conditionalFormatting sqref="AQ83">
    <cfRule type="cellIs" dxfId="4856" priority="73" operator="lessThan">
      <formula>0</formula>
    </cfRule>
  </conditionalFormatting>
  <conditionalFormatting sqref="AQ83">
    <cfRule type="cellIs" dxfId="4855" priority="72" operator="lessThan">
      <formula>0</formula>
    </cfRule>
  </conditionalFormatting>
  <conditionalFormatting sqref="AQ83">
    <cfRule type="cellIs" dxfId="4854" priority="71" operator="lessThan">
      <formula>0</formula>
    </cfRule>
  </conditionalFormatting>
  <conditionalFormatting sqref="AQ83">
    <cfRule type="cellIs" dxfId="4853" priority="70" operator="lessThan">
      <formula>0</formula>
    </cfRule>
  </conditionalFormatting>
  <conditionalFormatting sqref="AQ83">
    <cfRule type="cellIs" dxfId="4852" priority="69" operator="lessThan">
      <formula>0</formula>
    </cfRule>
  </conditionalFormatting>
  <conditionalFormatting sqref="AQ83">
    <cfRule type="cellIs" dxfId="4851" priority="68" operator="lessThan">
      <formula>0</formula>
    </cfRule>
  </conditionalFormatting>
  <conditionalFormatting sqref="AQ83">
    <cfRule type="cellIs" dxfId="4850" priority="67" operator="lessThan">
      <formula>0</formula>
    </cfRule>
  </conditionalFormatting>
  <conditionalFormatting sqref="AQ83">
    <cfRule type="cellIs" dxfId="4849" priority="66" operator="lessThan">
      <formula>0</formula>
    </cfRule>
  </conditionalFormatting>
  <conditionalFormatting sqref="AQ83">
    <cfRule type="cellIs" dxfId="4848" priority="65" operator="lessThan">
      <formula>0</formula>
    </cfRule>
  </conditionalFormatting>
  <conditionalFormatting sqref="AQ83">
    <cfRule type="cellIs" dxfId="4847" priority="64" operator="lessThan">
      <formula>0</formula>
    </cfRule>
  </conditionalFormatting>
  <conditionalFormatting sqref="AQ83">
    <cfRule type="cellIs" dxfId="4846" priority="63" operator="lessThan">
      <formula>0</formula>
    </cfRule>
  </conditionalFormatting>
  <conditionalFormatting sqref="AQ83">
    <cfRule type="cellIs" dxfId="4845" priority="62" operator="lessThan">
      <formula>0</formula>
    </cfRule>
  </conditionalFormatting>
  <conditionalFormatting sqref="AQ83">
    <cfRule type="cellIs" dxfId="4844" priority="61" operator="lessThan">
      <formula>0</formula>
    </cfRule>
  </conditionalFormatting>
  <conditionalFormatting sqref="AQ83">
    <cfRule type="cellIs" dxfId="4843" priority="60" operator="lessThan">
      <formula>0</formula>
    </cfRule>
  </conditionalFormatting>
  <conditionalFormatting sqref="AQ83">
    <cfRule type="cellIs" dxfId="4842" priority="59" operator="lessThan">
      <formula>0</formula>
    </cfRule>
  </conditionalFormatting>
  <conditionalFormatting sqref="AQ83">
    <cfRule type="cellIs" dxfId="4841" priority="58" operator="lessThan">
      <formula>0</formula>
    </cfRule>
  </conditionalFormatting>
  <conditionalFormatting sqref="AQ83">
    <cfRule type="cellIs" dxfId="4840" priority="57" operator="lessThan">
      <formula>0</formula>
    </cfRule>
  </conditionalFormatting>
  <conditionalFormatting sqref="AQ83">
    <cfRule type="cellIs" dxfId="4839" priority="56" operator="lessThan">
      <formula>0</formula>
    </cfRule>
  </conditionalFormatting>
  <conditionalFormatting sqref="AQ83">
    <cfRule type="cellIs" dxfId="4838" priority="55" operator="lessThan">
      <formula>0</formula>
    </cfRule>
  </conditionalFormatting>
  <conditionalFormatting sqref="AQ83">
    <cfRule type="cellIs" dxfId="4837" priority="54" operator="lessThan">
      <formula>0</formula>
    </cfRule>
  </conditionalFormatting>
  <conditionalFormatting sqref="AQ83">
    <cfRule type="cellIs" dxfId="4836" priority="53" operator="lessThan">
      <formula>0</formula>
    </cfRule>
  </conditionalFormatting>
  <conditionalFormatting sqref="AQ83">
    <cfRule type="cellIs" dxfId="4835" priority="52" operator="lessThan">
      <formula>0</formula>
    </cfRule>
  </conditionalFormatting>
  <conditionalFormatting sqref="AQ83">
    <cfRule type="cellIs" dxfId="4834" priority="51" operator="lessThan">
      <formula>0</formula>
    </cfRule>
  </conditionalFormatting>
  <conditionalFormatting sqref="AQ83">
    <cfRule type="cellIs" dxfId="4833" priority="50" operator="lessThan">
      <formula>0</formula>
    </cfRule>
  </conditionalFormatting>
  <conditionalFormatting sqref="AQ83">
    <cfRule type="cellIs" dxfId="4832" priority="49" operator="lessThan">
      <formula>0</formula>
    </cfRule>
  </conditionalFormatting>
  <conditionalFormatting sqref="AQ83">
    <cfRule type="cellIs" dxfId="4831" priority="48" operator="lessThan">
      <formula>0</formula>
    </cfRule>
  </conditionalFormatting>
  <conditionalFormatting sqref="AQ83">
    <cfRule type="cellIs" dxfId="4830" priority="47" operator="lessThan">
      <formula>0</formula>
    </cfRule>
  </conditionalFormatting>
  <conditionalFormatting sqref="AQ83">
    <cfRule type="cellIs" dxfId="4829" priority="46" operator="lessThan">
      <formula>0</formula>
    </cfRule>
  </conditionalFormatting>
  <conditionalFormatting sqref="AQ83">
    <cfRule type="cellIs" dxfId="4828" priority="45" operator="lessThan">
      <formula>0</formula>
    </cfRule>
  </conditionalFormatting>
  <conditionalFormatting sqref="AQ83">
    <cfRule type="cellIs" dxfId="4827" priority="44" operator="lessThan">
      <formula>0</formula>
    </cfRule>
  </conditionalFormatting>
  <conditionalFormatting sqref="AQ83">
    <cfRule type="cellIs" dxfId="4826" priority="43" operator="lessThan">
      <formula>0</formula>
    </cfRule>
  </conditionalFormatting>
  <conditionalFormatting sqref="AQ83">
    <cfRule type="cellIs" dxfId="4825" priority="42" operator="lessThan">
      <formula>0</formula>
    </cfRule>
  </conditionalFormatting>
  <conditionalFormatting sqref="AQ83">
    <cfRule type="cellIs" dxfId="4824" priority="41" operator="lessThan">
      <formula>0</formula>
    </cfRule>
  </conditionalFormatting>
  <conditionalFormatting sqref="AQ83">
    <cfRule type="cellIs" dxfId="4823" priority="40" operator="lessThan">
      <formula>0</formula>
    </cfRule>
  </conditionalFormatting>
  <conditionalFormatting sqref="AQ83">
    <cfRule type="cellIs" dxfId="4822" priority="39" operator="lessThan">
      <formula>0</formula>
    </cfRule>
  </conditionalFormatting>
  <conditionalFormatting sqref="AQ83">
    <cfRule type="cellIs" dxfId="4821" priority="38" operator="lessThan">
      <formula>0</formula>
    </cfRule>
  </conditionalFormatting>
  <conditionalFormatting sqref="AQ83">
    <cfRule type="cellIs" dxfId="4820" priority="37" operator="lessThan">
      <formula>0</formula>
    </cfRule>
  </conditionalFormatting>
  <conditionalFormatting sqref="AQ83">
    <cfRule type="cellIs" dxfId="4819" priority="36" operator="lessThan">
      <formula>0</formula>
    </cfRule>
  </conditionalFormatting>
  <conditionalFormatting sqref="AQ83">
    <cfRule type="cellIs" dxfId="4818" priority="35" operator="lessThan">
      <formula>0</formula>
    </cfRule>
  </conditionalFormatting>
  <conditionalFormatting sqref="AQ83">
    <cfRule type="cellIs" dxfId="4817" priority="34" operator="lessThan">
      <formula>0</formula>
    </cfRule>
  </conditionalFormatting>
  <conditionalFormatting sqref="AQ83">
    <cfRule type="cellIs" dxfId="4816" priority="33" operator="lessThan">
      <formula>0</formula>
    </cfRule>
  </conditionalFormatting>
  <conditionalFormatting sqref="AQ83">
    <cfRule type="cellIs" dxfId="4815" priority="32" operator="lessThan">
      <formula>0</formula>
    </cfRule>
  </conditionalFormatting>
  <conditionalFormatting sqref="AQ83">
    <cfRule type="cellIs" dxfId="4814" priority="31" operator="lessThan">
      <formula>0</formula>
    </cfRule>
  </conditionalFormatting>
  <conditionalFormatting sqref="AQ83">
    <cfRule type="cellIs" dxfId="4813" priority="30" operator="lessThan">
      <formula>0</formula>
    </cfRule>
  </conditionalFormatting>
  <conditionalFormatting sqref="AQ83">
    <cfRule type="cellIs" dxfId="4812" priority="29" operator="lessThan">
      <formula>0</formula>
    </cfRule>
  </conditionalFormatting>
  <conditionalFormatting sqref="AQ83">
    <cfRule type="cellIs" dxfId="4811" priority="28" operator="lessThan">
      <formula>0</formula>
    </cfRule>
  </conditionalFormatting>
  <conditionalFormatting sqref="AQ83">
    <cfRule type="cellIs" dxfId="4810" priority="27" operator="lessThan">
      <formula>0</formula>
    </cfRule>
  </conditionalFormatting>
  <conditionalFormatting sqref="AQ83">
    <cfRule type="cellIs" dxfId="4809" priority="26" operator="lessThan">
      <formula>0</formula>
    </cfRule>
  </conditionalFormatting>
  <conditionalFormatting sqref="AQ83">
    <cfRule type="cellIs" dxfId="4808" priority="25" operator="lessThan">
      <formula>0</formula>
    </cfRule>
  </conditionalFormatting>
  <conditionalFormatting sqref="AQ83">
    <cfRule type="cellIs" dxfId="4807" priority="24" operator="lessThan">
      <formula>0</formula>
    </cfRule>
  </conditionalFormatting>
  <conditionalFormatting sqref="AQ83">
    <cfRule type="cellIs" dxfId="4806" priority="23" operator="lessThan">
      <formula>0</formula>
    </cfRule>
  </conditionalFormatting>
  <conditionalFormatting sqref="AQ83">
    <cfRule type="cellIs" dxfId="4805" priority="22" operator="lessThan">
      <formula>0</formula>
    </cfRule>
  </conditionalFormatting>
  <conditionalFormatting sqref="AQ83">
    <cfRule type="cellIs" dxfId="4804" priority="21" operator="lessThan">
      <formula>0</formula>
    </cfRule>
  </conditionalFormatting>
  <conditionalFormatting sqref="AQ83">
    <cfRule type="cellIs" dxfId="4803" priority="20" operator="lessThan">
      <formula>0</formula>
    </cfRule>
  </conditionalFormatting>
  <conditionalFormatting sqref="AQ83">
    <cfRule type="cellIs" dxfId="4802" priority="19" operator="lessThan">
      <formula>0</formula>
    </cfRule>
  </conditionalFormatting>
  <conditionalFormatting sqref="AQ83">
    <cfRule type="cellIs" dxfId="4801" priority="3" operator="lessThan">
      <formula>0</formula>
    </cfRule>
  </conditionalFormatting>
  <conditionalFormatting sqref="AQ83">
    <cfRule type="cellIs" dxfId="4800" priority="18" operator="lessThan">
      <formula>0</formula>
    </cfRule>
  </conditionalFormatting>
  <conditionalFormatting sqref="AQ83">
    <cfRule type="cellIs" dxfId="4799" priority="17" operator="lessThan">
      <formula>0</formula>
    </cfRule>
  </conditionalFormatting>
  <conditionalFormatting sqref="AQ83">
    <cfRule type="cellIs" dxfId="4798" priority="16" operator="lessThan">
      <formula>0</formula>
    </cfRule>
  </conditionalFormatting>
  <conditionalFormatting sqref="AQ83">
    <cfRule type="cellIs" dxfId="4797" priority="15" operator="lessThan">
      <formula>0</formula>
    </cfRule>
  </conditionalFormatting>
  <conditionalFormatting sqref="AQ83">
    <cfRule type="cellIs" dxfId="4796" priority="14" operator="lessThan">
      <formula>0</formula>
    </cfRule>
  </conditionalFormatting>
  <conditionalFormatting sqref="AQ83">
    <cfRule type="cellIs" dxfId="4795" priority="13" operator="lessThan">
      <formula>0</formula>
    </cfRule>
  </conditionalFormatting>
  <conditionalFormatting sqref="AQ83">
    <cfRule type="cellIs" dxfId="4794" priority="12" operator="lessThan">
      <formula>0</formula>
    </cfRule>
  </conditionalFormatting>
  <conditionalFormatting sqref="AQ83">
    <cfRule type="cellIs" dxfId="4793" priority="11" operator="lessThan">
      <formula>0</formula>
    </cfRule>
  </conditionalFormatting>
  <conditionalFormatting sqref="AQ83">
    <cfRule type="cellIs" dxfId="4792" priority="10" operator="lessThan">
      <formula>0</formula>
    </cfRule>
  </conditionalFormatting>
  <conditionalFormatting sqref="AQ83">
    <cfRule type="cellIs" dxfId="4791" priority="9" operator="lessThan">
      <formula>0</formula>
    </cfRule>
  </conditionalFormatting>
  <conditionalFormatting sqref="AQ83">
    <cfRule type="cellIs" dxfId="4790" priority="8" operator="lessThan">
      <formula>0</formula>
    </cfRule>
  </conditionalFormatting>
  <conditionalFormatting sqref="AQ83">
    <cfRule type="cellIs" dxfId="4789" priority="7" operator="lessThan">
      <formula>0</formula>
    </cfRule>
  </conditionalFormatting>
  <conditionalFormatting sqref="AQ83">
    <cfRule type="cellIs" dxfId="4788" priority="6" operator="lessThan">
      <formula>0</formula>
    </cfRule>
  </conditionalFormatting>
  <conditionalFormatting sqref="AQ83">
    <cfRule type="cellIs" dxfId="4787" priority="5" operator="lessThan">
      <formula>0</formula>
    </cfRule>
  </conditionalFormatting>
  <conditionalFormatting sqref="AQ83">
    <cfRule type="cellIs" dxfId="4786" priority="4" operator="lessThan">
      <formula>0</formula>
    </cfRule>
  </conditionalFormatting>
  <conditionalFormatting sqref="J24">
    <cfRule type="cellIs" dxfId="4785" priority="2" operator="greaterThan">
      <formula>0</formula>
    </cfRule>
  </conditionalFormatting>
  <conditionalFormatting sqref="J84">
    <cfRule type="cellIs" dxfId="4784" priority="1" operator="greater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72" id="{3434085A-C0F1-40C5-BD18-90F9F85F6F7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2268" id="{88A05297-A6EA-4E3D-8A97-ADB36F86813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2264" id="{984B513D-B8BD-49B6-8443-DFA133F9B51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2260" id="{F8EB0EF5-1ABD-4493-A78E-9AAC9619304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2256" id="{F96B07DE-61FA-45D8-B7BB-A2DA85D0A42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2252" id="{E5125F50-2D28-421D-8681-0E7C15753B0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2249" id="{BF1C7E87-FC2D-4250-84AA-54867F6D057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2242" id="{58A72644-E7F3-4DF3-AD2F-ADA21ACC697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2235" id="{F3833C55-2F1F-4C10-910F-AD66CF32999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2228" id="{F9FAF094-F5C4-420E-AD4D-B726C439875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2221" id="{6580FC9F-7F8F-4C0B-BE48-788FAB09A25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2215" id="{36957069-11A9-451E-AB7D-2BCFA9F327F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Z86</xm:sqref>
        </x14:conditionalFormatting>
        <x14:conditionalFormatting xmlns:xm="http://schemas.microsoft.com/office/excel/2006/main">
          <x14:cfRule type="iconSet" priority="2208" id="{A5C8386B-6B1B-4D3E-BE38-5DA76B5C7B7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2171" id="{AE637223-E0F3-406D-938E-304352680FB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2164" id="{ABB865E5-477D-49E0-B1E0-56F09B1B000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2057" id="{267E1548-2D6A-43D6-81F2-18F046E04CB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1907" id="{62B9F168-565C-47C6-907B-5E87451679A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1574" id="{D81B54FD-5B47-42B6-8C84-01C172E1E09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1445" id="{C0E413B2-BF5A-4D71-A5C1-F03F9B1D9E3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1202" id="{A71A6576-8214-46DC-BB79-790AA0FE11F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665" id="{FBB37382-E8F2-405E-A3C1-52789E79DFF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Z82</xm:sqref>
        </x14:conditionalFormatting>
      </x14:conditionalFormatting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77"/>
  <sheetViews>
    <sheetView zoomScale="19" zoomScaleNormal="19" zoomScaleSheetLayoutView="10" workbookViewId="0">
      <pane xSplit="11" ySplit="5" topLeftCell="L48" activePane="bottomRight" state="frozen"/>
      <selection pane="topRight" activeCell="L1" sqref="L1"/>
      <selection pane="bottomLeft" activeCell="A6" sqref="A6"/>
      <selection pane="bottomRight" activeCell="G83" sqref="G83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0.72121701131229188</v>
      </c>
      <c r="AE2" s="520"/>
      <c r="AH2" s="183">
        <f>+SUBTOTAL(9,AH6:AH99)</f>
        <v>303210</v>
      </c>
      <c r="AI2" s="183">
        <f>+SUBTOTAL(9,AI6:AI99)</f>
        <v>218680.21000000002</v>
      </c>
      <c r="AT2" s="91">
        <v>0.59793648334624327</v>
      </c>
    </row>
    <row r="3" spans="2:58" ht="94.5" customHeight="1" x14ac:dyDescent="0.9">
      <c r="B3" s="504"/>
      <c r="C3" s="504"/>
      <c r="D3" s="504"/>
      <c r="E3" s="504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504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+SUMIF($L$6:$L$82,AA3,$AA$6:$AA$82)</f>
        <v>6400</v>
      </c>
      <c r="AB4" s="144" t="s">
        <v>28</v>
      </c>
      <c r="AC4" s="145"/>
      <c r="AD4" s="524" t="str">
        <f ca="1">RIGHT(CELL("filename",A1),LEN(CELL("filename",A1))-FIND("]",CELL("filename",A1)))</f>
        <v>19-01-2026</v>
      </c>
      <c r="AE4" s="524"/>
      <c r="AF4" s="397">
        <f>+SUM(AF6:AF87)</f>
        <v>5053.5</v>
      </c>
      <c r="AG4" s="397"/>
      <c r="AH4" s="98"/>
      <c r="AI4" s="98"/>
      <c r="AJ4" s="398">
        <v>8.75</v>
      </c>
      <c r="AQ4" s="437">
        <f>+SUBTOTAL(9,AQ6:AQ83)</f>
        <v>-227.25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494</v>
      </c>
      <c r="H6" s="106"/>
      <c r="I6" s="106"/>
      <c r="J6" s="107" t="s">
        <v>20</v>
      </c>
      <c r="K6" s="108" t="s">
        <v>23</v>
      </c>
      <c r="L6" s="100" t="s">
        <v>21</v>
      </c>
      <c r="M6" s="448">
        <v>50</v>
      </c>
      <c r="N6" s="448"/>
      <c r="O6" s="448">
        <v>50</v>
      </c>
      <c r="P6" s="448">
        <v>100</v>
      </c>
      <c r="Q6" s="448"/>
      <c r="R6" s="448">
        <v>50</v>
      </c>
      <c r="S6" s="448">
        <v>100</v>
      </c>
      <c r="T6" s="448"/>
      <c r="U6" s="448"/>
      <c r="V6" s="448"/>
      <c r="W6" s="448"/>
      <c r="X6" s="447">
        <f t="shared" ref="X6" si="0">IF(AQ7="","",SUM(M6:W6)-(-(AQ7-SUM(M6:W6))/$AQ$3)*SUM($M$2:$W$2))</f>
        <v>350</v>
      </c>
      <c r="Y6" s="466">
        <v>-108.25</v>
      </c>
      <c r="Z6" s="533">
        <f>+X8</f>
        <v>0.25</v>
      </c>
      <c r="AA6" s="447">
        <f t="shared" ref="AA6:AA7" si="1">+SUM(L6:W6)</f>
        <v>350</v>
      </c>
      <c r="AB6" s="343">
        <f>+AC6+AA6</f>
        <v>1333</v>
      </c>
      <c r="AC6" s="343">
        <v>983</v>
      </c>
      <c r="AD6" s="344"/>
      <c r="AE6" s="345"/>
      <c r="AF6" s="346"/>
      <c r="AG6" s="347">
        <f t="shared" ref="AG6:AG65" si="2">TRUNC(AF6)+(AF6-TRUNC(AF6))*60/100</f>
        <v>0</v>
      </c>
      <c r="AH6" s="341">
        <f t="shared" ref="AH6:AH65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493</v>
      </c>
      <c r="E7" s="111"/>
      <c r="F7" s="111" t="s">
        <v>35</v>
      </c>
      <c r="G7" s="541" t="str">
        <f>+G6</f>
        <v>2395-582-401</v>
      </c>
      <c r="H7" s="111"/>
      <c r="I7" s="111" t="s">
        <v>33</v>
      </c>
      <c r="J7" s="113">
        <v>41.85</v>
      </c>
      <c r="K7" s="130">
        <v>57</v>
      </c>
      <c r="L7" s="101" t="s">
        <v>17</v>
      </c>
      <c r="M7" s="214">
        <v>57</v>
      </c>
      <c r="N7" s="214">
        <v>57</v>
      </c>
      <c r="O7" s="214">
        <v>57</v>
      </c>
      <c r="P7" s="214">
        <v>57</v>
      </c>
      <c r="Q7" s="214">
        <v>57</v>
      </c>
      <c r="R7" s="214">
        <v>57</v>
      </c>
      <c r="S7" s="214">
        <v>57</v>
      </c>
      <c r="T7" s="214">
        <v>57</v>
      </c>
      <c r="U7" s="214">
        <v>43</v>
      </c>
      <c r="V7" s="214"/>
      <c r="W7" s="214"/>
      <c r="X7" s="123">
        <f>+IF(H8="s",0,IF(AA7=0,0,IF(COUNTA(M7:W7)=AK9+0.25,SUMIF($C:$C,B7,$AA:$AA)/AK9,SUMIF($C:$C,B7,$AA:$AA)/(COUNTA(M7:W7)))))</f>
        <v>57.028571428571432</v>
      </c>
      <c r="Y7" s="466"/>
      <c r="Z7" s="534"/>
      <c r="AA7" s="134">
        <f t="shared" si="1"/>
        <v>499</v>
      </c>
      <c r="AB7" s="354">
        <f>+AA7+AC7</f>
        <v>859</v>
      </c>
      <c r="AC7" s="354">
        <v>360</v>
      </c>
      <c r="AD7" s="355">
        <f>+AB6-AB7</f>
        <v>474</v>
      </c>
      <c r="AE7" s="131">
        <f>+IF(((AA8+(AA9/2))*60)=0,"",(J7*AA7)/((AA8+(AA9/2))*60))</f>
        <v>0.83741954887218051</v>
      </c>
      <c r="AF7" s="347">
        <f>+AA8+AA9/2</f>
        <v>415.625</v>
      </c>
      <c r="AG7" s="347">
        <f t="shared" si="2"/>
        <v>415.375</v>
      </c>
      <c r="AH7" s="341">
        <f t="shared" si="3"/>
        <v>24937.5</v>
      </c>
      <c r="AI7" s="341">
        <f>+AA7*J7</f>
        <v>20883.150000000001</v>
      </c>
      <c r="AJ7" s="356">
        <f>+AA7-(AF7*K7/K9)</f>
        <v>-5.0558510638297776</v>
      </c>
      <c r="AK7" s="348"/>
      <c r="AL7" s="349"/>
      <c r="AM7" s="341"/>
      <c r="AN7" s="341"/>
      <c r="AO7" s="341"/>
      <c r="AP7" s="341"/>
      <c r="AQ7" s="339">
        <f t="shared" ref="AQ7" si="4">IF(AR7=0,"",AT7-(($AQ$3*K7)+($AQ$3*K7)*AR7)+AA6)</f>
        <v>-273.875</v>
      </c>
      <c r="AR7" s="434">
        <v>1.5</v>
      </c>
      <c r="AT7" s="390">
        <v>623</v>
      </c>
      <c r="AV7" s="390">
        <f>+AT7-AD7</f>
        <v>149</v>
      </c>
      <c r="AW7" s="535" t="s">
        <v>484</v>
      </c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2395-582-401</v>
      </c>
      <c r="H8" s="411" t="s">
        <v>412</v>
      </c>
      <c r="I8" s="113">
        <f>+IFERROR(IF(K9=0,0,IF((LOOKUP(2,1/(M8:W8&lt;&gt;""),M8:W8)-K9)&lt;0,0,IF(K9=0,"",LOOKUP(2,1/(M8:W8&lt;&gt;""),M8:W8)-K9))),0)</f>
        <v>0</v>
      </c>
      <c r="J8" s="113">
        <v>1</v>
      </c>
      <c r="K8" s="114" t="s">
        <v>22</v>
      </c>
      <c r="L8" s="102" t="s">
        <v>18</v>
      </c>
      <c r="M8" s="448">
        <v>47</v>
      </c>
      <c r="N8" s="448">
        <v>47</v>
      </c>
      <c r="O8" s="448">
        <v>47</v>
      </c>
      <c r="P8" s="448">
        <v>47</v>
      </c>
      <c r="Q8" s="448">
        <v>47</v>
      </c>
      <c r="R8" s="448">
        <v>47</v>
      </c>
      <c r="S8" s="448">
        <v>47</v>
      </c>
      <c r="T8" s="448">
        <v>47</v>
      </c>
      <c r="U8" s="448">
        <v>47</v>
      </c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0.25</v>
      </c>
      <c r="Y8" s="466"/>
      <c r="Z8" s="534"/>
      <c r="AA8" s="462">
        <f t="shared" ref="AA8:AA9" si="5">+SUM(M8:W8)-U8*0.25</f>
        <v>411.25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411.25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2395-582-401</v>
      </c>
      <c r="H9" s="117"/>
      <c r="I9" s="442"/>
      <c r="J9" s="165">
        <f>+IF(K9="","",IF(K7=0,"",(K7*J7)/(K9*60)))</f>
        <v>0.84590425531914903</v>
      </c>
      <c r="K9" s="118">
        <v>47</v>
      </c>
      <c r="L9" s="104" t="s">
        <v>19</v>
      </c>
      <c r="M9" s="216">
        <v>1</v>
      </c>
      <c r="N9" s="216">
        <v>1</v>
      </c>
      <c r="O9" s="216">
        <v>1</v>
      </c>
      <c r="P9" s="216">
        <v>1</v>
      </c>
      <c r="Q9" s="216">
        <v>1</v>
      </c>
      <c r="R9" s="216">
        <v>1</v>
      </c>
      <c r="S9" s="216">
        <v>1</v>
      </c>
      <c r="T9" s="216">
        <v>1</v>
      </c>
      <c r="U9" s="216">
        <v>1</v>
      </c>
      <c r="V9" s="216"/>
      <c r="W9" s="216"/>
      <c r="X9" s="173"/>
      <c r="Y9" s="467">
        <v>12.699122807017545</v>
      </c>
      <c r="Z9" s="371">
        <f>+IF(COUNTA(M7:W7)=$AJ$4+0.25,$AJ$4-(AA7/K7),COUNTA(M7:W7)-(AA7/K7))+Y9</f>
        <v>12.694736842105264</v>
      </c>
      <c r="AA9" s="465">
        <f t="shared" si="5"/>
        <v>8.75</v>
      </c>
      <c r="AB9" s="367"/>
      <c r="AC9" s="367"/>
      <c r="AD9" s="368">
        <f>+IFERROR(AD7/(K7*$AQ$3),"")</f>
        <v>0.9503759398496241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8.75</v>
      </c>
      <c r="AM9" s="341">
        <f>+AL9-AA9</f>
        <v>0</v>
      </c>
      <c r="AN9" s="341"/>
      <c r="AO9" s="341"/>
      <c r="AP9" s="341"/>
      <c r="AQ9" s="369"/>
      <c r="AR9" s="434"/>
      <c r="AT9" s="390">
        <v>1.249122807017544</v>
      </c>
      <c r="AV9" s="390"/>
    </row>
    <row r="10" spans="2:58" s="98" customFormat="1" ht="62.25" customHeight="1" thickTop="1" x14ac:dyDescent="0.9">
      <c r="B10" s="342">
        <f>+B11</f>
        <v>2</v>
      </c>
      <c r="C10" s="405"/>
      <c r="D10" s="106"/>
      <c r="E10" s="106"/>
      <c r="F10" s="106"/>
      <c r="G10" s="540" t="s">
        <v>481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120</v>
      </c>
      <c r="N10" s="448">
        <v>60</v>
      </c>
      <c r="O10" s="448">
        <v>180</v>
      </c>
      <c r="P10" s="448"/>
      <c r="Q10" s="448">
        <v>60</v>
      </c>
      <c r="R10" s="448">
        <v>60</v>
      </c>
      <c r="S10" s="448">
        <v>60</v>
      </c>
      <c r="T10" s="448"/>
      <c r="U10" s="448"/>
      <c r="V10" s="448"/>
      <c r="W10" s="448"/>
      <c r="X10" s="447">
        <f t="shared" ref="X10:X70" si="6">IF(AQ11="","",SUM(M10:W10)-(-(AQ11-SUM(M10:W10))/$AQ$3)*SUM($M$2:$W$2))</f>
        <v>540</v>
      </c>
      <c r="Y10" s="466">
        <v>0.75</v>
      </c>
      <c r="Z10" s="533">
        <f>+X12</f>
        <v>0.25</v>
      </c>
      <c r="AA10" s="447">
        <f t="shared" ref="AA10:AA71" si="7">+SUM(L10:W10)</f>
        <v>540</v>
      </c>
      <c r="AB10" s="343">
        <f>+AC10+AA10</f>
        <v>4836</v>
      </c>
      <c r="AC10" s="343">
        <v>4296</v>
      </c>
      <c r="AD10" s="344"/>
      <c r="AE10" s="345"/>
      <c r="AF10" s="346"/>
      <c r="AG10" s="347">
        <f t="shared" si="2"/>
        <v>0</v>
      </c>
      <c r="AH10" s="341">
        <f t="shared" si="3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2</v>
      </c>
      <c r="C11" s="406">
        <f>+B11</f>
        <v>2</v>
      </c>
      <c r="D11" s="407" t="s">
        <v>480</v>
      </c>
      <c r="E11" s="111"/>
      <c r="F11" s="111" t="s">
        <v>35</v>
      </c>
      <c r="G11" s="541" t="str">
        <f t="shared" ref="G11:G13" si="8">+G10</f>
        <v>2396-593-600</v>
      </c>
      <c r="H11" s="111"/>
      <c r="I11" s="111" t="s">
        <v>33</v>
      </c>
      <c r="J11" s="113">
        <v>38.82</v>
      </c>
      <c r="K11" s="494">
        <v>61</v>
      </c>
      <c r="L11" s="101" t="s">
        <v>17</v>
      </c>
      <c r="M11" s="214">
        <v>52</v>
      </c>
      <c r="N11" s="214">
        <v>70</v>
      </c>
      <c r="O11" s="214">
        <v>61</v>
      </c>
      <c r="P11" s="214">
        <v>61</v>
      </c>
      <c r="Q11" s="214">
        <v>61</v>
      </c>
      <c r="R11" s="214">
        <v>61</v>
      </c>
      <c r="S11" s="214">
        <v>61</v>
      </c>
      <c r="T11" s="214">
        <v>56</v>
      </c>
      <c r="U11" s="214">
        <v>51</v>
      </c>
      <c r="V11" s="214"/>
      <c r="W11" s="214"/>
      <c r="X11" s="123">
        <f t="shared" ref="X11" si="9">+IF(H12="s",0,IF(AA11=0,0,IF(COUNTA(M11:W11)=AK13+0.25,SUMIF($C:$C,B11,$AA:$AA)/AK13,SUMIF($C:$C,B11,$AA:$AA)/(COUNTA(M11:W11)))))</f>
        <v>61.028571428571432</v>
      </c>
      <c r="Y11" s="466"/>
      <c r="Z11" s="534"/>
      <c r="AA11" s="134">
        <f t="shared" si="7"/>
        <v>534</v>
      </c>
      <c r="AB11" s="354">
        <f>+AA11+AC11</f>
        <v>4033</v>
      </c>
      <c r="AC11" s="354">
        <v>3499</v>
      </c>
      <c r="AD11" s="355">
        <f>+AB10-AB11</f>
        <v>803</v>
      </c>
      <c r="AE11" s="131">
        <f>+IF(((AA12+(AA13/2))*60)=0,"",(J11*AA11)/((AA12+(AA13/2))*60))</f>
        <v>0.91826710963455149</v>
      </c>
      <c r="AF11" s="347">
        <f>+AA12+AA13/2</f>
        <v>376.25</v>
      </c>
      <c r="AG11" s="347">
        <f t="shared" si="2"/>
        <v>376.15</v>
      </c>
      <c r="AH11" s="341">
        <f t="shared" si="3"/>
        <v>22575</v>
      </c>
      <c r="AI11" s="341">
        <f>+AA11*J11</f>
        <v>20729.88</v>
      </c>
      <c r="AJ11" s="356">
        <f>+AA11-(AF11*K11/K13)</f>
        <v>0.25</v>
      </c>
      <c r="AK11" s="348"/>
      <c r="AL11" s="349"/>
      <c r="AM11" s="341"/>
      <c r="AN11" s="341"/>
      <c r="AO11" s="341"/>
      <c r="AP11" s="341"/>
      <c r="AQ11" s="339">
        <f t="shared" ref="AQ11" si="10">IF(AR11=0,"",AT11-(($AQ$3*K11)+($AQ$3*K11)*AR11)+AA10)</f>
        <v>2.625</v>
      </c>
      <c r="AR11" s="434">
        <v>1.5</v>
      </c>
      <c r="AT11" s="390">
        <v>797</v>
      </c>
      <c r="AV11" s="390">
        <f>+AT11-AD11</f>
        <v>-6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2</v>
      </c>
      <c r="C12" s="408"/>
      <c r="D12" s="184"/>
      <c r="E12" s="111"/>
      <c r="F12" s="409"/>
      <c r="G12" s="541" t="str">
        <f t="shared" si="8"/>
        <v>2396-593-600</v>
      </c>
      <c r="H12" s="411" t="s">
        <v>412</v>
      </c>
      <c r="I12" s="113">
        <f>+IFERROR(IF(K13=0,0,IF((LOOKUP(2,1/(M12:W12&lt;&gt;""),M12:W12)-K13)&lt;0,0,IF(K13=0,"",LOOKUP(2,1/(M12:W12&lt;&gt;""),M12:W12)-K13))),0)</f>
        <v>0</v>
      </c>
      <c r="J12" s="113">
        <v>1</v>
      </c>
      <c r="K12" s="114" t="s">
        <v>22</v>
      </c>
      <c r="L12" s="102" t="s">
        <v>18</v>
      </c>
      <c r="M12" s="448">
        <v>43</v>
      </c>
      <c r="N12" s="448">
        <v>43</v>
      </c>
      <c r="O12" s="448">
        <v>43</v>
      </c>
      <c r="P12" s="448">
        <v>43</v>
      </c>
      <c r="Q12" s="448">
        <v>43</v>
      </c>
      <c r="R12" s="448">
        <v>43</v>
      </c>
      <c r="S12" s="448">
        <v>43</v>
      </c>
      <c r="T12" s="448">
        <v>43</v>
      </c>
      <c r="U12" s="448">
        <v>43</v>
      </c>
      <c r="V12" s="448"/>
      <c r="W12" s="448"/>
      <c r="X12" s="160">
        <f t="shared" ref="X12" si="11">+IF(H12="l",IF(COUNTA(M11:W11)=AK13+0.25,AA11-K11*AK13,AA11-(K11*COUNTA(M11:W11))),IF(H12="s",0,IF(COUNTA(M11:W11)=AK13+0.25,SUMIF($C:$C,B11,$AA:$AA)-K11*AK13,SUMIF($C:$C,B11,$AA:$AA)-K11*COUNTA(M11:W11))))</f>
        <v>0.25</v>
      </c>
      <c r="Y12" s="466"/>
      <c r="Z12" s="534"/>
      <c r="AA12" s="462">
        <f t="shared" ref="AA12:AA73" si="12">+SUM(M12:W12)-U12*0.25</f>
        <v>376.25</v>
      </c>
      <c r="AB12" s="360"/>
      <c r="AC12" s="360"/>
      <c r="AD12" s="362"/>
      <c r="AE12" s="363"/>
      <c r="AF12" s="346"/>
      <c r="AG12" s="347">
        <f t="shared" si="2"/>
        <v>0</v>
      </c>
      <c r="AH12" s="341">
        <f t="shared" si="3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376.25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2</v>
      </c>
      <c r="C13" s="410"/>
      <c r="D13" s="174" t="s">
        <v>419</v>
      </c>
      <c r="E13" s="175"/>
      <c r="F13" s="175"/>
      <c r="G13" s="542" t="str">
        <f t="shared" si="8"/>
        <v>2396-593-600</v>
      </c>
      <c r="H13" s="117"/>
      <c r="I13" s="442"/>
      <c r="J13" s="165">
        <f>+IF(K13="","",IF(K11=0,"",(K11*J11)/(K13*60)))</f>
        <v>0.9178372093023256</v>
      </c>
      <c r="K13" s="118">
        <v>43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9.8341269841269856</v>
      </c>
      <c r="Z13" s="365">
        <v>9.8341269841269856</v>
      </c>
      <c r="AA13" s="465">
        <f t="shared" si="12"/>
        <v>0</v>
      </c>
      <c r="AB13" s="367"/>
      <c r="AC13" s="367"/>
      <c r="AD13" s="368">
        <f>+IFERROR(AD11/(K11*$AQ$3),"")</f>
        <v>1.5044496487119439</v>
      </c>
      <c r="AE13" s="369"/>
      <c r="AF13" s="347"/>
      <c r="AG13" s="347">
        <f t="shared" si="2"/>
        <v>0</v>
      </c>
      <c r="AH13" s="341">
        <f t="shared" si="3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1.4932084309133489</v>
      </c>
      <c r="AV13" s="390"/>
    </row>
    <row r="14" spans="2:58" s="98" customFormat="1" ht="62.25" customHeight="1" thickTop="1" x14ac:dyDescent="0.9">
      <c r="B14" s="342">
        <f>+B15</f>
        <v>3</v>
      </c>
      <c r="C14" s="405"/>
      <c r="D14" s="106"/>
      <c r="E14" s="106"/>
      <c r="F14" s="106"/>
      <c r="G14" s="540" t="s">
        <v>489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183</v>
      </c>
      <c r="N14" s="448">
        <v>210</v>
      </c>
      <c r="O14" s="448">
        <v>170</v>
      </c>
      <c r="P14" s="448"/>
      <c r="Q14" s="448">
        <v>70</v>
      </c>
      <c r="R14" s="448"/>
      <c r="S14" s="448">
        <v>70</v>
      </c>
      <c r="T14" s="448"/>
      <c r="U14" s="448"/>
      <c r="V14" s="448"/>
      <c r="W14" s="448"/>
      <c r="X14" s="447">
        <f t="shared" si="6"/>
        <v>703</v>
      </c>
      <c r="Y14" s="466">
        <v>0</v>
      </c>
      <c r="Z14" s="533">
        <f>+X16</f>
        <v>-164</v>
      </c>
      <c r="AA14" s="447">
        <f t="shared" si="7"/>
        <v>703</v>
      </c>
      <c r="AB14" s="343">
        <f>+AC14+AA14</f>
        <v>3294</v>
      </c>
      <c r="AC14" s="343">
        <v>2591</v>
      </c>
      <c r="AD14" s="344"/>
      <c r="AE14" s="345"/>
      <c r="AF14" s="346"/>
      <c r="AG14" s="347"/>
      <c r="AH14" s="341"/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3</v>
      </c>
      <c r="C15" s="406">
        <v>3</v>
      </c>
      <c r="D15" s="407" t="s">
        <v>490</v>
      </c>
      <c r="E15" s="111"/>
      <c r="F15" s="111" t="s">
        <v>475</v>
      </c>
      <c r="G15" s="541" t="str">
        <f>+G14</f>
        <v xml:space="preserve">PAULSON  </v>
      </c>
      <c r="H15" s="111"/>
      <c r="I15" s="111" t="s">
        <v>41</v>
      </c>
      <c r="J15" s="113"/>
      <c r="K15" s="130">
        <v>80</v>
      </c>
      <c r="L15" s="101" t="s">
        <v>17</v>
      </c>
      <c r="M15" s="214">
        <v>64</v>
      </c>
      <c r="N15" s="214">
        <v>75</v>
      </c>
      <c r="O15" s="214">
        <v>65</v>
      </c>
      <c r="P15" s="214">
        <v>45</v>
      </c>
      <c r="Q15" s="214">
        <v>70</v>
      </c>
      <c r="R15" s="214">
        <v>50</v>
      </c>
      <c r="S15" s="214">
        <v>72</v>
      </c>
      <c r="T15" s="214">
        <v>45</v>
      </c>
      <c r="U15" s="214">
        <v>50</v>
      </c>
      <c r="V15" s="214"/>
      <c r="W15" s="214"/>
      <c r="X15" s="123">
        <f t="shared" ref="X15" si="13">+IF(H16="s",0,IF(AA15=0,0,IF(COUNTA(M15:W15)=AK17+0.25,SUMIF($C:$C,B15,$AA:$AA)/AK17,SUMIF($C:$C,B15,$AA:$AA)/(COUNTA(M15:W15)))))</f>
        <v>61.25714285714286</v>
      </c>
      <c r="Y15" s="466"/>
      <c r="Z15" s="534"/>
      <c r="AA15" s="134">
        <f t="shared" si="7"/>
        <v>536</v>
      </c>
      <c r="AB15" s="354">
        <f>+AA15+AC15</f>
        <v>1515</v>
      </c>
      <c r="AC15" s="354">
        <v>979</v>
      </c>
      <c r="AD15" s="355">
        <f>+AB14-AB15</f>
        <v>1779</v>
      </c>
      <c r="AE15" s="131" t="str">
        <f>+IF(((AA16+(AA17/2))*60)=0,"",(J15*AA15)/((AA16+(AA17/2))*60))</f>
        <v/>
      </c>
      <c r="AF15" s="347"/>
      <c r="AG15" s="347"/>
      <c r="AH15" s="341"/>
      <c r="AI15" s="341"/>
      <c r="AJ15" s="356"/>
      <c r="AK15" s="348"/>
      <c r="AL15" s="349"/>
      <c r="AM15" s="341"/>
      <c r="AN15" s="341"/>
      <c r="AO15" s="341"/>
      <c r="AP15" s="341"/>
      <c r="AQ15" s="339">
        <f>-600+AA14</f>
        <v>103</v>
      </c>
      <c r="AR15" s="434">
        <v>1.5</v>
      </c>
      <c r="AT15" s="390">
        <v>1612</v>
      </c>
      <c r="AV15" s="390">
        <f t="shared" ref="AV15" si="14">+AT15-AD15</f>
        <v>-167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3</v>
      </c>
      <c r="C16" s="408"/>
      <c r="D16" s="184"/>
      <c r="E16" s="111">
        <f>+B15</f>
        <v>3</v>
      </c>
      <c r="F16" s="409"/>
      <c r="G16" s="541" t="str">
        <f>+G14</f>
        <v xml:space="preserve">PAULSON  </v>
      </c>
      <c r="H16" s="411"/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160">
        <f t="shared" ref="X16" si="15">+IF(H16="l",IF(COUNTA(M15:W15)=AK17+0.25,AA15-K15*AK17,AA15-(K15*COUNTA(M15:W15))),IF(H16="s",0,IF(COUNTA(M15:W15)=AK17+0.25,SUMIF($C:$C,B15,$AA:$AA)-K15*AK17,SUMIF($C:$C,B15,$AA:$AA)-K15*COUNTA(M15:W15))))</f>
        <v>-164</v>
      </c>
      <c r="Y16" s="466"/>
      <c r="Z16" s="534"/>
      <c r="AA16" s="462">
        <f t="shared" si="12"/>
        <v>0</v>
      </c>
      <c r="AB16" s="360"/>
      <c r="AC16" s="360"/>
      <c r="AD16" s="362"/>
      <c r="AE16" s="363"/>
      <c r="AF16" s="346"/>
      <c r="AG16" s="347"/>
      <c r="AH16" s="341"/>
      <c r="AI16" s="341"/>
      <c r="AJ16" s="341"/>
      <c r="AK16" s="348"/>
      <c r="AL16" s="349"/>
      <c r="AM16" s="341"/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3</v>
      </c>
      <c r="C17" s="410"/>
      <c r="D17" s="174"/>
      <c r="E17" s="175">
        <f>+E16+100</f>
        <v>103</v>
      </c>
      <c r="F17" s="175"/>
      <c r="G17" s="542" t="str">
        <f>+G14</f>
        <v xml:space="preserve">PAULSON  </v>
      </c>
      <c r="H17" s="117"/>
      <c r="I17" s="442"/>
      <c r="J17" s="165" t="str">
        <f>+IF(K17="","",IF(K15=0,"",(K15*J15)/(K17*60)))</f>
        <v/>
      </c>
      <c r="K17" s="118"/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43.572727272727271</v>
      </c>
      <c r="Z17" s="371">
        <f>+IF(COUNTA(M15:W15)=$AJ$4+0.25,$AJ$4-(AA15/K15),COUNTA(M15:W15)-(AA15/K15))+Y17</f>
        <v>45.622727272727268</v>
      </c>
      <c r="AA17" s="465">
        <f t="shared" si="12"/>
        <v>0</v>
      </c>
      <c r="AB17" s="367"/>
      <c r="AC17" s="367"/>
      <c r="AD17" s="368">
        <f>+IFERROR(AD15/(K15*$AQ$3),"")</f>
        <v>2.5414285714285714</v>
      </c>
      <c r="AE17" s="369"/>
      <c r="AF17" s="347"/>
      <c r="AG17" s="347"/>
      <c r="AH17" s="341"/>
      <c r="AI17" s="341"/>
      <c r="AJ17" s="356"/>
      <c r="AK17" s="370">
        <f>+$AJ$4</f>
        <v>8.75</v>
      </c>
      <c r="AL17" s="349"/>
      <c r="AM17" s="341"/>
      <c r="AN17" s="341"/>
      <c r="AO17" s="341"/>
      <c r="AP17" s="341"/>
      <c r="AQ17" s="369"/>
      <c r="AR17" s="434"/>
      <c r="AT17" s="390">
        <v>2.3028571428571429</v>
      </c>
      <c r="AV17" s="390"/>
    </row>
    <row r="18" spans="2:58" s="98" customFormat="1" ht="62.25" customHeight="1" thickTop="1" x14ac:dyDescent="0.9">
      <c r="B18" s="342">
        <f>+B19</f>
        <v>4</v>
      </c>
      <c r="C18" s="405"/>
      <c r="D18" s="106"/>
      <c r="E18" s="106"/>
      <c r="F18" s="106"/>
      <c r="G18" s="540" t="s">
        <v>494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50</v>
      </c>
      <c r="N18" s="448"/>
      <c r="O18" s="448">
        <v>50</v>
      </c>
      <c r="P18" s="448">
        <v>50</v>
      </c>
      <c r="Q18" s="448"/>
      <c r="R18" s="448">
        <v>50</v>
      </c>
      <c r="S18" s="448">
        <v>50</v>
      </c>
      <c r="T18" s="448"/>
      <c r="U18" s="448"/>
      <c r="V18" s="448"/>
      <c r="W18" s="448"/>
      <c r="X18" s="447">
        <f t="shared" si="6"/>
        <v>250</v>
      </c>
      <c r="Y18" s="466">
        <v>-171</v>
      </c>
      <c r="Z18" s="533">
        <f>+X20</f>
        <v>-347.75</v>
      </c>
      <c r="AA18" s="447">
        <f t="shared" si="7"/>
        <v>250</v>
      </c>
      <c r="AB18" s="343">
        <f>+AC18+AA18</f>
        <v>600</v>
      </c>
      <c r="AC18" s="343">
        <v>350</v>
      </c>
      <c r="AD18" s="344"/>
      <c r="AE18" s="345"/>
      <c r="AF18" s="346"/>
      <c r="AG18" s="347">
        <f t="shared" si="2"/>
        <v>0</v>
      </c>
      <c r="AH18" s="341">
        <f t="shared" si="3"/>
        <v>0</v>
      </c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1.35">
      <c r="B19" s="351">
        <v>4</v>
      </c>
      <c r="C19" s="406">
        <f>+B19</f>
        <v>4</v>
      </c>
      <c r="D19" s="407" t="s">
        <v>493</v>
      </c>
      <c r="E19" s="111"/>
      <c r="F19" s="111" t="s">
        <v>35</v>
      </c>
      <c r="G19" s="541" t="str">
        <f>+G18</f>
        <v>2395-582-401</v>
      </c>
      <c r="H19" s="111"/>
      <c r="I19" s="111" t="s">
        <v>33</v>
      </c>
      <c r="J19" s="113">
        <v>41.85</v>
      </c>
      <c r="K19" s="130">
        <v>57</v>
      </c>
      <c r="L19" s="101" t="s">
        <v>17</v>
      </c>
      <c r="M19" s="214">
        <v>0</v>
      </c>
      <c r="N19" s="214">
        <v>0</v>
      </c>
      <c r="O19" s="214">
        <v>0</v>
      </c>
      <c r="P19" s="214">
        <v>0</v>
      </c>
      <c r="Q19" s="214">
        <v>30</v>
      </c>
      <c r="R19" s="214">
        <v>30</v>
      </c>
      <c r="S19" s="214">
        <v>35</v>
      </c>
      <c r="T19" s="214">
        <v>30</v>
      </c>
      <c r="U19" s="214">
        <v>26</v>
      </c>
      <c r="V19" s="214"/>
      <c r="W19" s="214"/>
      <c r="X19" s="123">
        <f t="shared" ref="X19" si="16">+IF(H20="s",0,IF(AA19=0,0,IF(COUNTA(M19:W19)=AK21+0.25,SUMIF($C:$C,B19,$AA:$AA)/AK21,SUMIF($C:$C,B19,$AA:$AA)/(COUNTA(M19:W19)))))</f>
        <v>17.257142857142856</v>
      </c>
      <c r="Y19" s="466"/>
      <c r="Z19" s="534"/>
      <c r="AA19" s="134">
        <f t="shared" si="7"/>
        <v>151</v>
      </c>
      <c r="AB19" s="354">
        <f>+AA19+AC19</f>
        <v>151</v>
      </c>
      <c r="AC19" s="354">
        <v>0</v>
      </c>
      <c r="AD19" s="355">
        <f>+AB18-AB19</f>
        <v>449</v>
      </c>
      <c r="AE19" s="131">
        <f>+IF(((AA20+(AA21/2))*60)=0,"",(J19*AA19)/((AA20+(AA21/2))*60))</f>
        <v>0.2611841289522629</v>
      </c>
      <c r="AF19" s="347">
        <f>+AA20+AA21/2</f>
        <v>403.25</v>
      </c>
      <c r="AG19" s="347">
        <f t="shared" si="2"/>
        <v>403.15</v>
      </c>
      <c r="AH19" s="341">
        <f t="shared" si="3"/>
        <v>24195</v>
      </c>
      <c r="AI19" s="341">
        <f>+AA19*J19</f>
        <v>6319.35</v>
      </c>
      <c r="AJ19" s="356">
        <f>+AA19-(AF19*K19/K21)</f>
        <v>-338.04787234042556</v>
      </c>
      <c r="AK19" s="348"/>
      <c r="AL19" s="349"/>
      <c r="AM19" s="341"/>
      <c r="AN19" s="341"/>
      <c r="AO19" s="341"/>
      <c r="AP19" s="341"/>
      <c r="AQ19" s="339">
        <f>-300+AA18</f>
        <v>-50</v>
      </c>
      <c r="AR19" s="434">
        <v>1.5</v>
      </c>
      <c r="AT19" s="390">
        <v>350</v>
      </c>
      <c r="AV19" s="390">
        <f t="shared" ref="AV19" si="17">+AT19-AD19</f>
        <v>-99</v>
      </c>
      <c r="AW19" s="535" t="s">
        <v>484</v>
      </c>
      <c r="AX19" s="535"/>
      <c r="AY19" s="535"/>
      <c r="AZ19" s="535"/>
      <c r="BA19" s="535"/>
      <c r="BB19" s="535"/>
      <c r="BC19" s="535"/>
      <c r="BD19" s="535"/>
      <c r="BE19" s="535"/>
      <c r="BF19" s="535"/>
    </row>
    <row r="20" spans="2:58" s="98" customFormat="1" ht="62.25" customHeight="1" x14ac:dyDescent="0.9">
      <c r="B20" s="357">
        <f>+B19</f>
        <v>4</v>
      </c>
      <c r="C20" s="408"/>
      <c r="D20" s="184"/>
      <c r="E20" s="111">
        <f>+B19</f>
        <v>4</v>
      </c>
      <c r="F20" s="409"/>
      <c r="G20" s="541" t="str">
        <f>+G18</f>
        <v>2395-582-401</v>
      </c>
      <c r="H20" s="411" t="s">
        <v>413</v>
      </c>
      <c r="I20" s="113">
        <f>+IFERROR(IF(K21=0,0,IF((LOOKUP(2,1/(M20:W20&lt;&gt;""),M20:W20)-K21)&lt;0,0,IF(K21=0,"",LOOKUP(2,1/(M20:W20&lt;&gt;""),M20:W20)-K21))),0)</f>
        <v>0</v>
      </c>
      <c r="J20" s="113">
        <v>1</v>
      </c>
      <c r="K20" s="114" t="s">
        <v>22</v>
      </c>
      <c r="L20" s="102" t="s">
        <v>18</v>
      </c>
      <c r="M20" s="448">
        <v>44</v>
      </c>
      <c r="N20" s="448">
        <v>45</v>
      </c>
      <c r="O20" s="448">
        <v>45</v>
      </c>
      <c r="P20" s="448">
        <v>46</v>
      </c>
      <c r="Q20" s="448">
        <v>47</v>
      </c>
      <c r="R20" s="448">
        <v>47</v>
      </c>
      <c r="S20" s="448">
        <v>47</v>
      </c>
      <c r="T20" s="448">
        <v>47</v>
      </c>
      <c r="U20" s="448">
        <v>47</v>
      </c>
      <c r="V20" s="448"/>
      <c r="W20" s="448"/>
      <c r="X20" s="160">
        <f t="shared" ref="X20" si="18">+IF(H20="l",IF(COUNTA(M19:W19)=AK21+0.25,AA19-K19*AK21,AA19-(K19*COUNTA(M19:W19))),IF(H20="s",0,IF(COUNTA(M19:W19)=AK21+0.25,SUMIF($C:$C,B19,$AA:$AA)-K19*AK21,SUMIF($C:$C,B19,$AA:$AA)-K19*COUNTA(M19:W19))))</f>
        <v>-347.75</v>
      </c>
      <c r="Y20" s="466"/>
      <c r="Z20" s="534"/>
      <c r="AA20" s="462">
        <f t="shared" si="12"/>
        <v>403.25</v>
      </c>
      <c r="AB20" s="360"/>
      <c r="AC20" s="360"/>
      <c r="AD20" s="362"/>
      <c r="AE20" s="363"/>
      <c r="AF20" s="346"/>
      <c r="AG20" s="347">
        <f t="shared" si="2"/>
        <v>0</v>
      </c>
      <c r="AH20" s="341">
        <f t="shared" si="3"/>
        <v>0</v>
      </c>
      <c r="AI20" s="341"/>
      <c r="AJ20" s="341"/>
      <c r="AK20" s="348"/>
      <c r="AL20" s="349">
        <f>+IF(AK21=7.75,SUM(M20:S20)+T20*0.75,IF(AK21=8,SUM(M20:T20),IF(AK21=7.25,SUM(M20:S20)+T20*0.25,IF(AK21=8.25,SUM(M20:T20)+U20*0.25,IF(AK21=8.75,SUM(M20:T20)+U20*0.75,0)))))</f>
        <v>403.25</v>
      </c>
      <c r="AM20" s="341">
        <f>+AL20-AA20</f>
        <v>0</v>
      </c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4</v>
      </c>
      <c r="C21" s="410"/>
      <c r="D21" s="174" t="s">
        <v>420</v>
      </c>
      <c r="E21" s="175">
        <f>+E20+100</f>
        <v>104</v>
      </c>
      <c r="F21" s="175"/>
      <c r="G21" s="542" t="str">
        <f>+G18</f>
        <v>2395-582-401</v>
      </c>
      <c r="H21" s="117"/>
      <c r="I21" s="442"/>
      <c r="J21" s="165">
        <f>+IF(K21="","",IF(K19=0,"",(K19*J19)/(K21*60)))</f>
        <v>0.84590425531914903</v>
      </c>
      <c r="K21" s="118">
        <v>47</v>
      </c>
      <c r="L21" s="104" t="s">
        <v>19</v>
      </c>
      <c r="M21" s="216"/>
      <c r="N21" s="216"/>
      <c r="O21" s="216"/>
      <c r="P21" s="216"/>
      <c r="Q21" s="216"/>
      <c r="R21" s="216"/>
      <c r="S21" s="216"/>
      <c r="T21" s="216"/>
      <c r="U21" s="216"/>
      <c r="V21" s="216"/>
      <c r="W21" s="216"/>
      <c r="X21" s="173"/>
      <c r="Y21" s="467">
        <v>3.7909999999999999</v>
      </c>
      <c r="Z21" s="371">
        <f>+IF(COUNTA(M19:W19)=$AJ$4+0.25,$AJ$4-(AA19/K19),COUNTA(M19:W19)-(AA19/K19))+Y21</f>
        <v>9.8918771929824558</v>
      </c>
      <c r="AA21" s="465">
        <f t="shared" si="12"/>
        <v>0</v>
      </c>
      <c r="AB21" s="367"/>
      <c r="AC21" s="367"/>
      <c r="AD21" s="368">
        <f>+IFERROR(AD19/(K19*$AQ$3),"")</f>
        <v>0.90025062656641608</v>
      </c>
      <c r="AE21" s="369"/>
      <c r="AF21" s="347"/>
      <c r="AG21" s="347">
        <f t="shared" si="2"/>
        <v>0</v>
      </c>
      <c r="AH21" s="341">
        <f t="shared" si="3"/>
        <v>0</v>
      </c>
      <c r="AI21" s="341"/>
      <c r="AJ21" s="356"/>
      <c r="AK21" s="370">
        <f>+$AJ$4</f>
        <v>8.75</v>
      </c>
      <c r="AL21" s="349">
        <f>+IF(AK21=7.75,SUM(M21:S21)+T21*0.75,IF(AK21=8,SUM(M21:T21),IF(AK21=7.25,SUM(M21:S21)+T21*0.25,IF(AK21=8.25,SUM(M21:T21)+U21*0.25,IF(AK21=8.75,SUM(M21:T21)+U21*0.75,0)))))</f>
        <v>0</v>
      </c>
      <c r="AM21" s="341">
        <f>+AL21-AA21</f>
        <v>0</v>
      </c>
      <c r="AN21" s="341"/>
      <c r="AO21" s="341"/>
      <c r="AP21" s="341"/>
      <c r="AQ21" s="369"/>
      <c r="AR21" s="434"/>
      <c r="AT21" s="390">
        <v>0.70175438596491224</v>
      </c>
      <c r="AV21" s="390"/>
    </row>
    <row r="22" spans="2:58" s="98" customFormat="1" ht="62.25" customHeight="1" thickTop="1" x14ac:dyDescent="0.9">
      <c r="B22" s="342">
        <f>+B23</f>
        <v>5</v>
      </c>
      <c r="C22" s="405"/>
      <c r="D22" s="106"/>
      <c r="E22" s="106"/>
      <c r="F22" s="106"/>
      <c r="G22" s="540" t="s">
        <v>481</v>
      </c>
      <c r="H22" s="106"/>
      <c r="I22" s="111"/>
      <c r="J22" s="107" t="s">
        <v>20</v>
      </c>
      <c r="K22" s="108" t="s">
        <v>23</v>
      </c>
      <c r="L22" s="100" t="s">
        <v>21</v>
      </c>
      <c r="M22" s="448">
        <v>180</v>
      </c>
      <c r="N22" s="448">
        <v>120</v>
      </c>
      <c r="O22" s="448">
        <v>180</v>
      </c>
      <c r="P22" s="448"/>
      <c r="Q22" s="448"/>
      <c r="R22" s="448"/>
      <c r="S22" s="448"/>
      <c r="T22" s="448"/>
      <c r="U22" s="448"/>
      <c r="V22" s="448"/>
      <c r="W22" s="448"/>
      <c r="X22" s="447">
        <f t="shared" si="6"/>
        <v>480</v>
      </c>
      <c r="Y22" s="466">
        <v>0</v>
      </c>
      <c r="Z22" s="533">
        <f>+X24</f>
        <v>0</v>
      </c>
      <c r="AA22" s="447">
        <f t="shared" si="7"/>
        <v>480</v>
      </c>
      <c r="AB22" s="343">
        <f>+AC22+AA22</f>
        <v>3420</v>
      </c>
      <c r="AC22" s="343">
        <v>2940</v>
      </c>
      <c r="AD22" s="344"/>
      <c r="AE22" s="345"/>
      <c r="AF22" s="346"/>
      <c r="AG22" s="347">
        <f t="shared" si="2"/>
        <v>0</v>
      </c>
      <c r="AH22" s="341">
        <f t="shared" si="3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5</v>
      </c>
      <c r="C23" s="406">
        <f>+B23</f>
        <v>5</v>
      </c>
      <c r="D23" s="407" t="s">
        <v>480</v>
      </c>
      <c r="E23" s="111"/>
      <c r="F23" s="111" t="s">
        <v>35</v>
      </c>
      <c r="G23" s="541" t="str">
        <f t="shared" ref="G23:G25" si="19">+G22</f>
        <v>2396-593-600</v>
      </c>
      <c r="H23" s="111"/>
      <c r="I23" s="111" t="s">
        <v>33</v>
      </c>
      <c r="J23" s="113">
        <v>38.82</v>
      </c>
      <c r="K23" s="130">
        <v>60</v>
      </c>
      <c r="L23" s="101" t="s">
        <v>17</v>
      </c>
      <c r="M23" s="214">
        <v>60</v>
      </c>
      <c r="N23" s="214">
        <v>60</v>
      </c>
      <c r="O23" s="214">
        <v>60</v>
      </c>
      <c r="P23" s="214">
        <v>60</v>
      </c>
      <c r="Q23" s="214">
        <v>60</v>
      </c>
      <c r="R23" s="214">
        <v>60</v>
      </c>
      <c r="S23" s="214">
        <v>60</v>
      </c>
      <c r="T23" s="214">
        <v>60</v>
      </c>
      <c r="U23" s="214">
        <v>45</v>
      </c>
      <c r="V23" s="214"/>
      <c r="W23" s="214"/>
      <c r="X23" s="123">
        <f t="shared" ref="X23" si="20">+IF(H24="s",0,IF(AA23=0,0,IF(COUNTA(M23:W23)=AK25+0.25,SUMIF($C:$C,B23,$AA:$AA)/AK25,SUMIF($C:$C,B23,$AA:$AA)/(COUNTA(M23:W23)))))</f>
        <v>60</v>
      </c>
      <c r="Y23" s="466"/>
      <c r="Z23" s="534"/>
      <c r="AA23" s="134">
        <f t="shared" si="7"/>
        <v>525</v>
      </c>
      <c r="AB23" s="354">
        <f>+AA23+AC23</f>
        <v>2570</v>
      </c>
      <c r="AC23" s="354">
        <v>2045</v>
      </c>
      <c r="AD23" s="355">
        <f>+AB22-AB23</f>
        <v>850</v>
      </c>
      <c r="AE23" s="131">
        <f>+IF(((AA24+(AA25/2))*60)=0,"",(J23*AA23)/((AA24+(AA25/2))*60))</f>
        <v>0.90279069767441855</v>
      </c>
      <c r="AF23" s="347">
        <f>+AA24+AA25/2</f>
        <v>376.25</v>
      </c>
      <c r="AG23" s="347">
        <f t="shared" si="2"/>
        <v>376.15</v>
      </c>
      <c r="AH23" s="341">
        <f t="shared" si="3"/>
        <v>22575</v>
      </c>
      <c r="AI23" s="341">
        <f>+AA23*J23</f>
        <v>20380.5</v>
      </c>
      <c r="AJ23" s="356">
        <f>+AA23-(AF23*K23/K25)</f>
        <v>0</v>
      </c>
      <c r="AK23" s="348"/>
      <c r="AL23" s="349"/>
      <c r="AM23" s="341"/>
      <c r="AN23" s="341"/>
      <c r="AO23" s="341"/>
      <c r="AP23" s="341"/>
      <c r="AQ23" s="339">
        <f t="shared" ref="AQ23" si="21">IF(AR23=0,"",AT23-(($AQ$3*K23)+($AQ$3*K23)*AR23)+AA22)</f>
        <v>10</v>
      </c>
      <c r="AR23" s="434">
        <v>1.6</v>
      </c>
      <c r="AT23" s="390">
        <v>895</v>
      </c>
      <c r="AV23" s="390">
        <f t="shared" ref="AV23" si="22">+AT23-AD23</f>
        <v>45</v>
      </c>
    </row>
    <row r="24" spans="2:58" s="98" customFormat="1" ht="62.25" customHeight="1" x14ac:dyDescent="0.9">
      <c r="B24" s="357">
        <f>B23</f>
        <v>5</v>
      </c>
      <c r="C24" s="408"/>
      <c r="D24" s="184"/>
      <c r="E24" s="111">
        <f>+B23</f>
        <v>5</v>
      </c>
      <c r="F24" s="412"/>
      <c r="G24" s="541" t="str">
        <f t="shared" si="19"/>
        <v>2396-593-600</v>
      </c>
      <c r="H24" s="411" t="s">
        <v>412</v>
      </c>
      <c r="I24" s="113">
        <f>+IFERROR(IF(K25=0,0,IF((LOOKUP(2,1/(M24:W24&lt;&gt;""),M24:W24)-K25)&lt;0,0,IF(K25=0,"",LOOKUP(2,1/(M24:W24&lt;&gt;""),M24:W24)-K25))),0)</f>
        <v>0</v>
      </c>
      <c r="J24" s="113">
        <v>2</v>
      </c>
      <c r="K24" s="114" t="s">
        <v>22</v>
      </c>
      <c r="L24" s="102" t="s">
        <v>18</v>
      </c>
      <c r="M24" s="448">
        <v>43</v>
      </c>
      <c r="N24" s="448">
        <v>43</v>
      </c>
      <c r="O24" s="448">
        <v>43</v>
      </c>
      <c r="P24" s="448">
        <v>43</v>
      </c>
      <c r="Q24" s="448">
        <v>43</v>
      </c>
      <c r="R24" s="448">
        <v>43</v>
      </c>
      <c r="S24" s="448">
        <v>43</v>
      </c>
      <c r="T24" s="448">
        <v>43</v>
      </c>
      <c r="U24" s="448">
        <v>43</v>
      </c>
      <c r="V24" s="448"/>
      <c r="W24" s="448"/>
      <c r="X24" s="160">
        <f t="shared" ref="X24" si="23"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si="12"/>
        <v>376.25</v>
      </c>
      <c r="AB24" s="360"/>
      <c r="AC24" s="360"/>
      <c r="AD24" s="362"/>
      <c r="AE24" s="363"/>
      <c r="AF24" s="346"/>
      <c r="AG24" s="347">
        <f t="shared" si="2"/>
        <v>0</v>
      </c>
      <c r="AH24" s="341">
        <f t="shared" si="3"/>
        <v>0</v>
      </c>
      <c r="AI24" s="341"/>
      <c r="AJ24" s="356"/>
      <c r="AK24" s="348"/>
      <c r="AL24" s="349">
        <f>+IF(AK25=7.75,SUM(M24:S24)+T24*0.75,IF(AK25=8,SUM(M24:T24),IF(AK25=7.25,SUM(M24:S24)+T24*0.25,IF(AK25=8.25,SUM(M24:T24)+U24*0.25,IF(AK25=8.75,SUM(M24:T24)+U24*0.75,0)))))</f>
        <v>376.25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B23</f>
        <v>5</v>
      </c>
      <c r="C25" s="410"/>
      <c r="D25" s="174" t="s">
        <v>380</v>
      </c>
      <c r="E25" s="175">
        <f>+E24+100</f>
        <v>105</v>
      </c>
      <c r="F25" s="175"/>
      <c r="G25" s="542" t="str">
        <f t="shared" si="19"/>
        <v>2396-593-600</v>
      </c>
      <c r="H25" s="117"/>
      <c r="I25" s="442"/>
      <c r="J25" s="165">
        <f>+IF(K25="","",IF(K23=0,"",(K23*J23)/(K25*60)))</f>
        <v>0.90279069767441855</v>
      </c>
      <c r="K25" s="118">
        <v>43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8.8262666666666671</v>
      </c>
      <c r="Z25" s="497">
        <v>8.8262666666666671</v>
      </c>
      <c r="AA25" s="465">
        <f t="shared" si="12"/>
        <v>0</v>
      </c>
      <c r="AB25" s="367"/>
      <c r="AC25" s="367"/>
      <c r="AD25" s="368">
        <f>+IFERROR(AD23/(K23*$AQ$3),"")</f>
        <v>1.6190476190476191</v>
      </c>
      <c r="AE25" s="369"/>
      <c r="AF25" s="347"/>
      <c r="AG25" s="347">
        <f t="shared" si="2"/>
        <v>0</v>
      </c>
      <c r="AH25" s="341">
        <f t="shared" si="3"/>
        <v>0</v>
      </c>
      <c r="AI25" s="341"/>
      <c r="AJ25" s="356"/>
      <c r="AK25" s="370">
        <f>+$AJ$4</f>
        <v>8.75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1.7047619047619047</v>
      </c>
      <c r="AV25" s="390"/>
    </row>
    <row r="26" spans="2:58" s="98" customFormat="1" ht="62.25" customHeight="1" thickTop="1" x14ac:dyDescent="0.9">
      <c r="B26" s="342">
        <f>+B27</f>
        <v>6</v>
      </c>
      <c r="C26" s="405"/>
      <c r="D26" s="106"/>
      <c r="E26" s="106"/>
      <c r="F26" s="106"/>
      <c r="G26" s="540" t="s">
        <v>442</v>
      </c>
      <c r="H26" s="106"/>
      <c r="I26" s="111"/>
      <c r="J26" s="107" t="s">
        <v>20</v>
      </c>
      <c r="K26" s="108">
        <v>0</v>
      </c>
      <c r="L26" s="100" t="s">
        <v>21</v>
      </c>
      <c r="M26" s="448"/>
      <c r="N26" s="448">
        <v>61</v>
      </c>
      <c r="O26" s="448">
        <v>120</v>
      </c>
      <c r="P26" s="448">
        <v>60</v>
      </c>
      <c r="Q26" s="448">
        <v>60</v>
      </c>
      <c r="R26" s="448">
        <v>60</v>
      </c>
      <c r="S26" s="448">
        <v>120</v>
      </c>
      <c r="T26" s="448"/>
      <c r="U26" s="448"/>
      <c r="V26" s="448"/>
      <c r="W26" s="448"/>
      <c r="X26" s="447">
        <f t="shared" si="6"/>
        <v>481</v>
      </c>
      <c r="Y26" s="466">
        <v>0.75</v>
      </c>
      <c r="Z26" s="533">
        <f>+X28</f>
        <v>0.25</v>
      </c>
      <c r="AA26" s="447">
        <f t="shared" si="7"/>
        <v>481</v>
      </c>
      <c r="AB26" s="343">
        <f>+AC26+AA26</f>
        <v>5585</v>
      </c>
      <c r="AC26" s="343">
        <v>5104</v>
      </c>
      <c r="AD26" s="344"/>
      <c r="AE26" s="345"/>
      <c r="AF26" s="346"/>
      <c r="AG26" s="347">
        <f t="shared" si="2"/>
        <v>0</v>
      </c>
      <c r="AH26" s="341">
        <f t="shared" si="3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6</v>
      </c>
      <c r="C27" s="406">
        <f>+B27</f>
        <v>6</v>
      </c>
      <c r="D27" s="407" t="s">
        <v>441</v>
      </c>
      <c r="E27" s="111"/>
      <c r="F27" s="111" t="s">
        <v>35</v>
      </c>
      <c r="G27" s="541" t="str">
        <f t="shared" ref="G27:G29" si="24">+G26</f>
        <v>2259-600-730</v>
      </c>
      <c r="H27" s="111"/>
      <c r="I27" s="111" t="s">
        <v>33</v>
      </c>
      <c r="J27" s="113">
        <v>34.450000000000003</v>
      </c>
      <c r="K27" s="494">
        <v>61</v>
      </c>
      <c r="L27" s="101" t="s">
        <v>17</v>
      </c>
      <c r="M27" s="214">
        <v>55</v>
      </c>
      <c r="N27" s="214">
        <v>61</v>
      </c>
      <c r="O27" s="214">
        <v>61</v>
      </c>
      <c r="P27" s="214">
        <v>61</v>
      </c>
      <c r="Q27" s="214">
        <v>61</v>
      </c>
      <c r="R27" s="214">
        <v>61</v>
      </c>
      <c r="S27" s="214">
        <v>63</v>
      </c>
      <c r="T27" s="214">
        <v>47</v>
      </c>
      <c r="U27" s="214">
        <v>64</v>
      </c>
      <c r="V27" s="214"/>
      <c r="W27" s="214"/>
      <c r="X27" s="123">
        <f t="shared" ref="X27" si="25">+IF(H28="s",0,IF(AA27=0,0,IF(COUNTA(M27:W27)=AK29+0.25,SUMIF($C:$C,B27,$AA:$AA)/AK29,SUMIF($C:$C,B27,$AA:$AA)/(COUNTA(M27:W27)))))</f>
        <v>61.028571428571432</v>
      </c>
      <c r="Y27" s="466"/>
      <c r="Z27" s="534"/>
      <c r="AA27" s="134">
        <f t="shared" si="7"/>
        <v>534</v>
      </c>
      <c r="AB27" s="354">
        <f>+AA27+AC27</f>
        <v>4791</v>
      </c>
      <c r="AC27" s="354">
        <v>4257</v>
      </c>
      <c r="AD27" s="355">
        <f>+AB26-AB27</f>
        <v>794</v>
      </c>
      <c r="AE27" s="131">
        <f>+IF(((AA28+(AA29/2))*60)=0,"",(J27*AA27)/((AA28+(AA29/2))*60))</f>
        <v>0.88710307414104894</v>
      </c>
      <c r="AF27" s="347">
        <f>+AA28+AA29/2</f>
        <v>345.625</v>
      </c>
      <c r="AG27" s="347">
        <f t="shared" si="2"/>
        <v>345.375</v>
      </c>
      <c r="AH27" s="341">
        <f t="shared" si="3"/>
        <v>20737.5</v>
      </c>
      <c r="AI27" s="341">
        <f>+AA27*J27</f>
        <v>18396.300000000003</v>
      </c>
      <c r="AJ27" s="356">
        <f>+AA27-(AF27*K27/K29)</f>
        <v>-20.819078947368439</v>
      </c>
      <c r="AK27" s="348"/>
      <c r="AL27" s="349"/>
      <c r="AM27" s="341"/>
      <c r="AN27" s="341"/>
      <c r="AO27" s="341"/>
      <c r="AP27" s="341"/>
      <c r="AQ27" s="339">
        <f>-481+AA26</f>
        <v>0</v>
      </c>
      <c r="AR27" s="434">
        <v>1.5</v>
      </c>
      <c r="AT27" s="390">
        <v>847</v>
      </c>
      <c r="AV27" s="390">
        <f t="shared" ref="AV27" si="26">+AT27-AD27</f>
        <v>53</v>
      </c>
    </row>
    <row r="28" spans="2:58" s="98" customFormat="1" ht="62.25" customHeight="1" x14ac:dyDescent="0.9">
      <c r="B28" s="357">
        <f>B27</f>
        <v>6</v>
      </c>
      <c r="C28" s="408"/>
      <c r="D28" s="184"/>
      <c r="E28" s="111">
        <f>+B27</f>
        <v>6</v>
      </c>
      <c r="F28" s="409"/>
      <c r="G28" s="541" t="str">
        <f t="shared" si="24"/>
        <v>2259-600-730</v>
      </c>
      <c r="H28" s="411" t="s">
        <v>413</v>
      </c>
      <c r="I28" s="113">
        <f>+IFERROR(IF(K29=0,0,IF((LOOKUP(2,1/(M28:W28&lt;&gt;""),M28:W28)-K29)&lt;0,0,IF(K29=0,"",LOOKUP(2,1/(M28:W28&lt;&gt;""),M28:W28)-K29))),0)</f>
        <v>1</v>
      </c>
      <c r="J28" s="113">
        <v>0</v>
      </c>
      <c r="K28" s="114" t="s">
        <v>22</v>
      </c>
      <c r="L28" s="102" t="s">
        <v>18</v>
      </c>
      <c r="M28" s="448">
        <v>39</v>
      </c>
      <c r="N28" s="448">
        <v>39</v>
      </c>
      <c r="O28" s="448">
        <v>39</v>
      </c>
      <c r="P28" s="448">
        <v>39</v>
      </c>
      <c r="Q28" s="448">
        <v>39</v>
      </c>
      <c r="R28" s="448">
        <v>39</v>
      </c>
      <c r="S28" s="448">
        <v>39</v>
      </c>
      <c r="T28" s="448">
        <v>39</v>
      </c>
      <c r="U28" s="448">
        <v>39</v>
      </c>
      <c r="V28" s="448"/>
      <c r="W28" s="448"/>
      <c r="X28" s="160">
        <f t="shared" ref="X28" si="27">+IF(H28="l",IF(COUNTA(M27:W27)=AK29+0.25,AA27-K27*AK29,AA27-(K27*COUNTA(M27:W27))),IF(H28="s",0,IF(COUNTA(M27:W27)=AK29+0.25,SUMIF($C:$C,B27,$AA:$AA)-K27*AK29,SUMIF($C:$C,B27,$AA:$AA)-K27*COUNTA(M27:W27))))</f>
        <v>0.25</v>
      </c>
      <c r="Y28" s="466"/>
      <c r="Z28" s="534"/>
      <c r="AA28" s="462">
        <f t="shared" si="12"/>
        <v>341.25</v>
      </c>
      <c r="AB28" s="360"/>
      <c r="AC28" s="360"/>
      <c r="AD28" s="362"/>
      <c r="AE28" s="363"/>
      <c r="AF28" s="346"/>
      <c r="AG28" s="347">
        <f t="shared" si="2"/>
        <v>0</v>
      </c>
      <c r="AH28" s="341">
        <f t="shared" si="3"/>
        <v>0</v>
      </c>
      <c r="AI28" s="341"/>
      <c r="AJ28" s="356"/>
      <c r="AK28" s="348"/>
      <c r="AL28" s="349">
        <f>+IF(AK29=7.75,SUM(M28:S28)+T28*0.75,IF(AK29=8,SUM(M28:T28),IF(AK29=7.25,SUM(M28:S28)+T28*0.25,IF(AK29=8.25,SUM(M28:T28)+U28*0.25,IF(AK29=8.75,SUM(M28:T28)+U28*0.75,0)))))</f>
        <v>341.25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B27</f>
        <v>6</v>
      </c>
      <c r="C29" s="410"/>
      <c r="D29" s="174" t="s">
        <v>366</v>
      </c>
      <c r="E29" s="175">
        <f>+E28+100</f>
        <v>106</v>
      </c>
      <c r="F29" s="175"/>
      <c r="G29" s="542" t="str">
        <f t="shared" si="24"/>
        <v>2259-600-730</v>
      </c>
      <c r="H29" s="117"/>
      <c r="I29" s="442"/>
      <c r="J29" s="165">
        <f>+IF(K29="","",IF(K27=0,"",(K27*J27)/(K29*60)))</f>
        <v>0.92168859649122814</v>
      </c>
      <c r="K29" s="118">
        <v>38</v>
      </c>
      <c r="L29" s="104" t="s">
        <v>19</v>
      </c>
      <c r="M29" s="216">
        <v>1</v>
      </c>
      <c r="N29" s="216">
        <v>1</v>
      </c>
      <c r="O29" s="216">
        <v>1</v>
      </c>
      <c r="P29" s="216">
        <v>1</v>
      </c>
      <c r="Q29" s="216">
        <v>1</v>
      </c>
      <c r="R29" s="216">
        <v>1</v>
      </c>
      <c r="S29" s="216">
        <v>1</v>
      </c>
      <c r="T29" s="216">
        <v>1</v>
      </c>
      <c r="U29" s="216">
        <v>1</v>
      </c>
      <c r="V29" s="216"/>
      <c r="W29" s="216"/>
      <c r="X29" s="173"/>
      <c r="Y29" s="467">
        <v>14.213333333333335</v>
      </c>
      <c r="Z29" s="365">
        <v>14.213333333333335</v>
      </c>
      <c r="AA29" s="465">
        <f t="shared" si="12"/>
        <v>8.75</v>
      </c>
      <c r="AB29" s="367"/>
      <c r="AC29" s="367"/>
      <c r="AD29" s="368">
        <f>+IFERROR(AD27/(K27*$AQ$3),"")</f>
        <v>1.4875878220140515</v>
      </c>
      <c r="AE29" s="369"/>
      <c r="AF29" s="347"/>
      <c r="AG29" s="347">
        <f t="shared" si="2"/>
        <v>0</v>
      </c>
      <c r="AH29" s="341">
        <f t="shared" si="3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8.75</v>
      </c>
      <c r="AM29" s="341">
        <f>+AL29-AA29</f>
        <v>0</v>
      </c>
      <c r="AN29" s="341"/>
      <c r="AO29" s="341"/>
      <c r="AP29" s="341"/>
      <c r="AQ29" s="369"/>
      <c r="AR29" s="434"/>
      <c r="AT29" s="390">
        <v>1.5868852459016394</v>
      </c>
      <c r="AV29" s="390"/>
    </row>
    <row r="30" spans="2:58" s="98" customFormat="1" ht="62.25" customHeight="1" thickTop="1" x14ac:dyDescent="0.9">
      <c r="B30" s="342">
        <f>+B31</f>
        <v>7</v>
      </c>
      <c r="C30" s="405"/>
      <c r="D30" s="106"/>
      <c r="E30" s="106"/>
      <c r="F30" s="106"/>
      <c r="G30" s="540" t="s">
        <v>442</v>
      </c>
      <c r="H30" s="106"/>
      <c r="I30" s="106"/>
      <c r="J30" s="107" t="s">
        <v>20</v>
      </c>
      <c r="K30" s="108" t="s">
        <v>23</v>
      </c>
      <c r="L30" s="100" t="s">
        <v>21</v>
      </c>
      <c r="M30" s="448">
        <v>61</v>
      </c>
      <c r="N30" s="448">
        <v>120</v>
      </c>
      <c r="O30" s="448"/>
      <c r="P30" s="448">
        <v>60</v>
      </c>
      <c r="Q30" s="448">
        <v>60</v>
      </c>
      <c r="R30" s="448">
        <v>60</v>
      </c>
      <c r="S30" s="448">
        <v>120</v>
      </c>
      <c r="T30" s="448"/>
      <c r="U30" s="473"/>
      <c r="V30" s="448"/>
      <c r="W30" s="448"/>
      <c r="X30" s="447">
        <f t="shared" si="6"/>
        <v>481</v>
      </c>
      <c r="Y30" s="466">
        <v>0.75</v>
      </c>
      <c r="Z30" s="533">
        <f>+X32</f>
        <v>0.25</v>
      </c>
      <c r="AA30" s="447">
        <f t="shared" si="7"/>
        <v>481</v>
      </c>
      <c r="AB30" s="343">
        <f>+AC30+AA30</f>
        <v>4690</v>
      </c>
      <c r="AC30" s="343">
        <v>4209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1.35">
      <c r="B31" s="351">
        <v>7</v>
      </c>
      <c r="C31" s="406">
        <f>+B31</f>
        <v>7</v>
      </c>
      <c r="D31" s="407" t="s">
        <v>441</v>
      </c>
      <c r="E31" s="111"/>
      <c r="F31" s="111" t="s">
        <v>35</v>
      </c>
      <c r="G31" s="541" t="str">
        <f t="shared" ref="G31:G33" si="28">+G30</f>
        <v>2259-600-730</v>
      </c>
      <c r="H31" s="111"/>
      <c r="I31" s="111" t="s">
        <v>33</v>
      </c>
      <c r="J31" s="113">
        <v>34.450000000000003</v>
      </c>
      <c r="K31" s="494">
        <v>61</v>
      </c>
      <c r="L31" s="101" t="s">
        <v>17</v>
      </c>
      <c r="M31" s="214">
        <v>39</v>
      </c>
      <c r="N31" s="214">
        <v>61</v>
      </c>
      <c r="O31" s="214">
        <v>61</v>
      </c>
      <c r="P31" s="214">
        <v>65</v>
      </c>
      <c r="Q31" s="214">
        <v>61</v>
      </c>
      <c r="R31" s="214">
        <v>56</v>
      </c>
      <c r="S31" s="214">
        <v>61</v>
      </c>
      <c r="T31" s="214">
        <v>84</v>
      </c>
      <c r="U31" s="214">
        <v>46</v>
      </c>
      <c r="V31" s="214"/>
      <c r="W31" s="214"/>
      <c r="X31" s="123">
        <f t="shared" ref="X31" si="29">+IF(H32="s",0,IF(AA31=0,0,IF(COUNTA(M31:W31)=AK33+0.25,SUMIF($C:$C,B31,$AA:$AA)/AK33,SUMIF($C:$C,B31,$AA:$AA)/(COUNTA(M31:W31)))))</f>
        <v>61.028571428571432</v>
      </c>
      <c r="Y31" s="466"/>
      <c r="Z31" s="534"/>
      <c r="AA31" s="134">
        <f t="shared" si="7"/>
        <v>534</v>
      </c>
      <c r="AB31" s="354">
        <f>+AA31+AC31</f>
        <v>3908</v>
      </c>
      <c r="AC31" s="354">
        <v>3374</v>
      </c>
      <c r="AD31" s="355">
        <f>+AB30-AB31</f>
        <v>782</v>
      </c>
      <c r="AE31" s="131">
        <f>+IF(((AA32+(AA33/2))*60)=0,"",(J31*AA31)/((AA32+(AA33/2))*60))</f>
        <v>0.89847619047619065</v>
      </c>
      <c r="AF31" s="347">
        <f>+AA32+AA33/2</f>
        <v>341.25</v>
      </c>
      <c r="AG31" s="347">
        <f t="shared" si="2"/>
        <v>341.15</v>
      </c>
      <c r="AH31" s="341">
        <f t="shared" si="3"/>
        <v>20475</v>
      </c>
      <c r="AI31" s="341">
        <f>+AA31*J31</f>
        <v>18396.300000000003</v>
      </c>
      <c r="AJ31" s="356">
        <f>+AA31-(AF31*K31/K33)</f>
        <v>-13.796052631578959</v>
      </c>
      <c r="AK31" s="348"/>
      <c r="AL31" s="349"/>
      <c r="AM31" s="341"/>
      <c r="AN31" s="341"/>
      <c r="AO31" s="341"/>
      <c r="AP31" s="341"/>
      <c r="AQ31" s="339">
        <f>-481+AA30</f>
        <v>0</v>
      </c>
      <c r="AR31" s="434">
        <v>1.5</v>
      </c>
      <c r="AT31" s="390">
        <v>835</v>
      </c>
      <c r="AV31" s="390">
        <f t="shared" ref="AV31" si="30">+AT31-AD31</f>
        <v>53</v>
      </c>
      <c r="AW31" s="535"/>
      <c r="AX31" s="535"/>
      <c r="AY31" s="535"/>
      <c r="AZ31" s="535"/>
      <c r="BA31" s="535"/>
      <c r="BB31" s="535"/>
      <c r="BC31" s="535"/>
      <c r="BD31" s="535"/>
      <c r="BE31" s="535"/>
      <c r="BF31" s="535"/>
    </row>
    <row r="32" spans="2:58" s="98" customFormat="1" ht="62.25" customHeight="1" x14ac:dyDescent="0.9">
      <c r="B32" s="357">
        <f>B31</f>
        <v>7</v>
      </c>
      <c r="C32" s="408"/>
      <c r="D32" s="184"/>
      <c r="E32" s="111">
        <f>+B31</f>
        <v>7</v>
      </c>
      <c r="F32" s="409"/>
      <c r="G32" s="541" t="str">
        <f t="shared" si="28"/>
        <v>2259-600-730</v>
      </c>
      <c r="H32" s="411" t="s">
        <v>413</v>
      </c>
      <c r="I32" s="113">
        <f>+IFERROR(IF(K33=0,0,IF((LOOKUP(2,1/(M32:W32&lt;&gt;""),M32:W32)-K33)&lt;0,0,IF(K33=0,"",LOOKUP(2,1/(M32:W32&lt;&gt;""),M32:W32)-K33))),0)</f>
        <v>1</v>
      </c>
      <c r="J32" s="113">
        <v>1</v>
      </c>
      <c r="K32" s="114" t="s">
        <v>22</v>
      </c>
      <c r="L32" s="102" t="s">
        <v>18</v>
      </c>
      <c r="M32" s="448">
        <v>39</v>
      </c>
      <c r="N32" s="448">
        <v>39</v>
      </c>
      <c r="O32" s="448">
        <v>39</v>
      </c>
      <c r="P32" s="448">
        <v>39</v>
      </c>
      <c r="Q32" s="448">
        <v>39</v>
      </c>
      <c r="R32" s="448">
        <v>39</v>
      </c>
      <c r="S32" s="448">
        <v>39</v>
      </c>
      <c r="T32" s="448">
        <v>39</v>
      </c>
      <c r="U32" s="448">
        <v>39</v>
      </c>
      <c r="V32" s="448"/>
      <c r="W32" s="448"/>
      <c r="X32" s="160">
        <f t="shared" ref="X32" si="31">+IF(H32="l",IF(COUNTA(M31:W31)=AK33+0.25,AA31-K31*AK33,AA31-(K31*COUNTA(M31:W31))),IF(H32="s",0,IF(COUNTA(M31:W31)=AK33+0.25,SUMIF($C:$C,B31,$AA:$AA)-K31*AK33,SUMIF($C:$C,B31,$AA:$AA)-K31*COUNTA(M31:W31))))</f>
        <v>0.25</v>
      </c>
      <c r="Y32" s="466"/>
      <c r="Z32" s="534"/>
      <c r="AA32" s="462">
        <f t="shared" si="12"/>
        <v>341.25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41"/>
      <c r="AK32" s="348"/>
      <c r="AL32" s="349">
        <f>+IF(AK33=7.75,SUM(M32:S32)+T32*0.75,IF(AK33=8,SUM(M32:T32),IF(AK33=7.25,SUM(M32:S32)+T32*0.25,IF(AK33=8.25,SUM(M32:T32)+U32*0.25,IF(AK33=8.75,SUM(M32:T32)+U32*0.75,0)))))</f>
        <v>341.25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72">
        <f>B31</f>
        <v>7</v>
      </c>
      <c r="C33" s="410"/>
      <c r="D33" s="174" t="s">
        <v>93</v>
      </c>
      <c r="E33" s="175">
        <f>+E32+100</f>
        <v>107</v>
      </c>
      <c r="F33" s="175"/>
      <c r="G33" s="542" t="str">
        <f t="shared" si="28"/>
        <v>2259-600-730</v>
      </c>
      <c r="H33" s="117"/>
      <c r="I33" s="442"/>
      <c r="J33" s="165">
        <f>+IF(K33="","",IF(K31=0,"",(K31*J31)/(K33*60)))</f>
        <v>0.92168859649122814</v>
      </c>
      <c r="K33" s="118">
        <v>38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15.388301092896173</v>
      </c>
      <c r="Z33" s="365">
        <v>15.388301092896173</v>
      </c>
      <c r="AA33" s="465">
        <f t="shared" si="12"/>
        <v>0</v>
      </c>
      <c r="AB33" s="367"/>
      <c r="AC33" s="367"/>
      <c r="AD33" s="368">
        <f>+IFERROR(AD31/(K31*$AQ$3),"")</f>
        <v>1.4651053864168617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1.5644028103044496</v>
      </c>
      <c r="AV33" s="390"/>
    </row>
    <row r="34" spans="2:58" s="98" customFormat="1" ht="62.25" customHeight="1" thickTop="1" x14ac:dyDescent="0.9">
      <c r="B34" s="342">
        <f>+B35</f>
        <v>8</v>
      </c>
      <c r="C34" s="405"/>
      <c r="D34" s="106"/>
      <c r="E34" s="106"/>
      <c r="F34" s="106"/>
      <c r="G34" s="540" t="s">
        <v>432</v>
      </c>
      <c r="H34" s="106"/>
      <c r="I34" s="106"/>
      <c r="J34" s="107" t="s">
        <v>20</v>
      </c>
      <c r="K34" s="108" t="s">
        <v>23</v>
      </c>
      <c r="L34" s="100" t="s">
        <v>21</v>
      </c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48"/>
      <c r="X34" s="447" t="str">
        <f t="shared" si="6"/>
        <v/>
      </c>
      <c r="Y34" s="466">
        <v>0</v>
      </c>
      <c r="Z34" s="533">
        <f>+X36</f>
        <v>0</v>
      </c>
      <c r="AA34" s="447">
        <f t="shared" si="7"/>
        <v>0</v>
      </c>
      <c r="AB34" s="343">
        <f>+AC34+AA34</f>
        <v>6529</v>
      </c>
      <c r="AC34" s="343">
        <v>6529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8</v>
      </c>
      <c r="C35" s="406">
        <f>+B35</f>
        <v>8</v>
      </c>
      <c r="D35" s="407" t="s">
        <v>431</v>
      </c>
      <c r="E35" s="111"/>
      <c r="F35" s="111" t="s">
        <v>35</v>
      </c>
      <c r="G35" s="541" t="str">
        <f t="shared" ref="G35:G37" si="32">+G34</f>
        <v>2158-755-712</v>
      </c>
      <c r="H35" s="111"/>
      <c r="I35" s="111" t="s">
        <v>33</v>
      </c>
      <c r="J35" s="113">
        <v>51.42</v>
      </c>
      <c r="K35" s="494">
        <v>53</v>
      </c>
      <c r="L35" s="101" t="s">
        <v>17</v>
      </c>
      <c r="M35" s="214">
        <v>53</v>
      </c>
      <c r="N35" s="214">
        <v>33</v>
      </c>
      <c r="O35" s="214">
        <v>66</v>
      </c>
      <c r="P35" s="214">
        <v>60</v>
      </c>
      <c r="Q35" s="214">
        <v>53</v>
      </c>
      <c r="R35" s="214"/>
      <c r="S35" s="214"/>
      <c r="T35" s="214"/>
      <c r="U35" s="214"/>
      <c r="V35" s="214"/>
      <c r="W35" s="214"/>
      <c r="X35" s="123">
        <f t="shared" ref="X35" si="33">+IF(H36="s",0,IF(AA35=0,0,IF(COUNTA(M35:W35)=AK37+0.25,SUMIF($C:$C,B35,$AA:$AA)/AK37,SUMIF($C:$C,B35,$AA:$AA)/(COUNTA(M35:W35)))))</f>
        <v>53</v>
      </c>
      <c r="Y35" s="466"/>
      <c r="Z35" s="534"/>
      <c r="AA35" s="134">
        <f t="shared" si="7"/>
        <v>265</v>
      </c>
      <c r="AB35" s="354">
        <f>+AA35+AC35</f>
        <v>6095</v>
      </c>
      <c r="AC35" s="354">
        <v>5830</v>
      </c>
      <c r="AD35" s="355">
        <f>+AB34-AB35</f>
        <v>434</v>
      </c>
      <c r="AE35" s="131">
        <f>+IF(((AA36+(AA37/2))*60)=0,"",(J35*AA35)/((AA36+(AA37/2))*60))</f>
        <v>1.1528172588832488</v>
      </c>
      <c r="AF35" s="347">
        <f>+AA36+AA37/2</f>
        <v>197</v>
      </c>
      <c r="AG35" s="347">
        <f t="shared" si="2"/>
        <v>197</v>
      </c>
      <c r="AH35" s="341">
        <f t="shared" si="3"/>
        <v>11820</v>
      </c>
      <c r="AI35" s="341">
        <f>+AA35*J35</f>
        <v>13626.300000000001</v>
      </c>
      <c r="AJ35" s="356">
        <f>+AA35-(AF35*K35/K37)</f>
        <v>60.274509803921575</v>
      </c>
      <c r="AK35" s="348"/>
      <c r="AL35" s="349"/>
      <c r="AM35" s="341"/>
      <c r="AN35" s="341"/>
      <c r="AO35" s="341"/>
      <c r="AP35" s="341"/>
      <c r="AQ35" s="339"/>
      <c r="AR35" s="434">
        <v>1.45</v>
      </c>
      <c r="AT35" s="390">
        <v>699</v>
      </c>
      <c r="AV35" s="390">
        <f t="shared" ref="AV35" si="34">+AT35-AD35</f>
        <v>265</v>
      </c>
    </row>
    <row r="36" spans="2:58" s="98" customFormat="1" ht="62.25" customHeight="1" x14ac:dyDescent="0.9">
      <c r="B36" s="357">
        <f>+B35</f>
        <v>8</v>
      </c>
      <c r="C36" s="408"/>
      <c r="D36" s="184"/>
      <c r="E36" s="111">
        <f>+B35</f>
        <v>8</v>
      </c>
      <c r="F36" s="409"/>
      <c r="G36" s="541" t="str">
        <f t="shared" si="32"/>
        <v>2158-755-712</v>
      </c>
      <c r="H36" s="411"/>
      <c r="I36" s="113">
        <f>+IFERROR(IF(K37=0,0,IF((LOOKUP(2,1/(M36:W36&lt;&gt;""),M36:W36)-K37)&lt;0,0,IF(K37=0,"",LOOKUP(2,1/(M36:W36&lt;&gt;""),M36:W36)-K37))),0)</f>
        <v>0</v>
      </c>
      <c r="J36" s="113"/>
      <c r="K36" s="114" t="s">
        <v>22</v>
      </c>
      <c r="L36" s="102" t="s">
        <v>18</v>
      </c>
      <c r="M36" s="448">
        <v>48</v>
      </c>
      <c r="N36" s="448">
        <v>48</v>
      </c>
      <c r="O36" s="448">
        <v>48</v>
      </c>
      <c r="P36" s="448">
        <v>44</v>
      </c>
      <c r="Q36" s="448">
        <v>9</v>
      </c>
      <c r="R36" s="448"/>
      <c r="S36" s="448"/>
      <c r="T36" s="448"/>
      <c r="U36" s="448"/>
      <c r="V36" s="448"/>
      <c r="W36" s="448"/>
      <c r="X36" s="160">
        <f t="shared" ref="X36" si="35">+IF(H36="l",IF(COUNTA(M35:W35)=AK37+0.25,AA35-K35*AK37,AA35-(K35*COUNTA(M35:W35))),IF(H36="s",0,IF(COUNTA(M35:W35)=AK37+0.25,SUMIF($C:$C,B35,$AA:$AA)-K35*AK37,SUMIF($C:$C,B35,$AA:$AA)-K35*COUNTA(M35:W35))))</f>
        <v>0</v>
      </c>
      <c r="Y36" s="466"/>
      <c r="Z36" s="534"/>
      <c r="AA36" s="462">
        <f t="shared" si="12"/>
        <v>197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41"/>
      <c r="AK36" s="348"/>
      <c r="AL36" s="349">
        <f>+IF(AK37=7.75,SUM(M36:S36)+T36*0.75,IF(AK37=8,SUM(M36:T36),IF(AK37=7.25,SUM(M36:S36)+T36*0.25,IF(AK37=8.25,SUM(M36:T36)+U36*0.25,IF(AK37=8.75,SUM(M36:T36)+U36*0.75,0)))))</f>
        <v>197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+B35</f>
        <v>8</v>
      </c>
      <c r="C37" s="410"/>
      <c r="D37" s="174" t="s">
        <v>373</v>
      </c>
      <c r="E37" s="175">
        <f>+E36+100</f>
        <v>108</v>
      </c>
      <c r="F37" s="175"/>
      <c r="G37" s="542" t="str">
        <f t="shared" si="32"/>
        <v>2158-755-712</v>
      </c>
      <c r="H37" s="117"/>
      <c r="I37" s="442"/>
      <c r="J37" s="165">
        <f>+IF(K37="","",IF(K35=0,"",(K35*J35)/(K37*60)))</f>
        <v>0.89060784313725494</v>
      </c>
      <c r="K37" s="118">
        <v>51</v>
      </c>
      <c r="L37" s="104" t="s">
        <v>422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12.75</v>
      </c>
      <c r="Z37" s="365">
        <v>12.75</v>
      </c>
      <c r="AA37" s="465">
        <f t="shared" si="12"/>
        <v>0</v>
      </c>
      <c r="AB37" s="367"/>
      <c r="AC37" s="367"/>
      <c r="AD37" s="368">
        <f>+IFERROR(AD35/(K35*$AQ$3),"")</f>
        <v>0.9358490566037736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1.507277628032345</v>
      </c>
      <c r="AV37" s="390"/>
    </row>
    <row r="38" spans="2:58" s="98" customFormat="1" ht="62.25" customHeight="1" thickTop="1" x14ac:dyDescent="0.9">
      <c r="B38" s="342">
        <f>+B39</f>
        <v>8</v>
      </c>
      <c r="C38" s="405"/>
      <c r="D38" s="106"/>
      <c r="E38" s="106"/>
      <c r="F38" s="106"/>
      <c r="G38" s="540" t="s">
        <v>497</v>
      </c>
      <c r="H38" s="106"/>
      <c r="I38" s="106"/>
      <c r="J38" s="107" t="s">
        <v>20</v>
      </c>
      <c r="K38" s="108" t="s">
        <v>23</v>
      </c>
      <c r="L38" s="100" t="s">
        <v>21</v>
      </c>
      <c r="M38" s="448">
        <v>44</v>
      </c>
      <c r="N38" s="448"/>
      <c r="O38" s="448"/>
      <c r="P38" s="448">
        <v>50</v>
      </c>
      <c r="Q38" s="448"/>
      <c r="R38" s="448"/>
      <c r="S38" s="448">
        <v>50</v>
      </c>
      <c r="T38" s="448"/>
      <c r="U38" s="448"/>
      <c r="V38" s="448"/>
      <c r="W38" s="448"/>
      <c r="X38" s="447">
        <f t="shared" si="6"/>
        <v>144</v>
      </c>
      <c r="Y38" s="466">
        <v>0</v>
      </c>
      <c r="Z38" s="533">
        <f>+X40</f>
        <v>265</v>
      </c>
      <c r="AA38" s="447">
        <f t="shared" si="7"/>
        <v>144</v>
      </c>
      <c r="AB38" s="343">
        <f>+AC38+AA38</f>
        <v>144</v>
      </c>
      <c r="AC38" s="343"/>
      <c r="AD38" s="344"/>
      <c r="AE38" s="345"/>
      <c r="AF38" s="346"/>
      <c r="AG38" s="347">
        <f t="shared" ref="AG38:AG41" si="36">TRUNC(AF38)+(AF38-TRUNC(AF38))*60/100</f>
        <v>0</v>
      </c>
      <c r="AH38" s="341">
        <f t="shared" ref="AH38:AH41" si="37">+AF38*60</f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1.35">
      <c r="B39" s="351">
        <v>8</v>
      </c>
      <c r="C39" s="406">
        <f>+B39</f>
        <v>8</v>
      </c>
      <c r="D39" s="407" t="s">
        <v>496</v>
      </c>
      <c r="E39" s="111"/>
      <c r="F39" s="111" t="s">
        <v>35</v>
      </c>
      <c r="G39" s="541" t="str">
        <f>+G38</f>
        <v>2397-582-401</v>
      </c>
      <c r="H39" s="111"/>
      <c r="I39" s="111" t="s">
        <v>41</v>
      </c>
      <c r="J39" s="113"/>
      <c r="K39" s="130">
        <v>60</v>
      </c>
      <c r="L39" s="101" t="s">
        <v>17</v>
      </c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123">
        <f t="shared" ref="X39" si="38">+IF(H40="s",0,IF(AA39=0,0,IF(COUNTA(M39:W39)=AK41+0.25,SUMIF($C:$C,B39,$AA:$AA)/AK41,SUMIF($C:$C,B39,$AA:$AA)/(COUNTA(M39:W39)))))</f>
        <v>0</v>
      </c>
      <c r="Y39" s="466"/>
      <c r="Z39" s="534"/>
      <c r="AA39" s="134">
        <f t="shared" si="7"/>
        <v>0</v>
      </c>
      <c r="AB39" s="354">
        <f>+AA39+AC39</f>
        <v>0</v>
      </c>
      <c r="AC39" s="354"/>
      <c r="AD39" s="355">
        <f>+AB38-AB39</f>
        <v>144</v>
      </c>
      <c r="AE39" s="131">
        <f>+IF(((AA40+(AA41/2))*60)=0,"",(J39*AA39)/((AA40+(AA41/2))*60))</f>
        <v>0</v>
      </c>
      <c r="AF39" s="347">
        <f>+AA40+AA41/2</f>
        <v>58</v>
      </c>
      <c r="AG39" s="347">
        <f t="shared" si="36"/>
        <v>58</v>
      </c>
      <c r="AH39" s="341">
        <f t="shared" si="37"/>
        <v>3480</v>
      </c>
      <c r="AI39" s="341">
        <f>+AA39*J39</f>
        <v>0</v>
      </c>
      <c r="AJ39" s="356" t="e">
        <f>+AA39-(AF39*K39/K41)</f>
        <v>#DIV/0!</v>
      </c>
      <c r="AK39" s="348"/>
      <c r="AL39" s="349"/>
      <c r="AM39" s="341"/>
      <c r="AN39" s="341"/>
      <c r="AO39" s="341"/>
      <c r="AP39" s="341"/>
      <c r="AQ39" s="339">
        <f>-300+AA38</f>
        <v>-156</v>
      </c>
      <c r="AR39" s="434">
        <v>1.45</v>
      </c>
      <c r="AT39" s="390">
        <v>0</v>
      </c>
      <c r="AV39" s="390">
        <f t="shared" ref="AV39" si="39">+AT39-AD39</f>
        <v>-144</v>
      </c>
      <c r="AW39" s="535" t="s">
        <v>484</v>
      </c>
      <c r="AX39" s="535"/>
      <c r="AY39" s="535"/>
      <c r="AZ39" s="535"/>
      <c r="BA39" s="535"/>
      <c r="BB39" s="535"/>
      <c r="BC39" s="535"/>
      <c r="BD39" s="535"/>
      <c r="BE39" s="535"/>
      <c r="BF39" s="535"/>
    </row>
    <row r="40" spans="2:58" s="98" customFormat="1" ht="62.25" customHeight="1" x14ac:dyDescent="0.9">
      <c r="B40" s="357">
        <f>+B39</f>
        <v>8</v>
      </c>
      <c r="C40" s="408"/>
      <c r="D40" s="184"/>
      <c r="E40" s="111">
        <f>+B39</f>
        <v>8</v>
      </c>
      <c r="F40" s="409"/>
      <c r="G40" s="541" t="str">
        <f>+G39</f>
        <v>2397-582-401</v>
      </c>
      <c r="H40" s="411"/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48">
        <v>4</v>
      </c>
      <c r="N40" s="448">
        <v>4</v>
      </c>
      <c r="O40" s="448">
        <v>4</v>
      </c>
      <c r="P40" s="448">
        <v>8</v>
      </c>
      <c r="Q40" s="448">
        <v>8</v>
      </c>
      <c r="R40" s="448">
        <v>8</v>
      </c>
      <c r="S40" s="448">
        <v>8</v>
      </c>
      <c r="T40" s="448">
        <v>8</v>
      </c>
      <c r="U40" s="448">
        <v>8</v>
      </c>
      <c r="V40" s="448"/>
      <c r="W40" s="448"/>
      <c r="X40" s="160">
        <f t="shared" ref="X40" si="40">+IF(H40="l",IF(COUNTA(M39:W39)=AK41+0.25,AA39-K39*AK41,AA39-(K39*COUNTA(M39:W39))),IF(H40="s",0,IF(COUNTA(M39:W39)=AK41+0.25,SUMIF($C:$C,B39,$AA:$AA)-K39*AK41,SUMIF($C:$C,B39,$AA:$AA)-K39*COUNTA(M39:W39))))</f>
        <v>265</v>
      </c>
      <c r="Y40" s="466"/>
      <c r="Z40" s="534"/>
      <c r="AA40" s="462">
        <f t="shared" si="12"/>
        <v>58</v>
      </c>
      <c r="AB40" s="360"/>
      <c r="AC40" s="360"/>
      <c r="AD40" s="362"/>
      <c r="AE40" s="363"/>
      <c r="AF40" s="346"/>
      <c r="AG40" s="347">
        <f t="shared" si="36"/>
        <v>0</v>
      </c>
      <c r="AH40" s="341">
        <f t="shared" si="37"/>
        <v>0</v>
      </c>
      <c r="AI40" s="341"/>
      <c r="AJ40" s="341"/>
      <c r="AK40" s="348"/>
      <c r="AL40" s="349">
        <f>+IF(AK41=7.75,SUM(M40:S40)+T40*0.75,IF(AK41=8,SUM(M40:T40),IF(AK41=7.25,SUM(M40:S40)+T40*0.25,IF(AK41=8.25,SUM(M40:T40)+U40*0.25,IF(AK41=8.75,SUM(M40:T40)+U40*0.75,0)))))</f>
        <v>58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+B39</f>
        <v>8</v>
      </c>
      <c r="C41" s="410"/>
      <c r="D41" s="174" t="s">
        <v>373</v>
      </c>
      <c r="E41" s="175">
        <f>+E40+100</f>
        <v>108</v>
      </c>
      <c r="F41" s="175"/>
      <c r="G41" s="542" t="str">
        <f>+G40</f>
        <v>2397-582-401</v>
      </c>
      <c r="H41" s="117"/>
      <c r="I41" s="442"/>
      <c r="J41" s="165" t="str">
        <f>+IF(K41="","",IF(K39=0,"",(K39*J39)/(K41*60)))</f>
        <v/>
      </c>
      <c r="K41" s="118"/>
      <c r="L41" s="104" t="s">
        <v>422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/>
      <c r="Z41" s="371">
        <f>+IF(COUNTA(M39:W39)=$AJ$4+0.25,$AJ$4-(AA39/K39),COUNTA(M39:W39)-(AA39/K39))+Y41</f>
        <v>0</v>
      </c>
      <c r="AA41" s="465">
        <f t="shared" si="12"/>
        <v>0</v>
      </c>
      <c r="AB41" s="367"/>
      <c r="AC41" s="367"/>
      <c r="AD41" s="368">
        <f>+IFERROR(AD39/(K39*$AQ$3),"")</f>
        <v>0.2742857142857143</v>
      </c>
      <c r="AE41" s="369"/>
      <c r="AF41" s="347"/>
      <c r="AG41" s="347">
        <f t="shared" si="36"/>
        <v>0</v>
      </c>
      <c r="AH41" s="341">
        <f t="shared" si="37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0</v>
      </c>
      <c r="AV41" s="390"/>
    </row>
    <row r="42" spans="2:58" s="98" customFormat="1" ht="62.25" customHeight="1" thickTop="1" x14ac:dyDescent="0.9">
      <c r="B42" s="342">
        <f>+B43</f>
        <v>11</v>
      </c>
      <c r="C42" s="405"/>
      <c r="D42" s="106"/>
      <c r="E42" s="106"/>
      <c r="F42" s="106"/>
      <c r="G42" s="540" t="s">
        <v>481</v>
      </c>
      <c r="H42" s="106"/>
      <c r="I42" s="106"/>
      <c r="J42" s="107" t="s">
        <v>20</v>
      </c>
      <c r="K42" s="108" t="s">
        <v>23</v>
      </c>
      <c r="L42" s="100" t="s">
        <v>21</v>
      </c>
      <c r="M42" s="448"/>
      <c r="N42" s="448"/>
      <c r="O42" s="448">
        <v>60</v>
      </c>
      <c r="P42" s="448">
        <v>60</v>
      </c>
      <c r="Q42" s="448"/>
      <c r="R42" s="448"/>
      <c r="S42" s="448"/>
      <c r="T42" s="448"/>
      <c r="U42" s="448"/>
      <c r="V42" s="448"/>
      <c r="W42" s="448"/>
      <c r="X42" s="447">
        <f t="shared" si="6"/>
        <v>120</v>
      </c>
      <c r="Y42" s="466">
        <v>-26</v>
      </c>
      <c r="Z42" s="533">
        <f>+X44</f>
        <v>0</v>
      </c>
      <c r="AA42" s="447">
        <f t="shared" si="7"/>
        <v>120</v>
      </c>
      <c r="AB42" s="343">
        <f>+AC42+AA42</f>
        <v>4140</v>
      </c>
      <c r="AC42" s="343">
        <v>4020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11</v>
      </c>
      <c r="C43" s="406">
        <f>+B43</f>
        <v>11</v>
      </c>
      <c r="D43" s="407" t="s">
        <v>480</v>
      </c>
      <c r="E43" s="111"/>
      <c r="F43" s="111" t="s">
        <v>35</v>
      </c>
      <c r="G43" s="541" t="str">
        <f t="shared" ref="G43:G45" si="41">+G42</f>
        <v>2396-593-600</v>
      </c>
      <c r="H43" s="111"/>
      <c r="I43" s="111" t="s">
        <v>33</v>
      </c>
      <c r="J43" s="113">
        <v>38.82</v>
      </c>
      <c r="K43" s="130">
        <v>60</v>
      </c>
      <c r="L43" s="101" t="s">
        <v>17</v>
      </c>
      <c r="M43" s="214">
        <v>45</v>
      </c>
      <c r="N43" s="214">
        <v>61</v>
      </c>
      <c r="O43" s="214">
        <v>65</v>
      </c>
      <c r="P43" s="214">
        <v>62</v>
      </c>
      <c r="Q43" s="214">
        <v>62</v>
      </c>
      <c r="R43" s="214">
        <v>62</v>
      </c>
      <c r="S43" s="214">
        <v>63</v>
      </c>
      <c r="T43" s="214">
        <v>60</v>
      </c>
      <c r="U43" s="214">
        <v>45</v>
      </c>
      <c r="V43" s="214"/>
      <c r="W43" s="214"/>
      <c r="X43" s="123">
        <f t="shared" ref="X43" si="42">+IF(H44="s",0,IF(AA43=0,0,IF(COUNTA(M43:W43)=AK45+0.25,SUMIF($C:$C,B43,$AA:$AA)/AK45,SUMIF($C:$C,B43,$AA:$AA)/(COUNTA(M43:W43)))))</f>
        <v>60</v>
      </c>
      <c r="Y43" s="466"/>
      <c r="Z43" s="534"/>
      <c r="AA43" s="134">
        <f t="shared" si="7"/>
        <v>525</v>
      </c>
      <c r="AB43" s="354">
        <f>+AA43+AC43</f>
        <v>3621</v>
      </c>
      <c r="AC43" s="354">
        <v>3096</v>
      </c>
      <c r="AD43" s="355">
        <f>+AB42-AB43</f>
        <v>519</v>
      </c>
      <c r="AE43" s="131">
        <f>+IF(((AA44+(AA45/2))*60)=0,"",(J43*AA43)/((AA44+(AA45/2))*60))</f>
        <v>0.90279069767441855</v>
      </c>
      <c r="AF43" s="347">
        <f>+AA44+AA45/2</f>
        <v>376.25</v>
      </c>
      <c r="AG43" s="347">
        <f t="shared" si="2"/>
        <v>376.15</v>
      </c>
      <c r="AH43" s="341">
        <f t="shared" si="3"/>
        <v>22575</v>
      </c>
      <c r="AI43" s="341">
        <f>+AA43*J43</f>
        <v>20380.5</v>
      </c>
      <c r="AJ43" s="356">
        <f>+AA43-(AF43*K43/K45)</f>
        <v>0</v>
      </c>
      <c r="AK43" s="348"/>
      <c r="AL43" s="349"/>
      <c r="AM43" s="341"/>
      <c r="AN43" s="341"/>
      <c r="AO43" s="341"/>
      <c r="AP43" s="341"/>
      <c r="AQ43" s="339">
        <f>-120+AA42</f>
        <v>0</v>
      </c>
      <c r="AR43" s="434">
        <v>1.5</v>
      </c>
      <c r="AT43" s="390">
        <v>924</v>
      </c>
      <c r="AV43" s="390">
        <f t="shared" ref="AV43" si="43">+AT43-AD43</f>
        <v>405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+B43</f>
        <v>11</v>
      </c>
      <c r="C44" s="408"/>
      <c r="D44" s="184"/>
      <c r="E44" s="111">
        <f>+B43</f>
        <v>11</v>
      </c>
      <c r="F44" s="412"/>
      <c r="G44" s="541" t="str">
        <f t="shared" si="41"/>
        <v>2396-593-600</v>
      </c>
      <c r="H44" s="411" t="s">
        <v>412</v>
      </c>
      <c r="I44" s="113">
        <f>+IFERROR(IF(K45=0,0,IF((LOOKUP(2,1/(M44:W44&lt;&gt;""),M44:W44)-K45)&lt;0,0,IF(K45=0,"",LOOKUP(2,1/(M44:W44&lt;&gt;""),M44:W44)-K45))),0)</f>
        <v>0</v>
      </c>
      <c r="J44" s="113">
        <v>2</v>
      </c>
      <c r="K44" s="114" t="s">
        <v>22</v>
      </c>
      <c r="L44" s="102" t="s">
        <v>18</v>
      </c>
      <c r="M44" s="448">
        <v>42</v>
      </c>
      <c r="N44" s="448">
        <v>42</v>
      </c>
      <c r="O44" s="448">
        <v>42</v>
      </c>
      <c r="P44" s="448">
        <v>42</v>
      </c>
      <c r="Q44" s="448">
        <v>42</v>
      </c>
      <c r="R44" s="448">
        <v>42</v>
      </c>
      <c r="S44" s="448">
        <v>42</v>
      </c>
      <c r="T44" s="448">
        <v>42</v>
      </c>
      <c r="U44" s="448">
        <v>42</v>
      </c>
      <c r="V44" s="448"/>
      <c r="W44" s="448"/>
      <c r="X44" s="160">
        <f t="shared" ref="X44" si="44">+IF(H44="l",IF(COUNTA(M43:W43)=AK45+0.25,AA43-K43*AK45,AA43-(K43*COUNTA(M43:W43))),IF(H44="s",0,IF(COUNTA(M43:W43)=AK45+0.25,SUMIF($C:$C,B43,$AA:$AA)-K43*AK45,SUMIF($C:$C,B43,$AA:$AA)-K43*COUNTA(M43:W43))))</f>
        <v>0</v>
      </c>
      <c r="Y44" s="466"/>
      <c r="Z44" s="534"/>
      <c r="AA44" s="462">
        <f t="shared" si="12"/>
        <v>367.5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367.5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64">
        <f>+B43</f>
        <v>11</v>
      </c>
      <c r="C45" s="410"/>
      <c r="D45" s="174" t="s">
        <v>418</v>
      </c>
      <c r="E45" s="175">
        <f>+E44+100</f>
        <v>111</v>
      </c>
      <c r="F45" s="175"/>
      <c r="G45" s="542" t="str">
        <f t="shared" si="41"/>
        <v>2396-593-600</v>
      </c>
      <c r="H45" s="117"/>
      <c r="I45" s="442"/>
      <c r="J45" s="165">
        <f>+IF(K45="","",IF(K43=0,"",(K43*J43)/(K45*60)))</f>
        <v>0.90279069767441855</v>
      </c>
      <c r="K45" s="118">
        <v>43</v>
      </c>
      <c r="L45" s="104" t="s">
        <v>422</v>
      </c>
      <c r="M45" s="216">
        <v>2</v>
      </c>
      <c r="N45" s="216">
        <v>2</v>
      </c>
      <c r="O45" s="216">
        <v>2</v>
      </c>
      <c r="P45" s="216">
        <v>2</v>
      </c>
      <c r="Q45" s="216">
        <v>2</v>
      </c>
      <c r="R45" s="216">
        <v>2</v>
      </c>
      <c r="S45" s="216">
        <v>2</v>
      </c>
      <c r="T45" s="216">
        <v>2</v>
      </c>
      <c r="U45" s="216">
        <v>2</v>
      </c>
      <c r="V45" s="216"/>
      <c r="W45" s="216"/>
      <c r="X45" s="173"/>
      <c r="Y45" s="467">
        <v>10.253933333333334</v>
      </c>
      <c r="Z45" s="365">
        <v>10.253933333333334</v>
      </c>
      <c r="AA45" s="465">
        <f>+SUM(M45:W45)-U45*0.25</f>
        <v>17.5</v>
      </c>
      <c r="AB45" s="367"/>
      <c r="AC45" s="367"/>
      <c r="AD45" s="368">
        <f>+IFERROR(AD43/(K43*$AQ$3),"")</f>
        <v>0.98857142857142855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17.5</v>
      </c>
      <c r="AM45" s="341">
        <f>+AL45-AA45</f>
        <v>0</v>
      </c>
      <c r="AN45" s="341"/>
      <c r="AO45" s="341"/>
      <c r="AP45" s="341"/>
      <c r="AQ45" s="369"/>
      <c r="AR45" s="434"/>
      <c r="AT45" s="390">
        <v>1.76</v>
      </c>
      <c r="AV45" s="390"/>
    </row>
    <row r="46" spans="2:58" s="98" customFormat="1" ht="62.25" customHeight="1" thickTop="1" x14ac:dyDescent="0.9">
      <c r="B46" s="342">
        <f>+B47</f>
        <v>11</v>
      </c>
      <c r="C46" s="405"/>
      <c r="D46" s="106"/>
      <c r="E46" s="106"/>
      <c r="F46" s="106"/>
      <c r="G46" s="540" t="s">
        <v>497</v>
      </c>
      <c r="H46" s="106"/>
      <c r="I46" s="106"/>
      <c r="J46" s="107" t="s">
        <v>20</v>
      </c>
      <c r="K46" s="108" t="s">
        <v>23</v>
      </c>
      <c r="L46" s="100" t="s">
        <v>21</v>
      </c>
      <c r="M46" s="448"/>
      <c r="N46" s="448"/>
      <c r="O46" s="448"/>
      <c r="P46" s="448"/>
      <c r="Q46" s="448"/>
      <c r="R46" s="448">
        <v>50</v>
      </c>
      <c r="S46" s="448">
        <v>50</v>
      </c>
      <c r="T46" s="448"/>
      <c r="U46" s="448"/>
      <c r="V46" s="448"/>
      <c r="W46" s="448"/>
      <c r="X46" s="447">
        <f t="shared" si="6"/>
        <v>100</v>
      </c>
      <c r="Y46" s="466">
        <v>0</v>
      </c>
      <c r="Z46" s="533">
        <f>+X48</f>
        <v>0</v>
      </c>
      <c r="AA46" s="447">
        <f t="shared" si="7"/>
        <v>100</v>
      </c>
      <c r="AB46" s="343">
        <f>+AC46+AA46</f>
        <v>100</v>
      </c>
      <c r="AC46" s="343">
        <v>0</v>
      </c>
      <c r="AD46" s="344"/>
      <c r="AE46" s="345"/>
      <c r="AF46" s="346"/>
      <c r="AG46" s="347">
        <f t="shared" ref="AG46:AG49" si="45">TRUNC(AF46)+(AF46-TRUNC(AF46))*60/100</f>
        <v>0</v>
      </c>
      <c r="AH46" s="341">
        <f t="shared" ref="AH46:AH49" si="46">+AF46*60</f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0.9">
      <c r="B47" s="351">
        <v>11</v>
      </c>
      <c r="C47" s="406">
        <v>12</v>
      </c>
      <c r="D47" s="407" t="s">
        <v>496</v>
      </c>
      <c r="E47" s="111"/>
      <c r="F47" s="111" t="s">
        <v>35</v>
      </c>
      <c r="G47" s="541" t="str">
        <f>+G46</f>
        <v>2397-582-401</v>
      </c>
      <c r="H47" s="111"/>
      <c r="I47" s="111" t="s">
        <v>41</v>
      </c>
      <c r="J47" s="113"/>
      <c r="K47" s="130">
        <v>60</v>
      </c>
      <c r="L47" s="101" t="s">
        <v>17</v>
      </c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123">
        <f t="shared" ref="X47" si="47">+IF(H48="s",0,IF(AA47=0,0,IF(COUNTA(M47:W47)=AK49+0.25,SUMIF($C:$C,B47,$AA:$AA)/AK49,SUMIF($C:$C,B47,$AA:$AA)/(COUNTA(M47:W47)))))</f>
        <v>0</v>
      </c>
      <c r="Y47" s="466"/>
      <c r="Z47" s="534"/>
      <c r="AA47" s="134">
        <f t="shared" si="7"/>
        <v>0</v>
      </c>
      <c r="AB47" s="354">
        <f>+AA47+AC47</f>
        <v>0</v>
      </c>
      <c r="AC47" s="354">
        <v>0</v>
      </c>
      <c r="AD47" s="355">
        <f>+AB46-AB47</f>
        <v>100</v>
      </c>
      <c r="AE47" s="131" t="str">
        <f>+IF(((AA48+(AA49/2))*60)=0,"",(J47*AA47)/((AA48+(AA49/2))*60))</f>
        <v/>
      </c>
      <c r="AF47" s="347">
        <f>+AA48+AA49/2</f>
        <v>0</v>
      </c>
      <c r="AG47" s="347">
        <f t="shared" si="45"/>
        <v>0</v>
      </c>
      <c r="AH47" s="341">
        <f t="shared" si="46"/>
        <v>0</v>
      </c>
      <c r="AI47" s="341">
        <f>+AA47*J47</f>
        <v>0</v>
      </c>
      <c r="AJ47" s="356" t="e">
        <f>+AA47-(AF47*K47/K49)</f>
        <v>#DIV/0!</v>
      </c>
      <c r="AK47" s="348"/>
      <c r="AL47" s="349"/>
      <c r="AM47" s="341"/>
      <c r="AN47" s="341"/>
      <c r="AO47" s="341"/>
      <c r="AP47" s="341"/>
      <c r="AQ47" s="339">
        <f>-100+AA46</f>
        <v>0</v>
      </c>
      <c r="AR47" s="434"/>
      <c r="AT47" s="390">
        <v>0</v>
      </c>
      <c r="AV47" s="390">
        <f t="shared" ref="AV47" si="48">+AT47-AD47</f>
        <v>-100</v>
      </c>
    </row>
    <row r="48" spans="2:58" s="98" customFormat="1" ht="62.25" customHeight="1" x14ac:dyDescent="0.9">
      <c r="B48" s="357">
        <f>+B47</f>
        <v>11</v>
      </c>
      <c r="C48" s="408"/>
      <c r="D48" s="184"/>
      <c r="E48" s="111">
        <f>+B47</f>
        <v>11</v>
      </c>
      <c r="F48" s="409"/>
      <c r="G48" s="541" t="str">
        <f>+G47</f>
        <v>2397-582-401</v>
      </c>
      <c r="H48" s="411" t="s">
        <v>413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48"/>
      <c r="N48" s="448"/>
      <c r="O48" s="448"/>
      <c r="P48" s="448"/>
      <c r="Q48" s="448"/>
      <c r="R48" s="448"/>
      <c r="S48" s="448"/>
      <c r="T48" s="448"/>
      <c r="U48" s="448"/>
      <c r="V48" s="448"/>
      <c r="W48" s="448"/>
      <c r="X48" s="160">
        <f t="shared" ref="X48" si="49">+IF(H48="l",IF(COUNTA(M47:W47)=AK49+0.25,AA47-K47*AK49,AA47-(K47*COUNTA(M47:W47))),IF(H48="s",0,IF(COUNTA(M47:W47)=AK49+0.25,SUMIF($C:$C,B47,$AA:$AA)-K47*AK49,SUMIF($C:$C,B47,$AA:$AA)-K47*COUNTA(M47:W47))))</f>
        <v>0</v>
      </c>
      <c r="Y48" s="466"/>
      <c r="Z48" s="534"/>
      <c r="AA48" s="462">
        <f t="shared" si="12"/>
        <v>0</v>
      </c>
      <c r="AB48" s="360"/>
      <c r="AC48" s="360"/>
      <c r="AD48" s="362"/>
      <c r="AE48" s="363"/>
      <c r="AF48" s="346"/>
      <c r="AG48" s="347">
        <f t="shared" si="45"/>
        <v>0</v>
      </c>
      <c r="AH48" s="341">
        <f t="shared" si="46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0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9" s="98" customFormat="1" ht="62.25" customHeight="1" thickBot="1" x14ac:dyDescent="0.95">
      <c r="B49" s="364">
        <f>+B47</f>
        <v>11</v>
      </c>
      <c r="C49" s="410"/>
      <c r="D49" s="174" t="s">
        <v>418</v>
      </c>
      <c r="E49" s="175">
        <f>+E48+100</f>
        <v>111</v>
      </c>
      <c r="F49" s="175"/>
      <c r="G49" s="542" t="str">
        <f>+G48</f>
        <v>2397-582-401</v>
      </c>
      <c r="H49" s="117"/>
      <c r="I49" s="442"/>
      <c r="J49" s="165" t="str">
        <f>+IF(K49="","",IF(K47=0,"",(K47*J47)/(K49*60)))</f>
        <v/>
      </c>
      <c r="K49" s="118"/>
      <c r="L49" s="104" t="s">
        <v>19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/>
      <c r="Z49" s="371"/>
      <c r="AA49" s="465">
        <f t="shared" si="12"/>
        <v>0</v>
      </c>
      <c r="AB49" s="367"/>
      <c r="AC49" s="367"/>
      <c r="AD49" s="368">
        <f>+IFERROR(AD47/(K47*$AQ$3),"")</f>
        <v>0.19047619047619047</v>
      </c>
      <c r="AE49" s="369"/>
      <c r="AF49" s="347"/>
      <c r="AG49" s="347">
        <f t="shared" si="45"/>
        <v>0</v>
      </c>
      <c r="AH49" s="341">
        <f t="shared" si="46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 t="s">
        <v>416</v>
      </c>
      <c r="AV49" s="390"/>
    </row>
    <row r="50" spans="2:59" s="98" customFormat="1" ht="62.25" customHeight="1" thickTop="1" x14ac:dyDescent="0.9">
      <c r="B50" s="342">
        <f>+B51</f>
        <v>13</v>
      </c>
      <c r="C50" s="405"/>
      <c r="D50" s="106"/>
      <c r="E50" s="106"/>
      <c r="F50" s="106"/>
      <c r="G50" s="540" t="s">
        <v>497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50</v>
      </c>
      <c r="N50" s="448">
        <v>50</v>
      </c>
      <c r="O50" s="448"/>
      <c r="P50" s="448"/>
      <c r="Q50" s="448">
        <v>50</v>
      </c>
      <c r="R50" s="448">
        <v>50</v>
      </c>
      <c r="S50" s="448"/>
      <c r="T50" s="448">
        <v>50</v>
      </c>
      <c r="U50" s="448"/>
      <c r="V50" s="448"/>
      <c r="W50" s="448"/>
      <c r="X50" s="447">
        <f t="shared" si="6"/>
        <v>250</v>
      </c>
      <c r="Y50" s="466">
        <v>-120</v>
      </c>
      <c r="Z50" s="533">
        <f>+X52</f>
        <v>-656.25</v>
      </c>
      <c r="AA50" s="447">
        <f t="shared" si="7"/>
        <v>250</v>
      </c>
      <c r="AB50" s="343">
        <f>+AC50+AA50</f>
        <v>397</v>
      </c>
      <c r="AC50" s="343">
        <v>147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9" s="98" customFormat="1" ht="62.25" customHeight="1" x14ac:dyDescent="1.35">
      <c r="B51" s="351">
        <v>13</v>
      </c>
      <c r="C51" s="406">
        <f>+B51</f>
        <v>13</v>
      </c>
      <c r="D51" s="407" t="s">
        <v>496</v>
      </c>
      <c r="E51" s="111"/>
      <c r="F51" s="111" t="s">
        <v>35</v>
      </c>
      <c r="G51" s="541" t="str">
        <f>+G50</f>
        <v>2397-582-401</v>
      </c>
      <c r="H51" s="111"/>
      <c r="I51" s="111" t="s">
        <v>41</v>
      </c>
      <c r="J51" s="113">
        <v>35.049999999999997</v>
      </c>
      <c r="K51" s="130">
        <v>75</v>
      </c>
      <c r="L51" s="101" t="s">
        <v>17</v>
      </c>
      <c r="M51" s="214">
        <v>0</v>
      </c>
      <c r="N51" s="214">
        <v>0</v>
      </c>
      <c r="O51" s="214">
        <v>0</v>
      </c>
      <c r="P51" s="214">
        <v>0</v>
      </c>
      <c r="Q51" s="214">
        <v>0</v>
      </c>
      <c r="R51" s="214">
        <v>0</v>
      </c>
      <c r="S51" s="214">
        <v>0</v>
      </c>
      <c r="T51" s="214">
        <v>0</v>
      </c>
      <c r="U51" s="214">
        <v>0</v>
      </c>
      <c r="V51" s="214"/>
      <c r="W51" s="214"/>
      <c r="X51" s="123">
        <f t="shared" ref="X51" si="50">+IF(H52="s",0,IF(AA51=0,0,IF(COUNTA(M51:W51)=AK53+0.25,SUMIF($C:$C,B51,$AA:$AA)/AK53,SUMIF($C:$C,B51,$AA:$AA)/(COUNTA(M51:W51)))))</f>
        <v>0</v>
      </c>
      <c r="Y51" s="466"/>
      <c r="Z51" s="534"/>
      <c r="AA51" s="134">
        <f t="shared" si="7"/>
        <v>0</v>
      </c>
      <c r="AB51" s="354">
        <f>+AA51+AC51</f>
        <v>0</v>
      </c>
      <c r="AC51" s="354">
        <v>0</v>
      </c>
      <c r="AD51" s="355">
        <f>+AB50-AB51</f>
        <v>397</v>
      </c>
      <c r="AE51" s="131">
        <f>+IF(((AA52+(AA53/2))*60)=0,"",(J51*AA51)/((AA52+(AA53/2))*60))</f>
        <v>0</v>
      </c>
      <c r="AF51" s="347">
        <f>+AA52+AA53/2</f>
        <v>195.25</v>
      </c>
      <c r="AG51" s="347">
        <f t="shared" si="2"/>
        <v>195.15</v>
      </c>
      <c r="AH51" s="341">
        <f t="shared" si="3"/>
        <v>11715</v>
      </c>
      <c r="AI51" s="341">
        <f>+AA51*J51</f>
        <v>0</v>
      </c>
      <c r="AJ51" s="356">
        <f>+AA51-(AF51*K51/K53)</f>
        <v>-298.85204081632651</v>
      </c>
      <c r="AK51" s="348"/>
      <c r="AL51" s="349"/>
      <c r="AM51" s="341"/>
      <c r="AN51" s="341"/>
      <c r="AO51" s="341"/>
      <c r="AP51" s="341"/>
      <c r="AQ51" s="339">
        <f>-300+AA50</f>
        <v>-50</v>
      </c>
      <c r="AR51" s="434">
        <v>1</v>
      </c>
      <c r="AT51" s="390">
        <v>147</v>
      </c>
      <c r="AV51" s="390">
        <f t="shared" ref="AV51" si="51">+AT51-AD51</f>
        <v>-250</v>
      </c>
      <c r="AX51" s="535" t="s">
        <v>484</v>
      </c>
      <c r="AY51" s="535"/>
      <c r="AZ51" s="535"/>
      <c r="BA51" s="535"/>
      <c r="BB51" s="535"/>
      <c r="BC51" s="535"/>
      <c r="BD51" s="535"/>
      <c r="BE51" s="535"/>
      <c r="BF51" s="535"/>
      <c r="BG51" s="535"/>
    </row>
    <row r="52" spans="2:59" s="98" customFormat="1" ht="62.25" customHeight="1" x14ac:dyDescent="0.9">
      <c r="B52" s="357">
        <f>+B51</f>
        <v>13</v>
      </c>
      <c r="C52" s="408"/>
      <c r="D52" s="184"/>
      <c r="E52" s="111">
        <f>+B51</f>
        <v>13</v>
      </c>
      <c r="F52" s="409"/>
      <c r="G52" s="541" t="str">
        <f>+G51</f>
        <v>2397-582-401</v>
      </c>
      <c r="H52" s="411" t="s">
        <v>413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48">
        <v>47</v>
      </c>
      <c r="N52" s="448">
        <v>47</v>
      </c>
      <c r="O52" s="448">
        <v>15</v>
      </c>
      <c r="P52" s="448">
        <v>15</v>
      </c>
      <c r="Q52" s="448">
        <v>15</v>
      </c>
      <c r="R52" s="448">
        <v>15</v>
      </c>
      <c r="S52" s="448">
        <v>15</v>
      </c>
      <c r="T52" s="448">
        <v>15</v>
      </c>
      <c r="U52" s="448">
        <v>15</v>
      </c>
      <c r="V52" s="448"/>
      <c r="W52" s="448"/>
      <c r="X52" s="160">
        <f t="shared" ref="X52" si="52">+IF(H52="l",IF(COUNTA(M51:W51)=AK53+0.25,AA51-K51*AK53,AA51-(K51*COUNTA(M51:W51))),IF(H52="s",0,IF(COUNTA(M51:W51)=AK53+0.25,SUMIF($C:$C,B51,$AA:$AA)-K51*AK53,SUMIF($C:$C,B51,$AA:$AA)-K51*COUNTA(M51:W51))))</f>
        <v>-656.25</v>
      </c>
      <c r="Y52" s="466"/>
      <c r="Z52" s="534"/>
      <c r="AA52" s="462">
        <f t="shared" si="12"/>
        <v>195.25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195.25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9" s="98" customFormat="1" ht="62.25" customHeight="1" thickBot="1" x14ac:dyDescent="0.95">
      <c r="B53" s="364">
        <f>+B51</f>
        <v>13</v>
      </c>
      <c r="C53" s="410"/>
      <c r="D53" s="174" t="s">
        <v>379</v>
      </c>
      <c r="E53" s="175">
        <f>+E52+100</f>
        <v>113</v>
      </c>
      <c r="F53" s="175"/>
      <c r="G53" s="542" t="str">
        <f>+G52</f>
        <v>2397-582-401</v>
      </c>
      <c r="H53" s="117"/>
      <c r="I53" s="442"/>
      <c r="J53" s="165">
        <f>+IF(K53="","",IF(K51=0,"",(K51*J51)/(K53*60)))</f>
        <v>0.89413265306122447</v>
      </c>
      <c r="K53" s="118">
        <v>49</v>
      </c>
      <c r="L53" s="104" t="s">
        <v>19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>
        <v>3.8357999999999999</v>
      </c>
      <c r="Z53" s="371">
        <f>+IF(COUNTA(M51:W51)=$AJ$4+0.25,$AJ$4-(AA51/K51),COUNTA(M51:W51)-(AA51/K51))+Y53</f>
        <v>12.585799999999999</v>
      </c>
      <c r="AA53" s="465">
        <f t="shared" si="12"/>
        <v>0</v>
      </c>
      <c r="AB53" s="367"/>
      <c r="AC53" s="367"/>
      <c r="AD53" s="368">
        <f>+IFERROR(AD51/(K51*$AQ$3),"")</f>
        <v>0.60495238095238091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0.28000000000000003</v>
      </c>
      <c r="AV53" s="390"/>
    </row>
    <row r="54" spans="2:59" s="98" customFormat="1" ht="58.5" customHeight="1" thickTop="1" x14ac:dyDescent="0.9">
      <c r="B54" s="373">
        <f>+B55</f>
        <v>14</v>
      </c>
      <c r="C54" s="405"/>
      <c r="D54" s="106"/>
      <c r="E54" s="106"/>
      <c r="F54" s="106"/>
      <c r="G54" s="540" t="s">
        <v>481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120</v>
      </c>
      <c r="N54" s="448">
        <v>60</v>
      </c>
      <c r="O54" s="448">
        <v>180</v>
      </c>
      <c r="P54" s="448"/>
      <c r="Q54" s="448">
        <v>60</v>
      </c>
      <c r="R54" s="448">
        <v>60</v>
      </c>
      <c r="S54" s="448">
        <v>60</v>
      </c>
      <c r="T54" s="448"/>
      <c r="U54" s="448"/>
      <c r="V54" s="448"/>
      <c r="W54" s="448"/>
      <c r="X54" s="447">
        <f t="shared" si="6"/>
        <v>540</v>
      </c>
      <c r="Y54" s="466">
        <v>0</v>
      </c>
      <c r="Z54" s="533">
        <f>+X56</f>
        <v>0</v>
      </c>
      <c r="AA54" s="447">
        <f t="shared" si="7"/>
        <v>540</v>
      </c>
      <c r="AB54" s="343">
        <f>+AC54+AA54</f>
        <v>4380</v>
      </c>
      <c r="AC54" s="343">
        <v>3840</v>
      </c>
      <c r="AD54" s="344"/>
      <c r="AE54" s="345"/>
      <c r="AF54" s="346"/>
      <c r="AG54" s="347">
        <f t="shared" si="2"/>
        <v>0</v>
      </c>
      <c r="AH54" s="341">
        <f t="shared" si="3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9" s="98" customFormat="1" ht="58.5" customHeight="1" x14ac:dyDescent="0.9">
      <c r="B55" s="374">
        <v>14</v>
      </c>
      <c r="C55" s="406">
        <f>+B55</f>
        <v>14</v>
      </c>
      <c r="D55" s="407" t="s">
        <v>480</v>
      </c>
      <c r="E55" s="111"/>
      <c r="F55" s="111" t="s">
        <v>35</v>
      </c>
      <c r="G55" s="541" t="str">
        <f t="shared" ref="G55:G57" si="53">+G54</f>
        <v>2396-593-600</v>
      </c>
      <c r="H55" s="111"/>
      <c r="I55" s="111" t="s">
        <v>33</v>
      </c>
      <c r="J55" s="113">
        <v>38.82</v>
      </c>
      <c r="K55" s="130">
        <v>60</v>
      </c>
      <c r="L55" s="101" t="s">
        <v>17</v>
      </c>
      <c r="M55" s="214">
        <v>60</v>
      </c>
      <c r="N55" s="214">
        <v>60</v>
      </c>
      <c r="O55" s="214">
        <v>60</v>
      </c>
      <c r="P55" s="214">
        <v>60</v>
      </c>
      <c r="Q55" s="214">
        <v>60</v>
      </c>
      <c r="R55" s="214">
        <v>60</v>
      </c>
      <c r="S55" s="214">
        <v>60</v>
      </c>
      <c r="T55" s="214">
        <v>60</v>
      </c>
      <c r="U55" s="214">
        <v>45</v>
      </c>
      <c r="V55" s="214"/>
      <c r="W55" s="214"/>
      <c r="X55" s="123">
        <f t="shared" ref="X55" si="54">+IF(H56="s",0,IF(AA55=0,0,IF(COUNTA(M55:W55)=AK57+0.25,SUMIF($C:$C,B55,$AA:$AA)/AK57,SUMIF($C:$C,B55,$AA:$AA)/(COUNTA(M55:W55)))))</f>
        <v>60</v>
      </c>
      <c r="Y55" s="466"/>
      <c r="Z55" s="534"/>
      <c r="AA55" s="134">
        <f t="shared" si="7"/>
        <v>525</v>
      </c>
      <c r="AB55" s="354">
        <f>+AA55+AC55</f>
        <v>3560</v>
      </c>
      <c r="AC55" s="354">
        <v>3035</v>
      </c>
      <c r="AD55" s="355">
        <f>+AB54-AB55</f>
        <v>820</v>
      </c>
      <c r="AE55" s="131">
        <f>+IF(((AA56+(AA57/2))*60)=0,"",(J55*AA55)/((AA56+(AA57/2))*60))</f>
        <v>0.90279069767441855</v>
      </c>
      <c r="AF55" s="347">
        <f>+AA56+AA57/2</f>
        <v>376.25</v>
      </c>
      <c r="AG55" s="347">
        <f t="shared" si="2"/>
        <v>376.15</v>
      </c>
      <c r="AH55" s="341">
        <f t="shared" si="3"/>
        <v>22575</v>
      </c>
      <c r="AI55" s="341">
        <f>+AA55*J55</f>
        <v>20380.5</v>
      </c>
      <c r="AJ55" s="356">
        <f>+AA55-(AF55*K55/K57)</f>
        <v>0</v>
      </c>
      <c r="AK55" s="348"/>
      <c r="AL55" s="349"/>
      <c r="AM55" s="341"/>
      <c r="AN55" s="341"/>
      <c r="AO55" s="341"/>
      <c r="AP55" s="341"/>
      <c r="AQ55" s="339">
        <f t="shared" ref="AQ55" si="55">IF(AR55=0,"",AT55-(($AQ$3*K55)+($AQ$3*K55)*AR55)+AA54)</f>
        <v>32.5</v>
      </c>
      <c r="AR55" s="434">
        <v>1.5</v>
      </c>
      <c r="AT55" s="390">
        <v>805</v>
      </c>
      <c r="AV55" s="390">
        <f t="shared" ref="AV55" si="56">+AT55-AD55</f>
        <v>-15</v>
      </c>
    </row>
    <row r="56" spans="2:59" s="98" customFormat="1" ht="58.5" customHeight="1" x14ac:dyDescent="0.9">
      <c r="B56" s="357">
        <f>+B55</f>
        <v>14</v>
      </c>
      <c r="C56" s="408"/>
      <c r="D56" s="184"/>
      <c r="E56" s="111">
        <f>+B55</f>
        <v>14</v>
      </c>
      <c r="F56" s="409"/>
      <c r="G56" s="541" t="str">
        <f t="shared" si="53"/>
        <v>2396-593-600</v>
      </c>
      <c r="H56" s="411" t="s">
        <v>413</v>
      </c>
      <c r="I56" s="113">
        <f>+IFERROR(IF(K57=0,0,IF((LOOKUP(2,1/(M56:W56&lt;&gt;""),M56:W56)-K57)&lt;0,0,IF(K57=0,"",LOOKUP(2,1/(M56:W56&lt;&gt;""),M56:W56)-K57))),0)</f>
        <v>0</v>
      </c>
      <c r="J56" s="113">
        <v>2</v>
      </c>
      <c r="K56" s="114" t="s">
        <v>22</v>
      </c>
      <c r="L56" s="102" t="s">
        <v>18</v>
      </c>
      <c r="M56" s="448">
        <v>41</v>
      </c>
      <c r="N56" s="448">
        <v>41</v>
      </c>
      <c r="O56" s="448">
        <v>41</v>
      </c>
      <c r="P56" s="448">
        <v>41</v>
      </c>
      <c r="Q56" s="448">
        <v>41</v>
      </c>
      <c r="R56" s="448">
        <v>41</v>
      </c>
      <c r="S56" s="448">
        <v>41</v>
      </c>
      <c r="T56" s="448">
        <v>41</v>
      </c>
      <c r="U56" s="448">
        <v>41</v>
      </c>
      <c r="V56" s="448"/>
      <c r="W56" s="448"/>
      <c r="X56" s="160">
        <f t="shared" ref="X56" si="57">+IF(H56="l",IF(COUNTA(M55:W55)=AK57+0.25,AA55-K55*AK57,AA55-(K55*COUNTA(M55:W55))),IF(H56="s",0,IF(COUNTA(M55:W55)=AK57+0.25,SUMIF($C:$C,B55,$AA:$AA)-K55*AK57,SUMIF($C:$C,B55,$AA:$AA)-K55*COUNTA(M55:W55))))</f>
        <v>0</v>
      </c>
      <c r="Y56" s="466"/>
      <c r="Z56" s="534"/>
      <c r="AA56" s="462">
        <f t="shared" si="12"/>
        <v>358.75</v>
      </c>
      <c r="AB56" s="360"/>
      <c r="AC56" s="360"/>
      <c r="AD56" s="362"/>
      <c r="AE56" s="363"/>
      <c r="AF56" s="346"/>
      <c r="AG56" s="347">
        <f t="shared" si="2"/>
        <v>0</v>
      </c>
      <c r="AH56" s="341">
        <f t="shared" si="3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358.75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9" s="98" customFormat="1" ht="58.5" customHeight="1" thickBot="1" x14ac:dyDescent="0.95">
      <c r="B57" s="364">
        <f>+B55</f>
        <v>14</v>
      </c>
      <c r="C57" s="410"/>
      <c r="D57" s="174" t="s">
        <v>112</v>
      </c>
      <c r="E57" s="175">
        <f>+E56+100</f>
        <v>114</v>
      </c>
      <c r="F57" s="175"/>
      <c r="G57" s="542" t="str">
        <f t="shared" si="53"/>
        <v>2396-593-600</v>
      </c>
      <c r="H57" s="117"/>
      <c r="I57" s="442"/>
      <c r="J57" s="165">
        <f>+IF(K57="","",IF(K55=0,"",(K55*J55)/(K57*60)))</f>
        <v>0.90279069767441855</v>
      </c>
      <c r="K57" s="118">
        <v>43</v>
      </c>
      <c r="L57" s="104" t="s">
        <v>19</v>
      </c>
      <c r="M57" s="216">
        <v>4</v>
      </c>
      <c r="N57" s="216">
        <v>4</v>
      </c>
      <c r="O57" s="216">
        <v>4</v>
      </c>
      <c r="P57" s="216">
        <v>4</v>
      </c>
      <c r="Q57" s="216">
        <v>4</v>
      </c>
      <c r="R57" s="216">
        <v>4</v>
      </c>
      <c r="S57" s="216">
        <v>4</v>
      </c>
      <c r="T57" s="216">
        <v>4</v>
      </c>
      <c r="U57" s="216">
        <v>4</v>
      </c>
      <c r="V57" s="216"/>
      <c r="W57" s="216"/>
      <c r="X57" s="173"/>
      <c r="Y57" s="467">
        <v>10.166666666666668</v>
      </c>
      <c r="Z57" s="365">
        <v>10.166666666666668</v>
      </c>
      <c r="AA57" s="465">
        <f t="shared" si="12"/>
        <v>35</v>
      </c>
      <c r="AB57" s="367"/>
      <c r="AC57" s="367"/>
      <c r="AD57" s="368">
        <f>+IFERROR(AD55/(K55*$AQ$3),"")</f>
        <v>1.5619047619047619</v>
      </c>
      <c r="AE57" s="369"/>
      <c r="AF57" s="347"/>
      <c r="AG57" s="347">
        <f t="shared" si="2"/>
        <v>0</v>
      </c>
      <c r="AH57" s="341">
        <f t="shared" si="3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35</v>
      </c>
      <c r="AM57" s="341">
        <f>+AL57-AA57</f>
        <v>0</v>
      </c>
      <c r="AN57" s="341"/>
      <c r="AO57" s="341"/>
      <c r="AP57" s="341"/>
      <c r="AQ57" s="369"/>
      <c r="AR57" s="434"/>
      <c r="AT57" s="390">
        <v>1.5333333333333334</v>
      </c>
      <c r="AV57" s="390"/>
    </row>
    <row r="58" spans="2:59" s="98" customFormat="1" ht="62.25" customHeight="1" thickTop="1" x14ac:dyDescent="0.9">
      <c r="B58" s="342">
        <f>+B59</f>
        <v>15</v>
      </c>
      <c r="C58" s="405"/>
      <c r="D58" s="106"/>
      <c r="E58" s="106"/>
      <c r="F58" s="106"/>
      <c r="G58" s="540" t="s">
        <v>486</v>
      </c>
      <c r="H58" s="106"/>
      <c r="I58" s="106"/>
      <c r="J58" s="107" t="s">
        <v>20</v>
      </c>
      <c r="K58" s="108" t="s">
        <v>23</v>
      </c>
      <c r="L58" s="100" t="s">
        <v>21</v>
      </c>
      <c r="M58" s="448">
        <v>140</v>
      </c>
      <c r="N58" s="448">
        <v>70</v>
      </c>
      <c r="O58" s="448">
        <v>101</v>
      </c>
      <c r="P58" s="448">
        <v>70</v>
      </c>
      <c r="Q58" s="448">
        <v>70</v>
      </c>
      <c r="R58" s="448">
        <v>70</v>
      </c>
      <c r="S58" s="448">
        <v>140</v>
      </c>
      <c r="T58" s="448"/>
      <c r="U58" s="448"/>
      <c r="V58" s="448"/>
      <c r="W58" s="448"/>
      <c r="X58" s="447">
        <f t="shared" si="6"/>
        <v>661</v>
      </c>
      <c r="Y58" s="466">
        <v>-140</v>
      </c>
      <c r="Z58" s="533">
        <f>+X60</f>
        <v>0</v>
      </c>
      <c r="AA58" s="447">
        <f t="shared" si="7"/>
        <v>661</v>
      </c>
      <c r="AB58" s="343">
        <f>+AC58+AA58</f>
        <v>4355</v>
      </c>
      <c r="AC58" s="343">
        <v>3694</v>
      </c>
      <c r="AD58" s="344"/>
      <c r="AE58" s="345"/>
      <c r="AF58" s="346"/>
      <c r="AG58" s="347">
        <f t="shared" si="2"/>
        <v>0</v>
      </c>
      <c r="AH58" s="341">
        <f t="shared" si="3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9" s="98" customFormat="1" ht="62.25" customHeight="1" x14ac:dyDescent="1.35">
      <c r="B59" s="351">
        <v>15</v>
      </c>
      <c r="C59" s="406">
        <f>+B59</f>
        <v>15</v>
      </c>
      <c r="D59" s="407" t="s">
        <v>485</v>
      </c>
      <c r="E59" s="111"/>
      <c r="F59" s="111" t="s">
        <v>475</v>
      </c>
      <c r="G59" s="541" t="str">
        <f>+G58</f>
        <v>SARAH</v>
      </c>
      <c r="H59" s="111"/>
      <c r="I59" s="111" t="s">
        <v>487</v>
      </c>
      <c r="J59" s="113">
        <v>30.1</v>
      </c>
      <c r="K59" s="130">
        <v>100</v>
      </c>
      <c r="L59" s="101" t="s">
        <v>17</v>
      </c>
      <c r="M59" s="214">
        <v>80</v>
      </c>
      <c r="N59" s="214">
        <v>90</v>
      </c>
      <c r="O59" s="214">
        <v>100</v>
      </c>
      <c r="P59" s="214">
        <v>100</v>
      </c>
      <c r="Q59" s="214">
        <v>100</v>
      </c>
      <c r="R59" s="214">
        <v>100</v>
      </c>
      <c r="S59" s="214">
        <v>100</v>
      </c>
      <c r="T59" s="214">
        <v>100</v>
      </c>
      <c r="U59" s="214">
        <v>105</v>
      </c>
      <c r="V59" s="214"/>
      <c r="W59" s="214"/>
      <c r="X59" s="123">
        <f t="shared" ref="X59" si="58">+IF(H60="s",0,IF(AA59=0,0,IF(COUNTA(M59:W59)=AK61+0.25,SUMIF($C:$C,B59,$AA:$AA)/AK61,SUMIF($C:$C,B59,$AA:$AA)/(COUNTA(M59:W59)))))</f>
        <v>100</v>
      </c>
      <c r="Y59" s="466"/>
      <c r="Z59" s="534"/>
      <c r="AA59" s="134">
        <f t="shared" si="7"/>
        <v>875</v>
      </c>
      <c r="AB59" s="354">
        <f>+AA59+AC59</f>
        <v>2981</v>
      </c>
      <c r="AC59" s="354">
        <v>2106</v>
      </c>
      <c r="AD59" s="355">
        <f>+AB58-AB59</f>
        <v>1374</v>
      </c>
      <c r="AE59" s="131">
        <f>+IF(((AA60+(AA61/2))*60)=0,"",(J59*AA59)/((AA60+(AA61/2))*60))</f>
        <v>0.89219173441734423</v>
      </c>
      <c r="AF59" s="347">
        <f>+AA60+AA61/2</f>
        <v>492</v>
      </c>
      <c r="AG59" s="347">
        <f t="shared" si="2"/>
        <v>492</v>
      </c>
      <c r="AH59" s="341">
        <f t="shared" si="3"/>
        <v>29520</v>
      </c>
      <c r="AI59" s="341">
        <f>+AA59*J59</f>
        <v>26337.5</v>
      </c>
      <c r="AJ59" s="356">
        <f>+AA59-(AF59*K59/K61)</f>
        <v>-3.5714285714285552</v>
      </c>
      <c r="AK59" s="348"/>
      <c r="AL59" s="349"/>
      <c r="AM59" s="341"/>
      <c r="AN59" s="341"/>
      <c r="AO59" s="341"/>
      <c r="AP59" s="341"/>
      <c r="AQ59" s="339">
        <f>-500+AA58</f>
        <v>161</v>
      </c>
      <c r="AR59" s="434">
        <v>1.5</v>
      </c>
      <c r="AT59" s="390">
        <v>1588</v>
      </c>
      <c r="AV59" s="390">
        <f t="shared" ref="AV59" si="59">+AT59-AD59</f>
        <v>214</v>
      </c>
      <c r="AW59" s="535"/>
      <c r="AX59" s="535"/>
      <c r="AY59" s="535"/>
      <c r="AZ59" s="535"/>
      <c r="BA59" s="535"/>
      <c r="BB59" s="535"/>
      <c r="BC59" s="535"/>
      <c r="BD59" s="535"/>
      <c r="BE59" s="535"/>
      <c r="BF59" s="535"/>
    </row>
    <row r="60" spans="2:59" s="98" customFormat="1" ht="62.25" customHeight="1" x14ac:dyDescent="0.9">
      <c r="B60" s="357">
        <f>+B59</f>
        <v>15</v>
      </c>
      <c r="C60" s="408"/>
      <c r="D60" s="184"/>
      <c r="E60" s="111">
        <f>+B59</f>
        <v>15</v>
      </c>
      <c r="F60" s="412"/>
      <c r="G60" s="541" t="str">
        <f>+G58</f>
        <v>SARAH</v>
      </c>
      <c r="H60" s="411" t="s">
        <v>412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48">
        <v>56</v>
      </c>
      <c r="N60" s="448">
        <v>56</v>
      </c>
      <c r="O60" s="448">
        <v>55</v>
      </c>
      <c r="P60" s="448">
        <v>55</v>
      </c>
      <c r="Q60" s="448">
        <v>55</v>
      </c>
      <c r="R60" s="448">
        <v>55</v>
      </c>
      <c r="S60" s="448">
        <v>55</v>
      </c>
      <c r="T60" s="448">
        <v>55</v>
      </c>
      <c r="U60" s="448">
        <v>55</v>
      </c>
      <c r="V60" s="448"/>
      <c r="W60" s="448"/>
      <c r="X60" s="160">
        <f t="shared" ref="X60" si="60">+IF(H60="l",IF(COUNTA(M59:W59)=AK61+0.25,AA59-K59*AK61,AA59-(K59*COUNTA(M59:W59))),IF(H60="s",0,IF(COUNTA(M59:W59)=AK61+0.25,SUMIF($C:$C,B59,$AA:$AA)-K59*AK61,SUMIF($C:$C,B59,$AA:$AA)-K59*COUNTA(M59:W59))))</f>
        <v>0</v>
      </c>
      <c r="Y60" s="466"/>
      <c r="Z60" s="534"/>
      <c r="AA60" s="462">
        <f t="shared" si="12"/>
        <v>483.25</v>
      </c>
      <c r="AB60" s="360"/>
      <c r="AC60" s="360"/>
      <c r="AD60" s="362"/>
      <c r="AE60" s="363"/>
      <c r="AF60" s="346"/>
      <c r="AG60" s="347">
        <f t="shared" si="2"/>
        <v>0</v>
      </c>
      <c r="AH60" s="341">
        <f t="shared" si="3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483.25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9" s="98" customFormat="1" ht="62.25" customHeight="1" thickBot="1" x14ac:dyDescent="0.95">
      <c r="B61" s="364">
        <f>+B59</f>
        <v>15</v>
      </c>
      <c r="C61" s="410"/>
      <c r="D61" s="174" t="s">
        <v>93</v>
      </c>
      <c r="E61" s="175">
        <f>+E60+100</f>
        <v>115</v>
      </c>
      <c r="F61" s="175"/>
      <c r="G61" s="542" t="str">
        <f>+G58</f>
        <v>SARAH</v>
      </c>
      <c r="H61" s="117"/>
      <c r="I61" s="442"/>
      <c r="J61" s="165">
        <f>+IF(K61="","",IF(K59=0,"",(K59*J59)/(K61*60)))</f>
        <v>0.89583333333333337</v>
      </c>
      <c r="K61" s="118">
        <v>56</v>
      </c>
      <c r="L61" s="104" t="s">
        <v>19</v>
      </c>
      <c r="M61" s="216">
        <v>2</v>
      </c>
      <c r="N61" s="216">
        <v>2</v>
      </c>
      <c r="O61" s="216">
        <v>2</v>
      </c>
      <c r="P61" s="216">
        <v>2</v>
      </c>
      <c r="Q61" s="216">
        <v>2</v>
      </c>
      <c r="R61" s="216">
        <v>2</v>
      </c>
      <c r="S61" s="216">
        <v>2</v>
      </c>
      <c r="T61" s="216">
        <v>2</v>
      </c>
      <c r="U61" s="216">
        <v>2</v>
      </c>
      <c r="V61" s="216"/>
      <c r="W61" s="216"/>
      <c r="X61" s="173"/>
      <c r="Y61" s="467">
        <v>25.922800000000002</v>
      </c>
      <c r="Z61" s="371">
        <f>+IF(COUNTA(M59:W59)=$AJ$4+0.25,$AJ$4-(AA59/K59),COUNTA(M59:W59)-(AA59/K59))+Y61</f>
        <v>25.922800000000002</v>
      </c>
      <c r="AA61" s="465">
        <f t="shared" si="12"/>
        <v>17.5</v>
      </c>
      <c r="AB61" s="367"/>
      <c r="AC61" s="367"/>
      <c r="AD61" s="368">
        <f>+IFERROR(AD59/(K59*$AQ$3),"")</f>
        <v>1.5702857142857143</v>
      </c>
      <c r="AE61" s="369"/>
      <c r="AF61" s="347"/>
      <c r="AG61" s="347">
        <f t="shared" si="2"/>
        <v>0</v>
      </c>
      <c r="AH61" s="341">
        <f t="shared" si="3"/>
        <v>0</v>
      </c>
      <c r="AI61" s="341"/>
      <c r="AJ61" s="356"/>
      <c r="AK61" s="370">
        <f>+$AJ$4</f>
        <v>8.75</v>
      </c>
      <c r="AL61" s="349">
        <f>+IF(AK61=7.75,SUM(M61:S61)+T61*0.75,IF(AK61=8,SUM(M61:T61),IF(AK61=7.25,SUM(M61:S61)+T61*0.25,IF(AK61=8.25,SUM(M61:T61)+U61*0.25,IF(AK61=8.75,SUM(M61:T61)+U61*0.75,0)))))</f>
        <v>17.5</v>
      </c>
      <c r="AM61" s="341">
        <f>+AL61-AA61</f>
        <v>0</v>
      </c>
      <c r="AN61" s="341"/>
      <c r="AO61" s="341"/>
      <c r="AP61" s="341"/>
      <c r="AQ61" s="369"/>
      <c r="AR61" s="434"/>
      <c r="AT61" s="390">
        <v>1.8148571428571429</v>
      </c>
      <c r="AV61" s="390"/>
    </row>
    <row r="62" spans="2:59" s="98" customFormat="1" ht="62.25" customHeight="1" thickTop="1" x14ac:dyDescent="0.9">
      <c r="B62" s="373">
        <f>+B63</f>
        <v>16</v>
      </c>
      <c r="C62" s="405"/>
      <c r="D62" s="106"/>
      <c r="E62" s="106"/>
      <c r="F62" s="106"/>
      <c r="G62" s="540" t="s">
        <v>476</v>
      </c>
      <c r="H62" s="106"/>
      <c r="I62" s="106"/>
      <c r="J62" s="107" t="s">
        <v>20</v>
      </c>
      <c r="K62" s="108" t="s">
        <v>23</v>
      </c>
      <c r="L62" s="100" t="s">
        <v>21</v>
      </c>
      <c r="M62" s="448"/>
      <c r="N62" s="448"/>
      <c r="O62" s="448"/>
      <c r="P62" s="448"/>
      <c r="Q62" s="448"/>
      <c r="R62" s="448"/>
      <c r="S62" s="448"/>
      <c r="T62" s="448"/>
      <c r="U62" s="448"/>
      <c r="V62" s="448"/>
      <c r="W62" s="448"/>
      <c r="X62" s="447" t="str">
        <f t="shared" si="6"/>
        <v/>
      </c>
      <c r="Y62" s="466">
        <v>0</v>
      </c>
      <c r="Z62" s="533">
        <f>+X64</f>
        <v>0</v>
      </c>
      <c r="AA62" s="447">
        <f t="shared" si="7"/>
        <v>0</v>
      </c>
      <c r="AB62" s="343">
        <f>+AC62+AA62</f>
        <v>6180</v>
      </c>
      <c r="AC62" s="343">
        <v>6180</v>
      </c>
      <c r="AD62" s="344"/>
      <c r="AE62" s="345"/>
      <c r="AF62" s="346"/>
      <c r="AG62" s="347">
        <f t="shared" si="2"/>
        <v>0</v>
      </c>
      <c r="AH62" s="341">
        <f t="shared" si="3"/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9" s="98" customFormat="1" ht="62.25" customHeight="1" x14ac:dyDescent="0.9">
      <c r="B63" s="374">
        <v>16</v>
      </c>
      <c r="C63" s="406">
        <f>+B63</f>
        <v>16</v>
      </c>
      <c r="D63" s="407" t="s">
        <v>474</v>
      </c>
      <c r="E63" s="111"/>
      <c r="F63" s="111" t="s">
        <v>475</v>
      </c>
      <c r="G63" s="541" t="str">
        <f t="shared" ref="G63:G65" si="61">+G62</f>
        <v>Cheristina-blanc</v>
      </c>
      <c r="H63" s="111"/>
      <c r="I63" s="111" t="s">
        <v>477</v>
      </c>
      <c r="J63" s="113">
        <v>22.52</v>
      </c>
      <c r="K63" s="130">
        <v>140</v>
      </c>
      <c r="L63" s="101" t="s">
        <v>17</v>
      </c>
      <c r="M63" s="214">
        <v>29</v>
      </c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123">
        <f t="shared" ref="X63" si="62">+IF(H64="s",0,IF(AA63=0,0,IF(COUNTA(M63:W63)=AK65+0.25,SUMIF($C:$C,B63,$AA:$AA)/AK65,SUMIF($C:$C,B63,$AA:$AA)/(COUNTA(M63:W63)))))</f>
        <v>0</v>
      </c>
      <c r="Y63" s="466"/>
      <c r="Z63" s="534"/>
      <c r="AA63" s="134">
        <f t="shared" si="7"/>
        <v>29</v>
      </c>
      <c r="AB63" s="354">
        <f>+AA63+AC63</f>
        <v>6180</v>
      </c>
      <c r="AC63" s="354">
        <v>6151</v>
      </c>
      <c r="AD63" s="355">
        <f>+AB62-AB63</f>
        <v>0</v>
      </c>
      <c r="AE63" s="131">
        <f>+IF(((AA64+(AA65/2))*60)=0,"",(J63*AA63)/((AA64+(AA65/2))*60))</f>
        <v>10.884666666666668</v>
      </c>
      <c r="AF63" s="347">
        <f>+AA64+AA65/2</f>
        <v>1</v>
      </c>
      <c r="AG63" s="347">
        <f t="shared" si="2"/>
        <v>1</v>
      </c>
      <c r="AH63" s="341">
        <f t="shared" si="3"/>
        <v>60</v>
      </c>
      <c r="AI63" s="341">
        <f>+AA63*J63</f>
        <v>653.08000000000004</v>
      </c>
      <c r="AJ63" s="356">
        <f>+AA63-(AF63*K63/K65)</f>
        <v>26.586206896551722</v>
      </c>
      <c r="AK63" s="348"/>
      <c r="AL63" s="349"/>
      <c r="AM63" s="341"/>
      <c r="AN63" s="341"/>
      <c r="AO63" s="341"/>
      <c r="AP63" s="341"/>
      <c r="AQ63" s="339"/>
      <c r="AR63" s="434"/>
      <c r="AT63" s="390">
        <v>29</v>
      </c>
      <c r="AV63" s="390">
        <f t="shared" ref="AV63" si="63">+AT63-AD63</f>
        <v>29</v>
      </c>
      <c r="AW63" s="536"/>
      <c r="AX63" s="536"/>
      <c r="AY63" s="536"/>
      <c r="AZ63" s="536"/>
      <c r="BA63" s="536"/>
      <c r="BB63" s="536"/>
      <c r="BC63" s="536"/>
      <c r="BD63" s="536"/>
      <c r="BE63" s="536"/>
      <c r="BF63" s="536"/>
      <c r="BG63" s="536"/>
    </row>
    <row r="64" spans="2:59" s="98" customFormat="1" ht="62.25" customHeight="1" x14ac:dyDescent="0.9">
      <c r="B64" s="357">
        <f>+B63</f>
        <v>16</v>
      </c>
      <c r="C64" s="408"/>
      <c r="D64" s="184"/>
      <c r="E64" s="111">
        <f>+B63</f>
        <v>16</v>
      </c>
      <c r="F64" s="409"/>
      <c r="G64" s="541" t="str">
        <f t="shared" si="61"/>
        <v>Cheristina-blanc</v>
      </c>
      <c r="H64" s="411" t="s">
        <v>479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48">
        <v>1</v>
      </c>
      <c r="N64" s="448"/>
      <c r="O64" s="448"/>
      <c r="P64" s="448"/>
      <c r="Q64" s="448"/>
      <c r="R64" s="448"/>
      <c r="S64" s="448"/>
      <c r="T64" s="448"/>
      <c r="U64" s="448"/>
      <c r="V64" s="448"/>
      <c r="W64" s="448"/>
      <c r="X64" s="160">
        <f t="shared" ref="X64" si="64">+IF(H64="l",IF(COUNTA(M63:W63)=AK65+0.25,AA63-K63*AK65,AA63-(K63*COUNTA(M63:W63))),IF(H64="s",0,IF(COUNTA(M63:W63)=AK65+0.25,SUMIF($C:$C,B63,$AA:$AA)-K63*AK65,SUMIF($C:$C,B63,$AA:$AA)-K63*COUNTA(M63:W63))))</f>
        <v>0</v>
      </c>
      <c r="Y64" s="466"/>
      <c r="Z64" s="534"/>
      <c r="AA64" s="462">
        <f t="shared" si="12"/>
        <v>1</v>
      </c>
      <c r="AB64" s="360"/>
      <c r="AC64" s="360"/>
      <c r="AD64" s="362"/>
      <c r="AE64" s="363"/>
      <c r="AF64" s="346"/>
      <c r="AG64" s="347">
        <f t="shared" si="2"/>
        <v>0</v>
      </c>
      <c r="AH64" s="341">
        <f t="shared" si="3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1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9" s="98" customFormat="1" ht="62.25" customHeight="1" thickBot="1" x14ac:dyDescent="0.95">
      <c r="B65" s="375">
        <f>+B63</f>
        <v>16</v>
      </c>
      <c r="C65" s="410"/>
      <c r="D65" s="413" t="s">
        <v>152</v>
      </c>
      <c r="E65" s="175">
        <f>+E64+100</f>
        <v>116</v>
      </c>
      <c r="F65" s="175"/>
      <c r="G65" s="542" t="str">
        <f t="shared" si="61"/>
        <v>Cheristina-blanc</v>
      </c>
      <c r="H65" s="117"/>
      <c r="I65" s="442"/>
      <c r="J65" s="165">
        <f>+IF(K65="","",IF(K63=0,"",(K63*J63)/(K65*60)))</f>
        <v>0.9059770114942528</v>
      </c>
      <c r="K65" s="118">
        <v>58</v>
      </c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>
        <v>54.817142857142848</v>
      </c>
      <c r="Z65" s="371">
        <f>+IF(COUNTA(M63:W63)=$AJ$4+0.25,$AJ$4-(AA63/K63),COUNTA(M63:W63)-(AA63/K63))+Y65</f>
        <v>55.609999999999992</v>
      </c>
      <c r="AA65" s="465">
        <f t="shared" si="12"/>
        <v>0</v>
      </c>
      <c r="AB65" s="367"/>
      <c r="AC65" s="367"/>
      <c r="AD65" s="368">
        <f>+IFERROR(AD63/(K63*$AQ$3),"")</f>
        <v>0</v>
      </c>
      <c r="AE65" s="369"/>
      <c r="AF65" s="347"/>
      <c r="AG65" s="347">
        <f t="shared" si="2"/>
        <v>0</v>
      </c>
      <c r="AH65" s="341">
        <f t="shared" si="3"/>
        <v>0</v>
      </c>
      <c r="AI65" s="341"/>
      <c r="AJ65" s="356"/>
      <c r="AK65" s="370">
        <f>+$AJ$4</f>
        <v>8.75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>
        <v>2.3673469387755101E-2</v>
      </c>
      <c r="AV65" s="390"/>
    </row>
    <row r="66" spans="2:59" s="98" customFormat="1" ht="62.25" customHeight="1" thickTop="1" x14ac:dyDescent="0.9">
      <c r="B66" s="373">
        <f>+B67</f>
        <v>16</v>
      </c>
      <c r="C66" s="405"/>
      <c r="D66" s="106"/>
      <c r="E66" s="106"/>
      <c r="F66" s="106"/>
      <c r="G66" s="540" t="s">
        <v>499</v>
      </c>
      <c r="H66" s="106"/>
      <c r="I66" s="106"/>
      <c r="J66" s="107" t="s">
        <v>20</v>
      </c>
      <c r="K66" s="108" t="s">
        <v>23</v>
      </c>
      <c r="L66" s="100" t="s">
        <v>21</v>
      </c>
      <c r="M66" s="448"/>
      <c r="N66" s="448">
        <v>100</v>
      </c>
      <c r="O66" s="448">
        <v>173</v>
      </c>
      <c r="P66" s="448"/>
      <c r="Q66" s="448"/>
      <c r="R66" s="448"/>
      <c r="S66" s="448">
        <v>140</v>
      </c>
      <c r="T66" s="448"/>
      <c r="U66" s="448"/>
      <c r="V66" s="448"/>
      <c r="W66" s="448"/>
      <c r="X66" s="447">
        <f t="shared" si="6"/>
        <v>413</v>
      </c>
      <c r="Y66" s="466">
        <v>-200</v>
      </c>
      <c r="Z66" s="533">
        <f>+X68</f>
        <v>-875</v>
      </c>
      <c r="AA66" s="447">
        <f t="shared" si="7"/>
        <v>413</v>
      </c>
      <c r="AB66" s="343">
        <f>+AC66+AA66</f>
        <v>693</v>
      </c>
      <c r="AC66" s="343">
        <v>280</v>
      </c>
      <c r="AD66" s="344"/>
      <c r="AE66" s="345"/>
      <c r="AF66" s="346"/>
      <c r="AG66" s="347">
        <f t="shared" ref="AG66:AG81" si="65">TRUNC(AF66)+(AF66-TRUNC(AF66))*60/100</f>
        <v>0</v>
      </c>
      <c r="AH66" s="341">
        <f t="shared" ref="AH66:AH81" si="66">+AF66*60</f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9" s="98" customFormat="1" ht="62.25" customHeight="1" x14ac:dyDescent="0.9">
      <c r="B67" s="374">
        <v>16</v>
      </c>
      <c r="C67" s="406">
        <f>+B67</f>
        <v>16</v>
      </c>
      <c r="D67" s="407" t="s">
        <v>498</v>
      </c>
      <c r="E67" s="111"/>
      <c r="F67" s="111" t="s">
        <v>475</v>
      </c>
      <c r="G67" s="541" t="str">
        <f>+G66</f>
        <v>WINFREY</v>
      </c>
      <c r="H67" s="111"/>
      <c r="I67" s="111" t="s">
        <v>41</v>
      </c>
      <c r="J67" s="113">
        <v>24.4</v>
      </c>
      <c r="K67" s="130">
        <v>100</v>
      </c>
      <c r="L67" s="101" t="s">
        <v>17</v>
      </c>
      <c r="M67" s="214">
        <v>0</v>
      </c>
      <c r="N67" s="214">
        <v>0</v>
      </c>
      <c r="O67" s="214">
        <v>0</v>
      </c>
      <c r="P67" s="214">
        <v>0</v>
      </c>
      <c r="Q67" s="214">
        <v>0</v>
      </c>
      <c r="R67" s="214">
        <v>0</v>
      </c>
      <c r="S67" s="214">
        <v>0</v>
      </c>
      <c r="T67" s="214">
        <v>0</v>
      </c>
      <c r="U67" s="214">
        <v>0</v>
      </c>
      <c r="V67" s="214"/>
      <c r="W67" s="214"/>
      <c r="X67" s="123">
        <f t="shared" ref="X67" si="67">+IF(H68="s",0,IF(AA67=0,0,IF(COUNTA(M67:W67)=AK69+0.25,SUMIF($C:$C,B67,$AA:$AA)/AK69,SUMIF($C:$C,B67,$AA:$AA)/(COUNTA(M67:W67)))))</f>
        <v>0</v>
      </c>
      <c r="Y67" s="466"/>
      <c r="Z67" s="534"/>
      <c r="AA67" s="134">
        <f t="shared" si="7"/>
        <v>0</v>
      </c>
      <c r="AB67" s="354">
        <f>+AA67+AC67</f>
        <v>0</v>
      </c>
      <c r="AC67" s="354">
        <v>0</v>
      </c>
      <c r="AD67" s="355">
        <f>+AB66-AB67</f>
        <v>693</v>
      </c>
      <c r="AE67" s="131">
        <f>+IF(((AA68+(AA69/2))*60)=0,"",(J67*AA67)/((AA68+(AA69/2))*60))</f>
        <v>0</v>
      </c>
      <c r="AF67" s="347">
        <f>+AA68+AA69/2</f>
        <v>375.25</v>
      </c>
      <c r="AG67" s="347">
        <f t="shared" si="65"/>
        <v>375.15</v>
      </c>
      <c r="AH67" s="341">
        <f t="shared" si="66"/>
        <v>22515</v>
      </c>
      <c r="AI67" s="341">
        <f>+AA67*J67</f>
        <v>0</v>
      </c>
      <c r="AJ67" s="356">
        <f>+AA67-(AF67*K67/K69)</f>
        <v>-815.76086956521738</v>
      </c>
      <c r="AK67" s="348"/>
      <c r="AL67" s="349"/>
      <c r="AM67" s="341"/>
      <c r="AN67" s="341"/>
      <c r="AO67" s="341"/>
      <c r="AP67" s="341"/>
      <c r="AQ67" s="339">
        <f>-300+AA66</f>
        <v>113</v>
      </c>
      <c r="AR67" s="434">
        <v>1</v>
      </c>
      <c r="AT67" s="390">
        <v>280</v>
      </c>
      <c r="AV67" s="390">
        <f t="shared" ref="AV67" si="68">+AT67-AD67</f>
        <v>-413</v>
      </c>
      <c r="AW67" s="536"/>
      <c r="AX67" s="536"/>
      <c r="AY67" s="536"/>
      <c r="AZ67" s="536"/>
      <c r="BA67" s="536"/>
      <c r="BB67" s="536"/>
      <c r="BC67" s="536"/>
      <c r="BD67" s="536"/>
      <c r="BE67" s="536"/>
      <c r="BF67" s="536"/>
      <c r="BG67" s="536"/>
    </row>
    <row r="68" spans="2:59" s="98" customFormat="1" ht="62.25" customHeight="1" x14ac:dyDescent="0.9">
      <c r="B68" s="357">
        <f>+B67</f>
        <v>16</v>
      </c>
      <c r="C68" s="408"/>
      <c r="D68" s="184"/>
      <c r="E68" s="111">
        <f>+B67</f>
        <v>16</v>
      </c>
      <c r="F68" s="409"/>
      <c r="G68" s="541" t="str">
        <f>+G67</f>
        <v>WINFREY</v>
      </c>
      <c r="H68" s="411" t="s">
        <v>413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48">
        <v>42</v>
      </c>
      <c r="N68" s="448">
        <v>43</v>
      </c>
      <c r="O68" s="448">
        <v>43</v>
      </c>
      <c r="P68" s="448">
        <v>43</v>
      </c>
      <c r="Q68" s="448">
        <v>43</v>
      </c>
      <c r="R68" s="448">
        <v>43</v>
      </c>
      <c r="S68" s="448">
        <v>43</v>
      </c>
      <c r="T68" s="448">
        <v>43</v>
      </c>
      <c r="U68" s="448">
        <v>43</v>
      </c>
      <c r="V68" s="448"/>
      <c r="W68" s="448"/>
      <c r="X68" s="160">
        <f t="shared" ref="X68" si="69">+IF(H68="l",IF(COUNTA(M67:W67)=AK69+0.25,AA67-K67*AK69,AA67-(K67*COUNTA(M67:W67))),IF(H68="s",0,IF(COUNTA(M67:W67)=AK69+0.25,SUMIF($C:$C,B67,$AA:$AA)-K67*AK69,SUMIF($C:$C,B67,$AA:$AA)-K67*COUNTA(M67:W67))))</f>
        <v>-875</v>
      </c>
      <c r="Y68" s="466"/>
      <c r="Z68" s="534"/>
      <c r="AA68" s="462">
        <f t="shared" si="12"/>
        <v>375.25</v>
      </c>
      <c r="AB68" s="360"/>
      <c r="AC68" s="360"/>
      <c r="AD68" s="362"/>
      <c r="AE68" s="363"/>
      <c r="AF68" s="346"/>
      <c r="AG68" s="347">
        <f t="shared" si="65"/>
        <v>0</v>
      </c>
      <c r="AH68" s="341">
        <f t="shared" si="66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375.25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9" s="98" customFormat="1" ht="62.25" customHeight="1" thickBot="1" x14ac:dyDescent="0.95">
      <c r="B69" s="375">
        <f>+B67</f>
        <v>16</v>
      </c>
      <c r="C69" s="410"/>
      <c r="D69" s="413" t="s">
        <v>152</v>
      </c>
      <c r="E69" s="175">
        <f>+E68+100</f>
        <v>116</v>
      </c>
      <c r="F69" s="175"/>
      <c r="G69" s="542" t="str">
        <f>+G68</f>
        <v>WINFREY</v>
      </c>
      <c r="H69" s="117"/>
      <c r="I69" s="442"/>
      <c r="J69" s="165">
        <f>+IF(K69="","",IF(K67=0,"",(K67*J67)/(K69*60)))</f>
        <v>0.88405797101449279</v>
      </c>
      <c r="K69" s="118">
        <v>46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>
        <v>3.7928999999999999</v>
      </c>
      <c r="Z69" s="371">
        <f>+IF(COUNTA(M67:W67)=$AJ$4+0.25,$AJ$4-(AA67/K67),COUNTA(M67:W67)-(AA67/K67))+Y69</f>
        <v>12.542899999999999</v>
      </c>
      <c r="AA69" s="465">
        <f t="shared" si="12"/>
        <v>0</v>
      </c>
      <c r="AB69" s="367"/>
      <c r="AC69" s="367"/>
      <c r="AD69" s="368">
        <f>+IFERROR(AD67/(K67*$AQ$3),"")</f>
        <v>0.79200000000000004</v>
      </c>
      <c r="AE69" s="369"/>
      <c r="AF69" s="347"/>
      <c r="AG69" s="347">
        <f t="shared" si="65"/>
        <v>0</v>
      </c>
      <c r="AH69" s="341">
        <f t="shared" si="66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0.32</v>
      </c>
      <c r="AV69" s="390"/>
    </row>
    <row r="70" spans="2:59" s="98" customFormat="1" ht="62.25" customHeight="1" thickTop="1" x14ac:dyDescent="0.9">
      <c r="B70" s="342">
        <f>+B71</f>
        <v>17</v>
      </c>
      <c r="C70" s="405"/>
      <c r="D70" s="106"/>
      <c r="E70" s="106"/>
      <c r="F70" s="106"/>
      <c r="G70" s="540" t="s">
        <v>442</v>
      </c>
      <c r="H70" s="106"/>
      <c r="I70" s="111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si="6"/>
        <v/>
      </c>
      <c r="Y70" s="466">
        <v>-20.25</v>
      </c>
      <c r="Z70" s="533">
        <f>+X72</f>
        <v>-190.75</v>
      </c>
      <c r="AA70" s="447">
        <f t="shared" si="7"/>
        <v>0</v>
      </c>
      <c r="AB70" s="343">
        <f>+AC70+AA70</f>
        <v>4680</v>
      </c>
      <c r="AC70" s="343">
        <v>4680</v>
      </c>
      <c r="AD70" s="344"/>
      <c r="AE70" s="345"/>
      <c r="AF70" s="346"/>
      <c r="AG70" s="347">
        <f t="shared" si="65"/>
        <v>0</v>
      </c>
      <c r="AH70" s="341">
        <f t="shared" si="66"/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9" s="98" customFormat="1" ht="62.25" customHeight="1" x14ac:dyDescent="0.9">
      <c r="B71" s="351">
        <v>17</v>
      </c>
      <c r="C71" s="406">
        <f>+B71</f>
        <v>17</v>
      </c>
      <c r="D71" s="407" t="s">
        <v>441</v>
      </c>
      <c r="E71" s="111"/>
      <c r="F71" s="111" t="s">
        <v>35</v>
      </c>
      <c r="G71" s="541" t="str">
        <f t="shared" ref="G71:G73" si="70">+G70</f>
        <v>2259-600-730</v>
      </c>
      <c r="H71" s="111"/>
      <c r="I71" s="111" t="s">
        <v>33</v>
      </c>
      <c r="J71" s="113">
        <v>34.450000000000003</v>
      </c>
      <c r="K71" s="130">
        <v>61</v>
      </c>
      <c r="L71" s="101" t="s">
        <v>17</v>
      </c>
      <c r="M71" s="214">
        <v>37</v>
      </c>
      <c r="N71" s="214">
        <v>22</v>
      </c>
      <c r="O71" s="214">
        <v>35</v>
      </c>
      <c r="P71" s="214">
        <v>22</v>
      </c>
      <c r="Q71" s="214">
        <v>63</v>
      </c>
      <c r="R71" s="214">
        <v>60</v>
      </c>
      <c r="S71" s="214">
        <v>43</v>
      </c>
      <c r="T71" s="214">
        <v>40</v>
      </c>
      <c r="U71" s="214">
        <v>21</v>
      </c>
      <c r="V71" s="214"/>
      <c r="W71" s="214"/>
      <c r="X71" s="123">
        <f t="shared" ref="X71" si="71">+IF(H72="s",0,IF(AA71=0,0,IF(COUNTA(M71:W71)=AK73+0.25,SUMIF($C:$C,B71,$AA:$AA)/AK73,SUMIF($C:$C,B71,$AA:$AA)/(COUNTA(M71:W71)))))</f>
        <v>39.200000000000003</v>
      </c>
      <c r="Y71" s="466"/>
      <c r="Z71" s="534"/>
      <c r="AA71" s="134">
        <f t="shared" si="7"/>
        <v>343</v>
      </c>
      <c r="AB71" s="354">
        <f>+AA71+AC71</f>
        <v>4439</v>
      </c>
      <c r="AC71" s="354">
        <v>4096</v>
      </c>
      <c r="AD71" s="355">
        <f>+AB70-AB71</f>
        <v>241</v>
      </c>
      <c r="AE71" s="131">
        <f>+IF(((AA72+(AA73/2))*60)=0,"",(J71*AA71)/((AA72+(AA73/2))*60))</f>
        <v>0.59052223888055977</v>
      </c>
      <c r="AF71" s="347">
        <f>+AA72+AA73/2</f>
        <v>333.5</v>
      </c>
      <c r="AG71" s="347">
        <f t="shared" si="65"/>
        <v>333.3</v>
      </c>
      <c r="AH71" s="341">
        <f t="shared" si="66"/>
        <v>20010</v>
      </c>
      <c r="AI71" s="341">
        <f>+AA71*J71</f>
        <v>11816.35</v>
      </c>
      <c r="AJ71" s="356">
        <f>+AA71-(AF71*K71/K73)</f>
        <v>-192.35526315789468</v>
      </c>
      <c r="AK71" s="348"/>
      <c r="AL71" s="349"/>
      <c r="AM71" s="341"/>
      <c r="AN71" s="341"/>
      <c r="AO71" s="341"/>
      <c r="AP71" s="341"/>
      <c r="AQ71" s="339"/>
      <c r="AR71" s="434">
        <v>1.5</v>
      </c>
      <c r="AT71" s="390">
        <v>584</v>
      </c>
      <c r="AV71" s="390">
        <f t="shared" ref="AV71" si="72">+AT71-AD71</f>
        <v>343</v>
      </c>
    </row>
    <row r="72" spans="2:59" s="98" customFormat="1" ht="62.25" customHeight="1" x14ac:dyDescent="0.9">
      <c r="B72" s="357">
        <f>+B71</f>
        <v>17</v>
      </c>
      <c r="C72" s="408"/>
      <c r="D72" s="184"/>
      <c r="E72" s="111">
        <f>+B71</f>
        <v>17</v>
      </c>
      <c r="F72" s="409"/>
      <c r="G72" s="541" t="str">
        <f t="shared" si="70"/>
        <v>2259-600-730</v>
      </c>
      <c r="H72" s="411" t="s">
        <v>413</v>
      </c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48">
        <v>39</v>
      </c>
      <c r="N72" s="448">
        <v>38</v>
      </c>
      <c r="O72" s="448">
        <v>38</v>
      </c>
      <c r="P72" s="448">
        <v>38</v>
      </c>
      <c r="Q72" s="448">
        <v>38</v>
      </c>
      <c r="R72" s="448">
        <v>38</v>
      </c>
      <c r="S72" s="448">
        <v>38</v>
      </c>
      <c r="T72" s="448">
        <v>38</v>
      </c>
      <c r="U72" s="448">
        <v>38</v>
      </c>
      <c r="V72" s="448"/>
      <c r="W72" s="448"/>
      <c r="X72" s="160">
        <f t="shared" ref="X72" si="73">+IF(H72="l",IF(COUNTA(M71:W71)=AK73+0.25,AA71-K71*AK73,AA71-(K71*COUNTA(M71:W71))),IF(H72="s",0,IF(COUNTA(M71:W71)=AK73+0.25,SUMIF($C:$C,B71,$AA:$AA)-K71*AK73,SUMIF($C:$C,B71,$AA:$AA)-K71*COUNTA(M71:W71))))</f>
        <v>-190.75</v>
      </c>
      <c r="Y72" s="466"/>
      <c r="Z72" s="534"/>
      <c r="AA72" s="462">
        <f t="shared" si="12"/>
        <v>333.5</v>
      </c>
      <c r="AB72" s="360"/>
      <c r="AC72" s="360"/>
      <c r="AD72" s="362"/>
      <c r="AE72" s="363"/>
      <c r="AF72" s="346"/>
      <c r="AG72" s="347">
        <f t="shared" si="65"/>
        <v>0</v>
      </c>
      <c r="AH72" s="341">
        <f t="shared" si="66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333.5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9" s="98" customFormat="1" ht="62.25" customHeight="1" thickBot="1" x14ac:dyDescent="0.95">
      <c r="B73" s="364">
        <f>+B71</f>
        <v>17</v>
      </c>
      <c r="C73" s="410"/>
      <c r="D73" s="174" t="s">
        <v>379</v>
      </c>
      <c r="E73" s="175">
        <f>+E72+100</f>
        <v>117</v>
      </c>
      <c r="F73" s="175"/>
      <c r="G73" s="542" t="str">
        <f t="shared" si="70"/>
        <v>2259-600-730</v>
      </c>
      <c r="H73" s="117"/>
      <c r="I73" s="442"/>
      <c r="J73" s="165">
        <f>+IF(K73="","",IF(K71=0,"",(K71*J71)/(K73*60)))</f>
        <v>0.92168859649122814</v>
      </c>
      <c r="K73" s="118">
        <v>38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>
        <v>69.216101639344259</v>
      </c>
      <c r="Z73" s="365">
        <v>69.216101639344259</v>
      </c>
      <c r="AA73" s="465">
        <f t="shared" si="12"/>
        <v>0</v>
      </c>
      <c r="AB73" s="367"/>
      <c r="AC73" s="367"/>
      <c r="AD73" s="368">
        <f>+IFERROR(AD71/(K71*$AQ$3),"")</f>
        <v>0.45152224824355974</v>
      </c>
      <c r="AE73" s="369"/>
      <c r="AF73" s="347"/>
      <c r="AG73" s="347">
        <f t="shared" si="65"/>
        <v>0</v>
      </c>
      <c r="AH73" s="341">
        <f t="shared" si="66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1.0941451990632318</v>
      </c>
      <c r="AV73" s="390"/>
    </row>
    <row r="74" spans="2:59" s="98" customFormat="1" ht="62.25" customHeight="1" thickTop="1" x14ac:dyDescent="0.9">
      <c r="B74" s="342">
        <f>+B75</f>
        <v>17</v>
      </c>
      <c r="C74" s="405"/>
      <c r="D74" s="106"/>
      <c r="E74" s="106"/>
      <c r="F74" s="106"/>
      <c r="G74" s="540" t="s">
        <v>494</v>
      </c>
      <c r="H74" s="106"/>
      <c r="I74" s="111"/>
      <c r="J74" s="107" t="s">
        <v>20</v>
      </c>
      <c r="K74" s="108" t="s">
        <v>23</v>
      </c>
      <c r="L74" s="100" t="s">
        <v>21</v>
      </c>
      <c r="M74" s="448">
        <v>50</v>
      </c>
      <c r="N74" s="448"/>
      <c r="O74" s="448"/>
      <c r="P74" s="448">
        <v>50</v>
      </c>
      <c r="Q74" s="448"/>
      <c r="R74" s="448"/>
      <c r="S74" s="448">
        <v>50</v>
      </c>
      <c r="T74" s="448"/>
      <c r="U74" s="448"/>
      <c r="V74" s="448"/>
      <c r="W74" s="448"/>
      <c r="X74" s="447">
        <f t="shared" ref="X74:X78" si="74">IF(AQ75="","",SUM(M74:W74)-(-(AQ75-SUM(M74:W74))/$AQ$3)*SUM($M$2:$W$2))</f>
        <v>150</v>
      </c>
      <c r="Y74" s="466">
        <v>0</v>
      </c>
      <c r="Z74" s="533">
        <f>+X76</f>
        <v>0</v>
      </c>
      <c r="AA74" s="447">
        <f t="shared" ref="AA74:AA79" si="75">+SUM(L74:W74)</f>
        <v>150</v>
      </c>
      <c r="AB74" s="343">
        <f>+AC74+AA74</f>
        <v>150</v>
      </c>
      <c r="AC74" s="343">
        <v>0</v>
      </c>
      <c r="AD74" s="344"/>
      <c r="AE74" s="345"/>
      <c r="AF74" s="346"/>
      <c r="AG74" s="347">
        <f t="shared" si="65"/>
        <v>0</v>
      </c>
      <c r="AH74" s="341">
        <f t="shared" si="66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9" s="98" customFormat="1" ht="62.25" customHeight="1" x14ac:dyDescent="1.35">
      <c r="B75" s="351">
        <v>17</v>
      </c>
      <c r="C75" s="406">
        <f>+B75</f>
        <v>17</v>
      </c>
      <c r="D75" s="407" t="s">
        <v>493</v>
      </c>
      <c r="E75" s="111"/>
      <c r="F75" s="111" t="s">
        <v>35</v>
      </c>
      <c r="G75" s="541" t="str">
        <f>+G74</f>
        <v>2395-582-401</v>
      </c>
      <c r="H75" s="111"/>
      <c r="I75" s="111" t="s">
        <v>33</v>
      </c>
      <c r="J75" s="113">
        <v>41.85</v>
      </c>
      <c r="K75" s="130">
        <v>57</v>
      </c>
      <c r="L75" s="101" t="s">
        <v>17</v>
      </c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123">
        <f t="shared" ref="X75" si="76">+IF(H76="s",0,IF(AA75=0,0,IF(COUNTA(M75:W75)=AK77+0.25,SUMIF($C:$C,B75,$AA:$AA)/AK77,SUMIF($C:$C,B75,$AA:$AA)/(COUNTA(M75:W75)))))</f>
        <v>0</v>
      </c>
      <c r="Y75" s="466"/>
      <c r="Z75" s="534"/>
      <c r="AA75" s="134">
        <f t="shared" si="75"/>
        <v>0</v>
      </c>
      <c r="AB75" s="354">
        <f>+AA75+AC75</f>
        <v>0</v>
      </c>
      <c r="AC75" s="354">
        <v>0</v>
      </c>
      <c r="AD75" s="355">
        <f>+AB74-AB75</f>
        <v>150</v>
      </c>
      <c r="AE75" s="131">
        <f>+IF(((AA76+(AA77/2))*60)=0,"",(J75*AA75)/((AA76+(AA77/2))*60))</f>
        <v>0</v>
      </c>
      <c r="AF75" s="347">
        <f>+AA76+AA77/2</f>
        <v>14.5</v>
      </c>
      <c r="AG75" s="347">
        <f t="shared" si="65"/>
        <v>14.3</v>
      </c>
      <c r="AH75" s="341">
        <f t="shared" si="66"/>
        <v>870</v>
      </c>
      <c r="AI75" s="341">
        <f>+AA75*J75</f>
        <v>0</v>
      </c>
      <c r="AJ75" s="356">
        <f>+AA75-(AF75*K75/K77)</f>
        <v>-17.585106382978722</v>
      </c>
      <c r="AK75" s="348"/>
      <c r="AL75" s="349"/>
      <c r="AM75" s="341"/>
      <c r="AN75" s="341"/>
      <c r="AO75" s="341"/>
      <c r="AP75" s="341"/>
      <c r="AQ75" s="339">
        <f>-300+AA74</f>
        <v>-150</v>
      </c>
      <c r="AR75" s="434"/>
      <c r="AT75" s="390">
        <v>0</v>
      </c>
      <c r="AV75" s="390">
        <f t="shared" ref="AV75" si="77">+AT75-AD75</f>
        <v>-150</v>
      </c>
      <c r="AW75" s="535" t="s">
        <v>484</v>
      </c>
      <c r="AX75" s="535"/>
      <c r="AY75" s="535"/>
      <c r="AZ75" s="535"/>
      <c r="BA75" s="535"/>
      <c r="BB75" s="535"/>
      <c r="BC75" s="535"/>
      <c r="BD75" s="535"/>
      <c r="BE75" s="535"/>
      <c r="BF75" s="535"/>
    </row>
    <row r="76" spans="2:59" s="98" customFormat="1" ht="62.25" customHeight="1" x14ac:dyDescent="0.9">
      <c r="B76" s="357">
        <f>+B75</f>
        <v>17</v>
      </c>
      <c r="C76" s="408"/>
      <c r="D76" s="184"/>
      <c r="E76" s="111">
        <f>+B75</f>
        <v>17</v>
      </c>
      <c r="F76" s="409"/>
      <c r="G76" s="541" t="str">
        <f>+G74</f>
        <v>2395-582-401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48">
        <v>1</v>
      </c>
      <c r="N76" s="448">
        <v>1</v>
      </c>
      <c r="O76" s="448">
        <v>1</v>
      </c>
      <c r="P76" s="448">
        <v>2</v>
      </c>
      <c r="Q76" s="448">
        <v>2</v>
      </c>
      <c r="R76" s="448">
        <v>2</v>
      </c>
      <c r="S76" s="448">
        <v>2</v>
      </c>
      <c r="T76" s="448">
        <v>2</v>
      </c>
      <c r="U76" s="448">
        <v>2</v>
      </c>
      <c r="V76" s="448"/>
      <c r="W76" s="448"/>
      <c r="X76" s="160">
        <f t="shared" ref="X76" si="78">+IF(H76="l",IF(COUNTA(M75:W75)=AK77+0.25,AA75-K75*AK77,AA75-(K75*COUNTA(M75:W75))),IF(H76="s",0,IF(COUNTA(M75:W75)=AK77+0.25,SUMIF($C:$C,B75,$AA:$AA)-K75*AK77,SUMIF($C:$C,B75,$AA:$AA)-K75*COUNTA(M75:W75))))</f>
        <v>0</v>
      </c>
      <c r="Y76" s="466"/>
      <c r="Z76" s="534"/>
      <c r="AA76" s="462">
        <f t="shared" ref="AA76:AA81" si="79">+SUM(M76:W76)-U76*0.25</f>
        <v>14.5</v>
      </c>
      <c r="AB76" s="360"/>
      <c r="AC76" s="360"/>
      <c r="AD76" s="362"/>
      <c r="AE76" s="363"/>
      <c r="AF76" s="346"/>
      <c r="AG76" s="347">
        <f t="shared" si="65"/>
        <v>0</v>
      </c>
      <c r="AH76" s="341">
        <f t="shared" si="66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14.5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9" s="98" customFormat="1" ht="62.25" customHeight="1" thickBot="1" x14ac:dyDescent="0.95">
      <c r="B77" s="364">
        <f>+B75</f>
        <v>17</v>
      </c>
      <c r="C77" s="410"/>
      <c r="D77" s="174" t="s">
        <v>379</v>
      </c>
      <c r="E77" s="175">
        <f>+E76+100</f>
        <v>117</v>
      </c>
      <c r="F77" s="175"/>
      <c r="G77" s="542" t="str">
        <f>+G74</f>
        <v>2395-582-401</v>
      </c>
      <c r="H77" s="117"/>
      <c r="I77" s="442"/>
      <c r="J77" s="165">
        <f>+IF(K77="","",IF(K75=0,"",(K75*J75)/(K77*60)))</f>
        <v>0.84590425531914903</v>
      </c>
      <c r="K77" s="118">
        <v>47</v>
      </c>
      <c r="L77" s="104" t="s">
        <v>19</v>
      </c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173"/>
      <c r="Y77" s="467">
        <v>0</v>
      </c>
      <c r="Z77" s="371">
        <f>+IF(COUNTA(M75:W75)=$AJ$4+0.25,$AJ$4-(AA75/K75),COUNTA(M75:W75)-(AA75/K75))+Y77</f>
        <v>0</v>
      </c>
      <c r="AA77" s="465">
        <f t="shared" si="79"/>
        <v>0</v>
      </c>
      <c r="AB77" s="367"/>
      <c r="AC77" s="367"/>
      <c r="AD77" s="368">
        <f>+IFERROR(AD75/(K75*$AQ$3),"")</f>
        <v>0.3007518796992481</v>
      </c>
      <c r="AE77" s="369"/>
      <c r="AF77" s="347"/>
      <c r="AG77" s="347">
        <f t="shared" si="65"/>
        <v>0</v>
      </c>
      <c r="AH77" s="341">
        <f t="shared" si="66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0</v>
      </c>
      <c r="AM77" s="341">
        <f>+AL77-AA77</f>
        <v>0</v>
      </c>
      <c r="AN77" s="341"/>
      <c r="AO77" s="341"/>
      <c r="AP77" s="341"/>
      <c r="AQ77" s="369"/>
      <c r="AR77" s="434"/>
      <c r="AT77" s="390">
        <v>0</v>
      </c>
      <c r="AV77" s="390"/>
    </row>
    <row r="78" spans="2:59" s="98" customFormat="1" ht="62.25" customHeight="1" thickTop="1" x14ac:dyDescent="0.9">
      <c r="B78" s="373">
        <f>+B79</f>
        <v>18</v>
      </c>
      <c r="C78" s="405"/>
      <c r="D78" s="106"/>
      <c r="E78" s="106"/>
      <c r="F78" s="106"/>
      <c r="G78" s="540" t="s">
        <v>481</v>
      </c>
      <c r="H78" s="106"/>
      <c r="I78" s="106"/>
      <c r="J78" s="107" t="s">
        <v>20</v>
      </c>
      <c r="K78" s="108" t="s">
        <v>23</v>
      </c>
      <c r="L78" s="100" t="s">
        <v>21</v>
      </c>
      <c r="M78" s="448">
        <v>120</v>
      </c>
      <c r="N78" s="448">
        <v>60</v>
      </c>
      <c r="O78" s="448">
        <v>180</v>
      </c>
      <c r="P78" s="448"/>
      <c r="Q78" s="448">
        <v>60</v>
      </c>
      <c r="R78" s="448">
        <v>60</v>
      </c>
      <c r="S78" s="448">
        <v>60</v>
      </c>
      <c r="T78" s="448"/>
      <c r="U78" s="448"/>
      <c r="V78" s="448"/>
      <c r="W78" s="448"/>
      <c r="X78" s="447">
        <f t="shared" si="74"/>
        <v>540</v>
      </c>
      <c r="Y78" s="466">
        <v>0</v>
      </c>
      <c r="Z78" s="533">
        <f>+X80</f>
        <v>0</v>
      </c>
      <c r="AA78" s="447">
        <f t="shared" si="75"/>
        <v>540</v>
      </c>
      <c r="AB78" s="343">
        <f>+AC78+AA78</f>
        <v>4350</v>
      </c>
      <c r="AC78" s="343">
        <v>3810</v>
      </c>
      <c r="AD78" s="344"/>
      <c r="AE78" s="345"/>
      <c r="AF78" s="346"/>
      <c r="AG78" s="347">
        <f t="shared" si="65"/>
        <v>0</v>
      </c>
      <c r="AH78" s="341">
        <f t="shared" si="66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9" s="98" customFormat="1" ht="62.25" customHeight="1" x14ac:dyDescent="0.9">
      <c r="B79" s="374">
        <v>18</v>
      </c>
      <c r="C79" s="406">
        <f>+B79</f>
        <v>18</v>
      </c>
      <c r="D79" s="407" t="s">
        <v>480</v>
      </c>
      <c r="E79" s="111"/>
      <c r="F79" s="111" t="s">
        <v>35</v>
      </c>
      <c r="G79" s="541" t="str">
        <f t="shared" ref="G79:G81" si="80">+G78</f>
        <v>2396-593-600</v>
      </c>
      <c r="H79" s="111"/>
      <c r="I79" s="111" t="s">
        <v>33</v>
      </c>
      <c r="J79" s="113">
        <v>38.82</v>
      </c>
      <c r="K79" s="130">
        <v>60</v>
      </c>
      <c r="L79" s="101" t="s">
        <v>17</v>
      </c>
      <c r="M79" s="214">
        <v>60</v>
      </c>
      <c r="N79" s="214">
        <v>60</v>
      </c>
      <c r="O79" s="214">
        <v>60</v>
      </c>
      <c r="P79" s="214">
        <v>60</v>
      </c>
      <c r="Q79" s="214">
        <v>60</v>
      </c>
      <c r="R79" s="214">
        <v>60</v>
      </c>
      <c r="S79" s="214">
        <v>60</v>
      </c>
      <c r="T79" s="214">
        <v>60</v>
      </c>
      <c r="U79" s="214">
        <v>45</v>
      </c>
      <c r="V79" s="214"/>
      <c r="W79" s="214"/>
      <c r="X79" s="123">
        <f t="shared" ref="X79" si="81">+IF(H80="s",0,IF(AA79=0,0,IF(COUNTA(M79:W79)=AK81+0.25,SUMIF($C:$C,B79,$AA:$AA)/AK81,SUMIF($C:$C,B79,$AA:$AA)/(COUNTA(M79:W79)))))</f>
        <v>60</v>
      </c>
      <c r="Y79" s="466"/>
      <c r="Z79" s="534"/>
      <c r="AA79" s="134">
        <f t="shared" si="75"/>
        <v>525</v>
      </c>
      <c r="AB79" s="354">
        <f>+AA79+AC79</f>
        <v>3532</v>
      </c>
      <c r="AC79" s="354">
        <v>3007</v>
      </c>
      <c r="AD79" s="355">
        <f>+AB78-AB79</f>
        <v>818</v>
      </c>
      <c r="AE79" s="131">
        <f>+IF(((AA80+(AA81/2))*60)=0,"",(J79*AA79)/((AA80+(AA81/2))*60))</f>
        <v>0.90279069767441855</v>
      </c>
      <c r="AF79" s="347">
        <f>+AA80+AA81/2</f>
        <v>376.25</v>
      </c>
      <c r="AG79" s="347">
        <f t="shared" si="65"/>
        <v>376.15</v>
      </c>
      <c r="AH79" s="341">
        <f t="shared" si="66"/>
        <v>22575</v>
      </c>
      <c r="AI79" s="341">
        <f>+AA79*J79</f>
        <v>20380.5</v>
      </c>
      <c r="AJ79" s="356">
        <f>+AA79-(AF79*K79/K81)</f>
        <v>0</v>
      </c>
      <c r="AK79" s="348"/>
      <c r="AL79" s="349"/>
      <c r="AM79" s="341"/>
      <c r="AN79" s="341"/>
      <c r="AO79" s="341"/>
      <c r="AP79" s="341"/>
      <c r="AQ79" s="339">
        <f t="shared" ref="AQ79" si="82">IF(AR79=0,"",AT79-(($AQ$3*K79)+($AQ$3*K79)*AR79)+AA78)</f>
        <v>30.5</v>
      </c>
      <c r="AR79" s="434">
        <v>1.5</v>
      </c>
      <c r="AT79" s="390">
        <v>803</v>
      </c>
      <c r="AV79" s="390">
        <f t="shared" ref="AV79" si="83">+AT79-AD79</f>
        <v>-15</v>
      </c>
    </row>
    <row r="80" spans="2:59" s="98" customFormat="1" ht="62.25" customHeight="1" x14ac:dyDescent="0.9">
      <c r="B80" s="357">
        <f>+B79</f>
        <v>18</v>
      </c>
      <c r="C80" s="408"/>
      <c r="D80" s="184"/>
      <c r="E80" s="111">
        <f>+B79</f>
        <v>18</v>
      </c>
      <c r="F80" s="409"/>
      <c r="G80" s="541" t="str">
        <f t="shared" si="80"/>
        <v>2396-593-600</v>
      </c>
      <c r="H80" s="411" t="s">
        <v>413</v>
      </c>
      <c r="I80" s="113">
        <f>+IFERROR(IF(K81=0,0,IF((LOOKUP(2,1/(M80:W80&lt;&gt;""),M80:W80)-K81)&lt;0,0,IF(K81=0,"",LOOKUP(2,1/(M80:W80&lt;&gt;""),M80:W80)-K81))),0)</f>
        <v>0</v>
      </c>
      <c r="J80" s="113">
        <v>2</v>
      </c>
      <c r="K80" s="114" t="s">
        <v>22</v>
      </c>
      <c r="L80" s="102" t="s">
        <v>18</v>
      </c>
      <c r="M80" s="448">
        <v>43</v>
      </c>
      <c r="N80" s="448">
        <v>43</v>
      </c>
      <c r="O80" s="448">
        <v>43</v>
      </c>
      <c r="P80" s="448">
        <v>43</v>
      </c>
      <c r="Q80" s="448">
        <v>43</v>
      </c>
      <c r="R80" s="448">
        <v>43</v>
      </c>
      <c r="S80" s="448">
        <v>43</v>
      </c>
      <c r="T80" s="448">
        <v>43</v>
      </c>
      <c r="U80" s="448">
        <v>43</v>
      </c>
      <c r="V80" s="448"/>
      <c r="W80" s="448"/>
      <c r="X80" s="160">
        <f t="shared" ref="X80" si="84">+IF(H80="l",IF(COUNTA(M79:W79)=AK81+0.25,AA79-K79*AK81,AA79-(K79*COUNTA(M79:W79))),IF(H80="s",0,IF(COUNTA(M79:W79)=AK81+0.25,SUMIF($C:$C,B79,$AA:$AA)-K79*AK81,SUMIF($C:$C,B79,$AA:$AA)-K79*COUNTA(M79:W79))))</f>
        <v>0</v>
      </c>
      <c r="Y80" s="466"/>
      <c r="Z80" s="534"/>
      <c r="AA80" s="462">
        <f t="shared" si="79"/>
        <v>376.25</v>
      </c>
      <c r="AB80" s="361"/>
      <c r="AC80" s="361"/>
      <c r="AD80" s="362"/>
      <c r="AE80" s="363"/>
      <c r="AF80" s="346"/>
      <c r="AG80" s="347">
        <f t="shared" si="65"/>
        <v>0</v>
      </c>
      <c r="AH80" s="341">
        <f t="shared" si="66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376.25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48" s="98" customFormat="1" ht="62.25" customHeight="1" thickBot="1" x14ac:dyDescent="0.95">
      <c r="B81" s="375">
        <f>+B79</f>
        <v>18</v>
      </c>
      <c r="C81" s="410"/>
      <c r="D81" s="413" t="s">
        <v>308</v>
      </c>
      <c r="E81" s="175">
        <f>+E80+100</f>
        <v>118</v>
      </c>
      <c r="F81" s="175"/>
      <c r="G81" s="542" t="str">
        <f t="shared" si="80"/>
        <v>2396-593-600</v>
      </c>
      <c r="H81" s="117"/>
      <c r="I81" s="442"/>
      <c r="J81" s="165">
        <f>+IF(K81="","",IF(K79=0,"",(K79*J79)/(K81*60)))</f>
        <v>0.90279069767441855</v>
      </c>
      <c r="K81" s="118">
        <v>43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>
        <v>12.46</v>
      </c>
      <c r="Z81" s="365">
        <v>12.46</v>
      </c>
      <c r="AA81" s="465">
        <f t="shared" si="79"/>
        <v>0</v>
      </c>
      <c r="AB81" s="367"/>
      <c r="AC81" s="367"/>
      <c r="AD81" s="368">
        <f>+IFERROR(AD79/(K79*$AQ$3),"")</f>
        <v>1.5580952380952382</v>
      </c>
      <c r="AE81" s="369"/>
      <c r="AF81" s="347"/>
      <c r="AG81" s="347">
        <f t="shared" si="65"/>
        <v>0</v>
      </c>
      <c r="AH81" s="341">
        <f t="shared" si="66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1.5295238095238095</v>
      </c>
      <c r="AV81" s="390"/>
    </row>
    <row r="82" spans="2:48" s="419" customFormat="1" ht="91.5" customHeight="1" thickTop="1" thickBot="1" x14ac:dyDescent="0.95">
      <c r="B82" s="414"/>
      <c r="C82" s="414"/>
      <c r="D82" s="415"/>
      <c r="E82" s="415"/>
      <c r="F82" s="415"/>
      <c r="G82" s="415"/>
      <c r="H82" s="415"/>
      <c r="I82" s="415"/>
      <c r="J82" s="415"/>
      <c r="K82" s="415"/>
      <c r="L82" s="416"/>
      <c r="M82" s="416"/>
      <c r="N82" s="416"/>
      <c r="O82" s="416"/>
      <c r="P82" s="416"/>
      <c r="Q82" s="416"/>
      <c r="R82" s="416"/>
      <c r="S82" s="416"/>
      <c r="T82" s="416"/>
      <c r="U82" s="416"/>
      <c r="V82" s="416"/>
      <c r="W82" s="416"/>
      <c r="X82" s="415"/>
      <c r="Y82" s="415"/>
      <c r="Z82" s="415"/>
      <c r="AA82" s="415"/>
      <c r="AB82" s="415"/>
      <c r="AC82" s="415"/>
      <c r="AD82" s="415"/>
      <c r="AE82" s="417"/>
      <c r="AF82" s="418"/>
      <c r="AG82" s="418"/>
      <c r="AK82" s="420"/>
      <c r="AL82" s="421"/>
      <c r="AR82" s="435"/>
    </row>
    <row r="83" spans="2:48" s="419" customFormat="1" ht="91.5" customHeight="1" thickTop="1" thickBot="1" x14ac:dyDescent="0.95">
      <c r="B83" s="414"/>
      <c r="C83" s="414"/>
      <c r="D83" s="415"/>
      <c r="E83" s="415"/>
      <c r="F83" s="415"/>
      <c r="G83" s="415"/>
      <c r="H83" s="415"/>
      <c r="I83" s="415"/>
      <c r="J83" s="415"/>
      <c r="K83" s="415"/>
      <c r="L83" s="378" t="s">
        <v>21</v>
      </c>
      <c r="M83" s="379">
        <f t="shared" ref="M83:W83" si="85">+SUMIF($L$6:$L$82,$L$83,M6:M82)</f>
        <v>1168</v>
      </c>
      <c r="N83" s="379">
        <f t="shared" si="85"/>
        <v>911</v>
      </c>
      <c r="O83" s="379">
        <f t="shared" si="85"/>
        <v>1444</v>
      </c>
      <c r="P83" s="379">
        <f t="shared" si="85"/>
        <v>500</v>
      </c>
      <c r="Q83" s="379">
        <f t="shared" si="85"/>
        <v>490</v>
      </c>
      <c r="R83" s="379">
        <f t="shared" si="85"/>
        <v>570</v>
      </c>
      <c r="S83" s="379">
        <f t="shared" si="85"/>
        <v>1070</v>
      </c>
      <c r="T83" s="379">
        <f t="shared" si="85"/>
        <v>50</v>
      </c>
      <c r="U83" s="379">
        <f t="shared" si="85"/>
        <v>0</v>
      </c>
      <c r="V83" s="379">
        <f t="shared" si="85"/>
        <v>0</v>
      </c>
      <c r="W83" s="379">
        <f t="shared" si="85"/>
        <v>0</v>
      </c>
      <c r="X83" s="332"/>
      <c r="Y83" s="332"/>
      <c r="Z83" s="537">
        <f>+SUM(M83:W83)</f>
        <v>6203</v>
      </c>
      <c r="AA83" s="538"/>
      <c r="AB83" s="415"/>
      <c r="AC83" s="415"/>
      <c r="AD83" s="415"/>
      <c r="AE83" s="417"/>
      <c r="AF83" s="418"/>
      <c r="AG83" s="418"/>
      <c r="AK83" s="420"/>
      <c r="AR83" s="435"/>
    </row>
    <row r="84" spans="2:48" s="419" customFormat="1" ht="91.5" customHeight="1" thickTop="1" thickBot="1" x14ac:dyDescent="0.95">
      <c r="B84" s="414"/>
      <c r="C84" s="414"/>
      <c r="D84" s="415"/>
      <c r="E84" s="415"/>
      <c r="F84" s="415"/>
      <c r="G84" s="415"/>
      <c r="H84" s="415"/>
      <c r="I84" s="415"/>
      <c r="J84" s="415"/>
      <c r="K84" s="415"/>
      <c r="L84" s="380"/>
      <c r="M84" s="376"/>
      <c r="N84" s="376"/>
      <c r="O84" s="376"/>
      <c r="P84" s="376"/>
      <c r="Q84" s="376"/>
      <c r="R84" s="376"/>
      <c r="S84" s="376"/>
      <c r="T84" s="376"/>
      <c r="U84" s="376"/>
      <c r="V84" s="376"/>
      <c r="W84" s="376"/>
      <c r="X84" s="332"/>
      <c r="Y84" s="332"/>
      <c r="Z84" s="332"/>
      <c r="AA84" s="332"/>
      <c r="AB84" s="415"/>
      <c r="AC84" s="415"/>
      <c r="AD84" s="415"/>
      <c r="AE84" s="417"/>
      <c r="AF84" s="418"/>
      <c r="AG84" s="418"/>
      <c r="AK84" s="420"/>
      <c r="AR84" s="435"/>
    </row>
    <row r="85" spans="2:48" s="419" customFormat="1" ht="91.5" customHeight="1" thickTop="1" thickBot="1" x14ac:dyDescent="0.95">
      <c r="B85" s="414"/>
      <c r="C85" s="414"/>
      <c r="D85" s="415"/>
      <c r="E85" s="415"/>
      <c r="F85" s="415"/>
      <c r="G85" s="415"/>
      <c r="H85" s="415"/>
      <c r="I85" s="415"/>
      <c r="J85" s="415"/>
      <c r="K85" s="415"/>
      <c r="L85" s="378" t="s">
        <v>17</v>
      </c>
      <c r="M85" s="379">
        <f t="shared" ref="M85:W85" si="86">+SUMIF($L$6:$L$82,$L$85,M6:M82)</f>
        <v>691</v>
      </c>
      <c r="N85" s="379">
        <f t="shared" si="86"/>
        <v>710</v>
      </c>
      <c r="O85" s="379">
        <f t="shared" si="86"/>
        <v>751</v>
      </c>
      <c r="P85" s="379">
        <f t="shared" si="86"/>
        <v>713</v>
      </c>
      <c r="Q85" s="379">
        <f t="shared" si="86"/>
        <v>798</v>
      </c>
      <c r="R85" s="379">
        <f t="shared" si="86"/>
        <v>717</v>
      </c>
      <c r="S85" s="379">
        <f t="shared" si="86"/>
        <v>735</v>
      </c>
      <c r="T85" s="379">
        <f t="shared" si="86"/>
        <v>699</v>
      </c>
      <c r="U85" s="379">
        <f t="shared" si="86"/>
        <v>586</v>
      </c>
      <c r="V85" s="379">
        <f t="shared" si="86"/>
        <v>0</v>
      </c>
      <c r="W85" s="379">
        <f t="shared" si="86"/>
        <v>0</v>
      </c>
      <c r="X85" s="332"/>
      <c r="Y85" s="332"/>
      <c r="Z85" s="537">
        <f>+SUM(M85:W85)</f>
        <v>6400</v>
      </c>
      <c r="AA85" s="538"/>
      <c r="AB85" s="415"/>
      <c r="AC85" s="415"/>
      <c r="AD85" s="415"/>
      <c r="AE85" s="417"/>
      <c r="AF85" s="418"/>
      <c r="AG85" s="418"/>
      <c r="AK85" s="420"/>
      <c r="AR85" s="435"/>
    </row>
    <row r="86" spans="2:48" s="419" customFormat="1" ht="91.5" customHeight="1" thickTop="1" thickBot="1" x14ac:dyDescent="0.95">
      <c r="B86" s="414"/>
      <c r="C86" s="414"/>
      <c r="D86" s="415"/>
      <c r="E86" s="415"/>
      <c r="F86" s="415"/>
      <c r="G86" s="415"/>
      <c r="H86" s="415"/>
      <c r="I86" s="415"/>
      <c r="J86" s="415"/>
      <c r="K86" s="415"/>
      <c r="L86" s="380"/>
      <c r="M86" s="376"/>
      <c r="N86" s="376"/>
      <c r="O86" s="376"/>
      <c r="P86" s="376"/>
      <c r="Q86" s="376"/>
      <c r="R86" s="376"/>
      <c r="S86" s="376"/>
      <c r="T86" s="376"/>
      <c r="U86" s="376"/>
      <c r="V86" s="376"/>
      <c r="W86" s="376"/>
      <c r="X86" s="332"/>
      <c r="Y86" s="332"/>
      <c r="Z86" s="332"/>
      <c r="AA86" s="332"/>
      <c r="AB86" s="415"/>
      <c r="AC86" s="415"/>
      <c r="AD86" s="415"/>
      <c r="AE86" s="417"/>
      <c r="AF86" s="418"/>
      <c r="AG86" s="418"/>
      <c r="AK86" s="420"/>
      <c r="AR86" s="435"/>
    </row>
    <row r="87" spans="2:48" s="419" customFormat="1" ht="91.5" customHeight="1" thickTop="1" thickBot="1" x14ac:dyDescent="0.95">
      <c r="B87" s="414"/>
      <c r="C87" s="414"/>
      <c r="D87" s="422"/>
      <c r="E87" s="422"/>
      <c r="F87" s="422"/>
      <c r="G87" s="422"/>
      <c r="H87" s="422"/>
      <c r="I87" s="422"/>
      <c r="J87" s="423"/>
      <c r="K87" s="422"/>
      <c r="L87" s="378" t="s">
        <v>19</v>
      </c>
      <c r="M87" s="379">
        <f t="shared" ref="M87:W87" si="87">+SUMIF($L$6:$L$82,$L$87,M6:M82)</f>
        <v>8</v>
      </c>
      <c r="N87" s="379">
        <f t="shared" si="87"/>
        <v>8</v>
      </c>
      <c r="O87" s="379">
        <f t="shared" si="87"/>
        <v>8</v>
      </c>
      <c r="P87" s="379">
        <f t="shared" si="87"/>
        <v>8</v>
      </c>
      <c r="Q87" s="379">
        <f t="shared" si="87"/>
        <v>8</v>
      </c>
      <c r="R87" s="379">
        <f t="shared" si="87"/>
        <v>8</v>
      </c>
      <c r="S87" s="379">
        <f t="shared" si="87"/>
        <v>8</v>
      </c>
      <c r="T87" s="379">
        <f t="shared" si="87"/>
        <v>8</v>
      </c>
      <c r="U87" s="379">
        <f t="shared" si="87"/>
        <v>8</v>
      </c>
      <c r="V87" s="379">
        <f t="shared" si="87"/>
        <v>0</v>
      </c>
      <c r="W87" s="379">
        <f t="shared" si="87"/>
        <v>0</v>
      </c>
      <c r="X87" s="381"/>
      <c r="Y87" s="381"/>
      <c r="Z87" s="332"/>
      <c r="AA87" s="332"/>
      <c r="AB87" s="415"/>
      <c r="AC87" s="415"/>
      <c r="AD87" s="415"/>
      <c r="AE87" s="417"/>
      <c r="AF87" s="418"/>
      <c r="AG87" s="418"/>
      <c r="AK87" s="420"/>
      <c r="AR87" s="435"/>
    </row>
    <row r="88" spans="2:48" s="419" customFormat="1" ht="62.25" customHeight="1" thickTop="1" x14ac:dyDescent="0.9">
      <c r="B88" s="414"/>
      <c r="C88" s="414"/>
      <c r="D88" s="422"/>
      <c r="E88" s="422"/>
      <c r="F88" s="422"/>
      <c r="G88" s="422"/>
      <c r="H88" s="422"/>
      <c r="I88" s="424"/>
      <c r="J88" s="423"/>
      <c r="K88" s="422"/>
      <c r="L88" s="380"/>
      <c r="M88" s="382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32"/>
      <c r="Y88" s="332"/>
      <c r="Z88" s="332"/>
      <c r="AA88" s="332"/>
      <c r="AB88" s="415"/>
      <c r="AC88" s="415"/>
      <c r="AD88" s="425"/>
      <c r="AE88" s="417"/>
      <c r="AF88" s="418"/>
      <c r="AG88" s="418"/>
      <c r="AK88" s="420"/>
      <c r="AR88" s="435"/>
    </row>
    <row r="89" spans="2:48" s="98" customFormat="1" ht="62.25" customHeight="1" thickBot="1" x14ac:dyDescent="0.95">
      <c r="B89" s="94"/>
      <c r="C89" s="94"/>
      <c r="D89" s="92"/>
      <c r="E89" s="92"/>
      <c r="F89" s="92"/>
      <c r="G89" s="92"/>
      <c r="H89" s="92"/>
      <c r="I89" s="91"/>
      <c r="J89" s="93"/>
      <c r="K89" s="92"/>
      <c r="L89" s="384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  <c r="AA89" s="340"/>
      <c r="AB89" s="91"/>
      <c r="AC89" s="91"/>
      <c r="AD89" s="91"/>
      <c r="AE89" s="95"/>
      <c r="AF89" s="158"/>
      <c r="AG89" s="158"/>
      <c r="AK89" s="183"/>
      <c r="AR89" s="434"/>
    </row>
    <row r="90" spans="2:48" s="98" customFormat="1" ht="88.5" customHeight="1" thickTop="1" thickBot="1" x14ac:dyDescent="0.95">
      <c r="B90" s="94"/>
      <c r="C90" s="94"/>
      <c r="D90" s="92"/>
      <c r="E90" s="92"/>
      <c r="F90" s="92"/>
      <c r="G90" s="92"/>
      <c r="H90" s="92"/>
      <c r="I90" s="91"/>
      <c r="J90" s="93"/>
      <c r="K90" s="212" t="s">
        <v>18</v>
      </c>
      <c r="L90" s="385" t="s">
        <v>180</v>
      </c>
      <c r="M90" s="379">
        <f t="shared" ref="M90:W90" si="88">+IF(M93=0,0,SUMIFS($J$6:$J$82,$L$6:$L$82,$K$90))</f>
        <v>13</v>
      </c>
      <c r="N90" s="379">
        <f t="shared" si="88"/>
        <v>13</v>
      </c>
      <c r="O90" s="379">
        <f t="shared" si="88"/>
        <v>13</v>
      </c>
      <c r="P90" s="379">
        <f t="shared" si="88"/>
        <v>13</v>
      </c>
      <c r="Q90" s="379">
        <f t="shared" si="88"/>
        <v>13</v>
      </c>
      <c r="R90" s="379">
        <f t="shared" si="88"/>
        <v>13</v>
      </c>
      <c r="S90" s="379">
        <f t="shared" si="88"/>
        <v>13</v>
      </c>
      <c r="T90" s="379">
        <f t="shared" si="88"/>
        <v>13</v>
      </c>
      <c r="U90" s="379">
        <f t="shared" si="88"/>
        <v>13</v>
      </c>
      <c r="V90" s="379">
        <f t="shared" si="88"/>
        <v>0</v>
      </c>
      <c r="W90" s="379">
        <f t="shared" si="88"/>
        <v>0</v>
      </c>
      <c r="X90" s="383"/>
      <c r="Y90" s="383"/>
      <c r="Z90" s="340"/>
      <c r="AA90" s="340"/>
      <c r="AB90" s="91"/>
      <c r="AC90" s="91"/>
      <c r="AD90" s="91"/>
      <c r="AE90" s="95"/>
      <c r="AF90" s="158"/>
      <c r="AG90" s="158"/>
      <c r="AK90" s="183"/>
      <c r="AR90" s="434"/>
    </row>
    <row r="91" spans="2:48" s="98" customFormat="1" ht="62.25" customHeight="1" thickTop="1" x14ac:dyDescent="0.9">
      <c r="B91" s="94"/>
      <c r="C91" s="94"/>
      <c r="D91" s="92"/>
      <c r="E91" s="92"/>
      <c r="F91" s="92"/>
      <c r="G91" s="92"/>
      <c r="H91" s="92"/>
      <c r="I91" s="92"/>
      <c r="J91" s="93"/>
      <c r="K91" s="212"/>
      <c r="L91" s="384"/>
      <c r="M91" s="386"/>
      <c r="N91" s="386"/>
      <c r="O91" s="386"/>
      <c r="P91" s="386"/>
      <c r="Q91" s="386"/>
      <c r="R91" s="386"/>
      <c r="S91" s="386"/>
      <c r="T91" s="386"/>
      <c r="U91" s="386"/>
      <c r="V91" s="386"/>
      <c r="W91" s="386"/>
      <c r="X91" s="340"/>
      <c r="Y91" s="340"/>
      <c r="Z91" s="340"/>
      <c r="AA91" s="340"/>
      <c r="AB91" s="91"/>
      <c r="AC91" s="91"/>
      <c r="AD91" s="91"/>
      <c r="AE91" s="95"/>
      <c r="AF91" s="158"/>
      <c r="AG91" s="158"/>
      <c r="AK91" s="183"/>
      <c r="AR91" s="434"/>
    </row>
    <row r="92" spans="2:48" s="98" customFormat="1" ht="62.25" customHeight="1" thickBot="1" x14ac:dyDescent="0.95">
      <c r="B92" s="94"/>
      <c r="C92" s="94"/>
      <c r="D92" s="92"/>
      <c r="E92" s="92"/>
      <c r="F92" s="92"/>
      <c r="G92" s="92"/>
      <c r="H92" s="92"/>
      <c r="I92" s="92"/>
      <c r="J92" s="93"/>
      <c r="K92" s="212"/>
      <c r="L92" s="384"/>
      <c r="M92" s="340"/>
      <c r="N92" s="340"/>
      <c r="O92" s="340"/>
      <c r="P92" s="340"/>
      <c r="Q92" s="387"/>
      <c r="R92" s="387"/>
      <c r="S92" s="387"/>
      <c r="T92" s="387"/>
      <c r="U92" s="387"/>
      <c r="V92" s="387"/>
      <c r="W92" s="387"/>
      <c r="X92" s="340"/>
      <c r="Y92" s="340"/>
      <c r="Z92" s="340"/>
      <c r="AA92" s="340"/>
      <c r="AB92" s="91"/>
      <c r="AC92" s="91"/>
      <c r="AD92" s="91"/>
      <c r="AE92" s="95"/>
      <c r="AF92" s="158"/>
      <c r="AG92" s="158"/>
      <c r="AK92" s="183"/>
      <c r="AR92" s="434"/>
    </row>
    <row r="93" spans="2:48" s="98" customFormat="1" ht="98.25" customHeight="1" thickTop="1" thickBot="1" x14ac:dyDescent="0.95">
      <c r="B93" s="94"/>
      <c r="C93" s="94"/>
      <c r="D93" s="92"/>
      <c r="E93" s="92"/>
      <c r="F93" s="92"/>
      <c r="G93" s="92"/>
      <c r="H93" s="92"/>
      <c r="I93" s="92"/>
      <c r="J93" s="93"/>
      <c r="K93" s="212"/>
      <c r="L93" s="385" t="s">
        <v>18</v>
      </c>
      <c r="M93" s="379">
        <f t="shared" ref="M93:W93" si="89">+SUMIF($L$6:$L$82,$L$93,M6:M82)</f>
        <v>619</v>
      </c>
      <c r="N93" s="379">
        <f t="shared" si="89"/>
        <v>619</v>
      </c>
      <c r="O93" s="379">
        <f t="shared" si="89"/>
        <v>586</v>
      </c>
      <c r="P93" s="379">
        <f t="shared" si="89"/>
        <v>588</v>
      </c>
      <c r="Q93" s="379">
        <f t="shared" si="89"/>
        <v>554</v>
      </c>
      <c r="R93" s="379">
        <f t="shared" si="89"/>
        <v>545</v>
      </c>
      <c r="S93" s="379">
        <f t="shared" si="89"/>
        <v>545</v>
      </c>
      <c r="T93" s="379">
        <f t="shared" si="89"/>
        <v>545</v>
      </c>
      <c r="U93" s="379">
        <f t="shared" si="89"/>
        <v>545</v>
      </c>
      <c r="V93" s="379">
        <f t="shared" si="89"/>
        <v>0</v>
      </c>
      <c r="W93" s="379">
        <f t="shared" si="89"/>
        <v>0</v>
      </c>
      <c r="X93" s="340"/>
      <c r="Y93" s="340"/>
      <c r="Z93" s="340"/>
      <c r="AA93" s="340"/>
      <c r="AB93" s="91"/>
      <c r="AC93" s="91"/>
      <c r="AD93" s="91"/>
      <c r="AE93" s="95"/>
      <c r="AF93" s="158"/>
      <c r="AG93" s="158"/>
      <c r="AK93" s="183"/>
      <c r="AR93" s="434"/>
    </row>
    <row r="94" spans="2:48" s="98" customFormat="1" ht="62.25" customHeight="1" thickTop="1" x14ac:dyDescent="0.9">
      <c r="B94" s="94"/>
      <c r="C94" s="94"/>
      <c r="D94" s="92"/>
      <c r="E94" s="92"/>
      <c r="F94" s="92"/>
      <c r="G94" s="92"/>
      <c r="H94" s="92"/>
      <c r="I94" s="92"/>
      <c r="J94" s="93"/>
      <c r="K94" s="212"/>
      <c r="L94" s="384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40"/>
      <c r="Y94" s="340"/>
      <c r="Z94" s="340"/>
      <c r="AA94" s="340"/>
      <c r="AB94" s="91"/>
      <c r="AC94" s="91"/>
      <c r="AD94" s="91"/>
      <c r="AE94" s="95"/>
      <c r="AF94" s="158"/>
      <c r="AG94" s="158"/>
      <c r="AK94" s="183"/>
      <c r="AR94" s="434"/>
    </row>
    <row r="95" spans="2:48" s="98" customFormat="1" ht="62.25" customHeight="1" thickBot="1" x14ac:dyDescent="0.95">
      <c r="B95" s="94"/>
      <c r="C95" s="94"/>
      <c r="D95" s="92"/>
      <c r="E95" s="92"/>
      <c r="F95" s="92"/>
      <c r="G95" s="92"/>
      <c r="H95" s="92"/>
      <c r="I95" s="92"/>
      <c r="J95" s="93"/>
      <c r="K95" s="212"/>
      <c r="L95" s="384"/>
      <c r="M95" s="340"/>
      <c r="N95" s="340"/>
      <c r="O95" s="340"/>
      <c r="P95" s="340"/>
      <c r="Q95" s="387"/>
      <c r="R95" s="387"/>
      <c r="S95" s="387"/>
      <c r="T95" s="387"/>
      <c r="U95" s="387"/>
      <c r="V95" s="387"/>
      <c r="W95" s="387"/>
      <c r="X95" s="340"/>
      <c r="Y95" s="340"/>
      <c r="Z95" s="340"/>
      <c r="AA95" s="340"/>
      <c r="AB95" s="91"/>
      <c r="AC95" s="91"/>
      <c r="AD95" s="91"/>
      <c r="AE95" s="95"/>
      <c r="AF95" s="158"/>
      <c r="AG95" s="158"/>
      <c r="AK95" s="183"/>
      <c r="AR95" s="434"/>
    </row>
    <row r="96" spans="2:48" s="98" customFormat="1" ht="94.5" customHeight="1" thickTop="1" thickBot="1" x14ac:dyDescent="0.95">
      <c r="B96" s="94"/>
      <c r="C96" s="94"/>
      <c r="D96" s="92"/>
      <c r="E96" s="92"/>
      <c r="F96" s="92"/>
      <c r="G96" s="92"/>
      <c r="H96" s="92"/>
      <c r="I96" s="92"/>
      <c r="J96" s="93"/>
      <c r="K96" s="92"/>
      <c r="L96" s="385" t="s">
        <v>13</v>
      </c>
      <c r="M96" s="379">
        <f>+M93+M90+M87</f>
        <v>640</v>
      </c>
      <c r="N96" s="379">
        <f t="shared" ref="N96:W96" si="90">+N93+N90+N87</f>
        <v>640</v>
      </c>
      <c r="O96" s="379">
        <f t="shared" si="90"/>
        <v>607</v>
      </c>
      <c r="P96" s="379">
        <f t="shared" si="90"/>
        <v>609</v>
      </c>
      <c r="Q96" s="379">
        <f t="shared" si="90"/>
        <v>575</v>
      </c>
      <c r="R96" s="379">
        <f t="shared" si="90"/>
        <v>566</v>
      </c>
      <c r="S96" s="379">
        <f t="shared" si="90"/>
        <v>566</v>
      </c>
      <c r="T96" s="379">
        <f t="shared" si="90"/>
        <v>566</v>
      </c>
      <c r="U96" s="379">
        <f t="shared" si="90"/>
        <v>566</v>
      </c>
      <c r="V96" s="379">
        <f t="shared" si="90"/>
        <v>0</v>
      </c>
      <c r="W96" s="379">
        <f t="shared" si="90"/>
        <v>0</v>
      </c>
      <c r="X96" s="340"/>
      <c r="Y96" s="340"/>
      <c r="Z96" s="340"/>
      <c r="AA96" s="340"/>
      <c r="AB96" s="91"/>
      <c r="AC96" s="91"/>
      <c r="AD96" s="91"/>
      <c r="AE96" s="95"/>
      <c r="AF96" s="155"/>
      <c r="AG96" s="155"/>
      <c r="AK96" s="183"/>
      <c r="AR96" s="434"/>
    </row>
    <row r="97" spans="2:44" s="98" customFormat="1" ht="62.25" thickTop="1" x14ac:dyDescent="0.9">
      <c r="B97" s="94"/>
      <c r="C97" s="94"/>
      <c r="D97" s="92"/>
      <c r="E97" s="92"/>
      <c r="F97" s="92"/>
      <c r="G97" s="92"/>
      <c r="H97" s="92"/>
      <c r="I97" s="92"/>
      <c r="J97" s="93"/>
      <c r="K97" s="92"/>
      <c r="L97" s="389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91"/>
      <c r="AC97" s="91"/>
      <c r="AD97" s="91"/>
      <c r="AE97" s="95"/>
      <c r="AF97" s="158"/>
      <c r="AG97" s="158"/>
      <c r="AK97" s="183"/>
      <c r="AR97" s="434"/>
    </row>
    <row r="98" spans="2:44" x14ac:dyDescent="0.9">
      <c r="J98" s="91"/>
      <c r="K98" s="91"/>
      <c r="T98" s="515"/>
      <c r="U98" s="515"/>
      <c r="V98" s="515"/>
      <c r="AF98" s="158"/>
      <c r="AG98" s="158"/>
    </row>
    <row r="99" spans="2:44" ht="105" customHeight="1" x14ac:dyDescent="0.9">
      <c r="B99" s="426"/>
      <c r="AF99" s="158"/>
      <c r="AG99" s="158"/>
    </row>
    <row r="100" spans="2:44" s="98" customFormat="1" x14ac:dyDescent="0.9">
      <c r="B100" s="94"/>
      <c r="C100" s="94"/>
      <c r="D100" s="92"/>
      <c r="E100" s="92"/>
      <c r="F100" s="92"/>
      <c r="G100" s="92"/>
      <c r="H100" s="92"/>
      <c r="I100" s="92"/>
      <c r="J100" s="93"/>
      <c r="K100" s="92"/>
      <c r="L100" s="99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5"/>
      <c r="AF100" s="158"/>
      <c r="AG100" s="158"/>
      <c r="AK100" s="183"/>
      <c r="AR100" s="434"/>
    </row>
    <row r="101" spans="2:44" s="98" customFormat="1" x14ac:dyDescent="0.9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99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5"/>
      <c r="AF101" s="158"/>
      <c r="AG101" s="158"/>
      <c r="AK101" s="183"/>
      <c r="AR101" s="434"/>
    </row>
    <row r="102" spans="2:44" s="98" customFormat="1" x14ac:dyDescent="0.9">
      <c r="B102" s="94"/>
      <c r="C102" s="94"/>
      <c r="D102" s="92"/>
      <c r="E102" s="92"/>
      <c r="F102" s="92"/>
      <c r="G102" s="92"/>
      <c r="H102" s="92"/>
      <c r="I102" s="92"/>
      <c r="J102" s="93"/>
      <c r="K102" s="92"/>
      <c r="L102" s="99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5"/>
      <c r="AF102" s="158"/>
      <c r="AG102" s="158"/>
      <c r="AK102" s="183"/>
      <c r="AR102" s="434"/>
    </row>
    <row r="103" spans="2:44" s="98" customFormat="1" ht="66" customHeight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92"/>
      <c r="L103" s="99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5"/>
      <c r="AF103" s="158"/>
      <c r="AG103" s="158"/>
      <c r="AK103" s="183"/>
      <c r="AR103" s="434"/>
    </row>
    <row r="105" spans="2:44" s="92" customFormat="1" x14ac:dyDescent="0.7">
      <c r="B105" s="94"/>
      <c r="C105" s="94"/>
      <c r="D105" s="92">
        <v>2</v>
      </c>
      <c r="J105" s="93"/>
      <c r="L105" s="99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5"/>
      <c r="AF105" s="155"/>
      <c r="AG105" s="155"/>
      <c r="AH105" s="98"/>
      <c r="AI105" s="98"/>
      <c r="AJ105" s="98"/>
      <c r="AK105" s="183"/>
      <c r="AL105" s="91"/>
      <c r="AM105" s="91"/>
      <c r="AR105" s="243"/>
    </row>
    <row r="106" spans="2:44" s="92" customFormat="1" x14ac:dyDescent="0.7">
      <c r="B106" s="94"/>
      <c r="C106" s="94"/>
      <c r="H106" s="92">
        <v>1</v>
      </c>
      <c r="J106" s="93"/>
      <c r="L106" s="99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5"/>
      <c r="AF106" s="155"/>
      <c r="AG106" s="155"/>
      <c r="AH106" s="98"/>
      <c r="AI106" s="98"/>
      <c r="AJ106" s="98"/>
      <c r="AK106" s="183"/>
      <c r="AL106" s="91"/>
      <c r="AM106" s="91"/>
      <c r="AR106" s="243"/>
    </row>
    <row r="107" spans="2:44" s="92" customFormat="1" x14ac:dyDescent="0.7">
      <c r="B107" s="94"/>
      <c r="C107" s="94"/>
      <c r="H107" s="92">
        <v>2</v>
      </c>
      <c r="J107" s="93"/>
      <c r="L107" s="99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5"/>
      <c r="AF107" s="155"/>
      <c r="AG107" s="155"/>
      <c r="AH107" s="98"/>
      <c r="AI107" s="98"/>
      <c r="AJ107" s="98"/>
      <c r="AK107" s="183"/>
      <c r="AL107" s="91"/>
      <c r="AM107" s="91"/>
      <c r="AR107" s="243"/>
    </row>
    <row r="108" spans="2:44" s="92" customFormat="1" x14ac:dyDescent="0.7">
      <c r="B108" s="94"/>
      <c r="C108" s="94"/>
      <c r="H108" s="92">
        <v>3</v>
      </c>
      <c r="J108" s="93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5"/>
      <c r="AF108" s="155"/>
      <c r="AG108" s="155"/>
      <c r="AH108" s="98"/>
      <c r="AI108" s="98"/>
      <c r="AJ108" s="98"/>
      <c r="AK108" s="183"/>
      <c r="AL108" s="91"/>
      <c r="AM108" s="91"/>
      <c r="AR108" s="243"/>
    </row>
    <row r="109" spans="2:44" s="92" customFormat="1" x14ac:dyDescent="0.7">
      <c r="B109" s="94"/>
      <c r="C109" s="94"/>
      <c r="H109" s="92">
        <v>4</v>
      </c>
      <c r="J109" s="93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5"/>
      <c r="AF109" s="155"/>
      <c r="AG109" s="155"/>
      <c r="AH109" s="98"/>
      <c r="AI109" s="98"/>
      <c r="AJ109" s="98"/>
      <c r="AK109" s="183"/>
      <c r="AL109" s="91"/>
      <c r="AM109" s="91"/>
      <c r="AR109" s="243"/>
    </row>
    <row r="110" spans="2:44" s="92" customFormat="1" x14ac:dyDescent="0.7">
      <c r="B110" s="94"/>
      <c r="C110" s="94"/>
      <c r="H110" s="92">
        <v>5</v>
      </c>
      <c r="J110" s="93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5"/>
      <c r="AF110" s="155"/>
      <c r="AG110" s="155"/>
      <c r="AH110" s="98"/>
      <c r="AI110" s="98"/>
      <c r="AJ110" s="98"/>
      <c r="AK110" s="183"/>
      <c r="AL110" s="91"/>
      <c r="AM110" s="91"/>
      <c r="AR110" s="243"/>
    </row>
    <row r="111" spans="2:44" s="92" customFormat="1" x14ac:dyDescent="0.7">
      <c r="B111" s="94"/>
      <c r="C111" s="94"/>
      <c r="H111" s="92">
        <v>6</v>
      </c>
      <c r="J111" s="93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5"/>
      <c r="AF111" s="155"/>
      <c r="AG111" s="155"/>
      <c r="AH111" s="98"/>
      <c r="AI111" s="98"/>
      <c r="AJ111" s="98"/>
      <c r="AK111" s="183"/>
      <c r="AL111" s="91"/>
      <c r="AM111" s="91"/>
      <c r="AR111" s="243"/>
    </row>
    <row r="112" spans="2:44" s="92" customFormat="1" x14ac:dyDescent="0.7">
      <c r="B112" s="94"/>
      <c r="C112" s="94"/>
      <c r="H112" s="92">
        <v>7</v>
      </c>
      <c r="J112" s="93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5"/>
      <c r="AF112" s="155"/>
      <c r="AG112" s="155"/>
      <c r="AH112" s="98"/>
      <c r="AI112" s="98"/>
      <c r="AJ112" s="98"/>
      <c r="AK112" s="183"/>
      <c r="AL112" s="91"/>
      <c r="AM112" s="91"/>
      <c r="AR112" s="243"/>
    </row>
    <row r="113" spans="2:44" s="92" customFormat="1" x14ac:dyDescent="0.7">
      <c r="B113" s="94"/>
      <c r="C113" s="94"/>
      <c r="H113" s="92">
        <v>8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/>
      <c r="AF113" s="155"/>
      <c r="AG113" s="155"/>
      <c r="AH113" s="98"/>
      <c r="AI113" s="98"/>
      <c r="AJ113" s="98"/>
      <c r="AK113" s="183"/>
      <c r="AL113" s="91"/>
      <c r="AM113" s="91"/>
      <c r="AR113" s="243"/>
    </row>
    <row r="114" spans="2:44" s="92" customFormat="1" x14ac:dyDescent="0.7">
      <c r="B114" s="94"/>
      <c r="C114" s="94"/>
      <c r="H114" s="92">
        <v>11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/>
      <c r="AF114" s="155"/>
      <c r="AG114" s="155"/>
      <c r="AH114" s="98"/>
      <c r="AI114" s="98"/>
      <c r="AJ114" s="98"/>
      <c r="AK114" s="183"/>
      <c r="AL114" s="91"/>
      <c r="AM114" s="91"/>
      <c r="AR114" s="243"/>
    </row>
    <row r="115" spans="2:44" s="92" customFormat="1" x14ac:dyDescent="0.7">
      <c r="B115" s="94"/>
      <c r="C115" s="94"/>
      <c r="H115" s="92">
        <v>12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/>
      <c r="AF115" s="155"/>
      <c r="AG115" s="155"/>
      <c r="AH115" s="98"/>
      <c r="AI115" s="98"/>
      <c r="AJ115" s="98"/>
      <c r="AK115" s="183"/>
      <c r="AL115" s="91"/>
      <c r="AM115" s="91"/>
      <c r="AR115" s="243"/>
    </row>
    <row r="116" spans="2:44" s="92" customFormat="1" x14ac:dyDescent="0.7">
      <c r="B116" s="94"/>
      <c r="C116" s="94"/>
      <c r="H116" s="92">
        <v>13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/>
      <c r="AF116" s="155"/>
      <c r="AG116" s="155"/>
      <c r="AH116" s="98"/>
      <c r="AI116" s="98"/>
      <c r="AJ116" s="98"/>
      <c r="AK116" s="183"/>
      <c r="AL116" s="91"/>
      <c r="AM116" s="91"/>
      <c r="AR116" s="243"/>
    </row>
    <row r="117" spans="2:44" s="92" customFormat="1" x14ac:dyDescent="0.7">
      <c r="B117" s="94"/>
      <c r="C117" s="94"/>
      <c r="H117" s="92">
        <v>14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5"/>
      <c r="AG117" s="155"/>
      <c r="AH117" s="98"/>
      <c r="AI117" s="98"/>
      <c r="AJ117" s="98"/>
      <c r="AK117" s="183"/>
      <c r="AL117" s="91"/>
      <c r="AM117" s="91"/>
      <c r="AR117" s="243"/>
    </row>
    <row r="118" spans="2:44" s="92" customFormat="1" x14ac:dyDescent="0.7">
      <c r="B118" s="94"/>
      <c r="C118" s="94"/>
      <c r="H118" s="92">
        <v>15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5"/>
      <c r="AG118" s="155"/>
      <c r="AH118" s="98"/>
      <c r="AI118" s="98"/>
      <c r="AJ118" s="98"/>
      <c r="AK118" s="183"/>
      <c r="AL118" s="91"/>
      <c r="AM118" s="91"/>
      <c r="AR118" s="243"/>
    </row>
    <row r="119" spans="2:44" s="92" customFormat="1" x14ac:dyDescent="0.7">
      <c r="B119" s="94"/>
      <c r="C119" s="94"/>
      <c r="H119" s="92">
        <v>17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5"/>
      <c r="AG119" s="155"/>
      <c r="AH119" s="98"/>
      <c r="AI119" s="98"/>
      <c r="AJ119" s="98"/>
      <c r="AK119" s="183"/>
      <c r="AL119" s="91"/>
      <c r="AM119" s="91"/>
      <c r="AR119" s="243"/>
    </row>
    <row r="120" spans="2:44" s="92" customFormat="1" x14ac:dyDescent="0.7">
      <c r="B120" s="94"/>
      <c r="C120" s="94"/>
      <c r="H120" s="92">
        <v>18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5"/>
      <c r="AG120" s="155"/>
      <c r="AH120" s="98"/>
      <c r="AI120" s="98"/>
      <c r="AJ120" s="98"/>
      <c r="AK120" s="183"/>
      <c r="AL120" s="91"/>
      <c r="AM120" s="91"/>
      <c r="AR120" s="243"/>
    </row>
    <row r="121" spans="2:44" s="92" customFormat="1" x14ac:dyDescent="0.7">
      <c r="B121" s="94"/>
      <c r="C121" s="94"/>
      <c r="H121" s="92">
        <v>19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77" spans="2:44" s="92" customFormat="1" x14ac:dyDescent="0.7">
      <c r="B177" s="94"/>
      <c r="C177" s="94"/>
      <c r="G177" s="92">
        <v>1</v>
      </c>
      <c r="J177" s="93"/>
      <c r="L177" s="99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5"/>
      <c r="AF177" s="155"/>
      <c r="AG177" s="155"/>
      <c r="AH177" s="98"/>
      <c r="AI177" s="98"/>
      <c r="AJ177" s="98"/>
      <c r="AK177" s="183"/>
      <c r="AL177" s="91"/>
      <c r="AM177" s="91"/>
      <c r="AR177" s="243"/>
    </row>
  </sheetData>
  <sheetProtection autoFilter="0"/>
  <autoFilter ref="A5:CR81">
    <filterColumn colId="9" showButton="0"/>
  </autoFilter>
  <mergeCells count="61">
    <mergeCell ref="AW75:BF75"/>
    <mergeCell ref="AD1:AE1"/>
    <mergeCell ref="AD2:AE3"/>
    <mergeCell ref="H3:I3"/>
    <mergeCell ref="K3:L3"/>
    <mergeCell ref="B4:G4"/>
    <mergeCell ref="K4:L4"/>
    <mergeCell ref="AD4:AE4"/>
    <mergeCell ref="AW15:BF15"/>
    <mergeCell ref="G18:G21"/>
    <mergeCell ref="Z18:Z20"/>
    <mergeCell ref="J5:K5"/>
    <mergeCell ref="G6:G9"/>
    <mergeCell ref="Z6:Z8"/>
    <mergeCell ref="AW7:BF7"/>
    <mergeCell ref="G10:G13"/>
    <mergeCell ref="Z10:Z12"/>
    <mergeCell ref="AW11:BF11"/>
    <mergeCell ref="AW19:BF19"/>
    <mergeCell ref="G22:G25"/>
    <mergeCell ref="Z22:Z24"/>
    <mergeCell ref="G26:G29"/>
    <mergeCell ref="Z26:Z28"/>
    <mergeCell ref="G14:G17"/>
    <mergeCell ref="Z14:Z16"/>
    <mergeCell ref="G30:G33"/>
    <mergeCell ref="Z30:Z32"/>
    <mergeCell ref="AW31:BF31"/>
    <mergeCell ref="G34:G37"/>
    <mergeCell ref="Z34:Z36"/>
    <mergeCell ref="G70:G73"/>
    <mergeCell ref="Z70:Z72"/>
    <mergeCell ref="G74:G77"/>
    <mergeCell ref="Z74:Z76"/>
    <mergeCell ref="G54:G57"/>
    <mergeCell ref="Z54:Z56"/>
    <mergeCell ref="G58:G61"/>
    <mergeCell ref="Z58:Z60"/>
    <mergeCell ref="G62:G65"/>
    <mergeCell ref="Z62:Z64"/>
    <mergeCell ref="G38:G41"/>
    <mergeCell ref="Z38:Z40"/>
    <mergeCell ref="G66:G69"/>
    <mergeCell ref="Z66:Z68"/>
    <mergeCell ref="AW67:BG67"/>
    <mergeCell ref="AW59:BF59"/>
    <mergeCell ref="AW63:BG63"/>
    <mergeCell ref="G46:G49"/>
    <mergeCell ref="Z46:Z48"/>
    <mergeCell ref="G50:G53"/>
    <mergeCell ref="Z50:Z52"/>
    <mergeCell ref="G42:G45"/>
    <mergeCell ref="Z42:Z44"/>
    <mergeCell ref="AW43:BF43"/>
    <mergeCell ref="AW39:BF39"/>
    <mergeCell ref="AX51:BG51"/>
    <mergeCell ref="G78:G81"/>
    <mergeCell ref="Z78:Z80"/>
    <mergeCell ref="Z83:AA83"/>
    <mergeCell ref="Z85:AA85"/>
    <mergeCell ref="T98:V98"/>
  </mergeCells>
  <conditionalFormatting sqref="AD2:AE3">
    <cfRule type="cellIs" dxfId="4783" priority="2157" operator="lessThan">
      <formula>0.85</formula>
    </cfRule>
  </conditionalFormatting>
  <conditionalFormatting sqref="AM1:AM5 AM82:AM1048576">
    <cfRule type="cellIs" dxfId="4782" priority="2156" operator="notEqual">
      <formula>0</formula>
    </cfRule>
  </conditionalFormatting>
  <conditionalFormatting sqref="AQ82:AQ84 AQ6 AQ10 AQ14 AQ18 AQ26 AQ30 AQ34 AQ42 AQ46 AQ54 AQ58 AQ62 AQ70 AQ78 AQ22">
    <cfRule type="cellIs" dxfId="4781" priority="2155" operator="lessThan">
      <formula>0</formula>
    </cfRule>
  </conditionalFormatting>
  <conditionalFormatting sqref="X82:Y82">
    <cfRule type="cellIs" dxfId="4780" priority="2154" operator="lessThan">
      <formula>0</formula>
    </cfRule>
  </conditionalFormatting>
  <conditionalFormatting sqref="AM14:AM17">
    <cfRule type="cellIs" dxfId="4779" priority="2152" operator="notEqual">
      <formula>0</formula>
    </cfRule>
  </conditionalFormatting>
  <conditionalFormatting sqref="I16">
    <cfRule type="cellIs" dxfId="4778" priority="2151" operator="greaterThan">
      <formula>0</formula>
    </cfRule>
  </conditionalFormatting>
  <conditionalFormatting sqref="J16">
    <cfRule type="cellIs" dxfId="4777" priority="2150" operator="greaterThan">
      <formula>0</formula>
    </cfRule>
  </conditionalFormatting>
  <conditionalFormatting sqref="I48">
    <cfRule type="cellIs" dxfId="4776" priority="2147" operator="greaterThan">
      <formula>0</formula>
    </cfRule>
  </conditionalFormatting>
  <conditionalFormatting sqref="J48">
    <cfRule type="cellIs" dxfId="4775" priority="2146" operator="greaterThan">
      <formula>0</formula>
    </cfRule>
  </conditionalFormatting>
  <conditionalFormatting sqref="AM34:AM37">
    <cfRule type="cellIs" dxfId="4774" priority="2140" operator="notEqual">
      <formula>0</formula>
    </cfRule>
  </conditionalFormatting>
  <conditionalFormatting sqref="I36">
    <cfRule type="cellIs" dxfId="4773" priority="2139" operator="greaterThan">
      <formula>0</formula>
    </cfRule>
  </conditionalFormatting>
  <conditionalFormatting sqref="J36">
    <cfRule type="cellIs" dxfId="4772" priority="2138" operator="greaterThan">
      <formula>0</formula>
    </cfRule>
  </conditionalFormatting>
  <conditionalFormatting sqref="AM70:AM73">
    <cfRule type="cellIs" dxfId="4771" priority="2132" operator="notEqual">
      <formula>0</formula>
    </cfRule>
  </conditionalFormatting>
  <conditionalFormatting sqref="I72">
    <cfRule type="cellIs" dxfId="4770" priority="2131" operator="greaterThan">
      <formula>0</formula>
    </cfRule>
  </conditionalFormatting>
  <conditionalFormatting sqref="AM62:AM65">
    <cfRule type="cellIs" dxfId="4769" priority="2129" operator="notEqual">
      <formula>0</formula>
    </cfRule>
  </conditionalFormatting>
  <conditionalFormatting sqref="I64">
    <cfRule type="cellIs" dxfId="4768" priority="2128" operator="greaterThan">
      <formula>0</formula>
    </cfRule>
  </conditionalFormatting>
  <conditionalFormatting sqref="J64">
    <cfRule type="cellIs" dxfId="4767" priority="2127" operator="greaterThan">
      <formula>0</formula>
    </cfRule>
  </conditionalFormatting>
  <conditionalFormatting sqref="Y16 Y36 Y48 Y64 Y72">
    <cfRule type="cellIs" dxfId="4766" priority="2126" operator="lessThan">
      <formula>0</formula>
    </cfRule>
  </conditionalFormatting>
  <conditionalFormatting sqref="Y14:Y16 Y34:Y36 Y46:Y48 Y62:Y64 Y70:Y72">
    <cfRule type="cellIs" dxfId="4765" priority="2125" operator="lessThan">
      <formula>0</formula>
    </cfRule>
  </conditionalFormatting>
  <conditionalFormatting sqref="Y17 Y37 Y49 Y65 Y73">
    <cfRule type="cellIs" dxfId="4764" priority="2124" operator="lessThan">
      <formula>0</formula>
    </cfRule>
  </conditionalFormatting>
  <conditionalFormatting sqref="AM26:AM29">
    <cfRule type="cellIs" dxfId="4763" priority="2122" operator="notEqual">
      <formula>0</formula>
    </cfRule>
  </conditionalFormatting>
  <conditionalFormatting sqref="I28">
    <cfRule type="cellIs" dxfId="4762" priority="2121" operator="greaterThan">
      <formula>0</formula>
    </cfRule>
  </conditionalFormatting>
  <conditionalFormatting sqref="Y27">
    <cfRule type="iconSet" priority="2120">
      <iconSet>
        <cfvo type="percent" val="0"/>
        <cfvo type="percent" val="&quot;$I$6&quot;"/>
        <cfvo type="percent" val="#REF!"/>
      </iconSet>
    </cfRule>
  </conditionalFormatting>
  <conditionalFormatting sqref="Y28">
    <cfRule type="cellIs" dxfId="4761" priority="2119" operator="lessThan">
      <formula>0</formula>
    </cfRule>
  </conditionalFormatting>
  <conditionalFormatting sqref="Y26:Y28">
    <cfRule type="cellIs" dxfId="4760" priority="2118" operator="lessThan">
      <formula>0</formula>
    </cfRule>
  </conditionalFormatting>
  <conditionalFormatting sqref="Y29">
    <cfRule type="cellIs" dxfId="4759" priority="2117" operator="lessThan">
      <formula>0</formula>
    </cfRule>
  </conditionalFormatting>
  <conditionalFormatting sqref="AM30:AM33">
    <cfRule type="cellIs" dxfId="4758" priority="2115" operator="notEqual">
      <formula>0</formula>
    </cfRule>
  </conditionalFormatting>
  <conditionalFormatting sqref="I32">
    <cfRule type="cellIs" dxfId="4757" priority="2114" operator="greaterThan">
      <formula>0</formula>
    </cfRule>
  </conditionalFormatting>
  <conditionalFormatting sqref="Y31">
    <cfRule type="iconSet" priority="2113">
      <iconSet>
        <cfvo type="percent" val="0"/>
        <cfvo type="percent" val="&quot;$I$6&quot;"/>
        <cfvo type="percent" val="#REF!"/>
      </iconSet>
    </cfRule>
  </conditionalFormatting>
  <conditionalFormatting sqref="Y32">
    <cfRule type="cellIs" dxfId="4756" priority="2112" operator="lessThan">
      <formula>0</formula>
    </cfRule>
  </conditionalFormatting>
  <conditionalFormatting sqref="Y30:Y32">
    <cfRule type="cellIs" dxfId="4755" priority="2111" operator="lessThan">
      <formula>0</formula>
    </cfRule>
  </conditionalFormatting>
  <conditionalFormatting sqref="Y33">
    <cfRule type="cellIs" dxfId="4754" priority="2110" operator="lessThan">
      <formula>0</formula>
    </cfRule>
  </conditionalFormatting>
  <conditionalFormatting sqref="AM54:AM57">
    <cfRule type="cellIs" dxfId="4753" priority="2108" operator="notEqual">
      <formula>0</formula>
    </cfRule>
  </conditionalFormatting>
  <conditionalFormatting sqref="I56">
    <cfRule type="cellIs" dxfId="4752" priority="2107" operator="greaterThan">
      <formula>0</formula>
    </cfRule>
  </conditionalFormatting>
  <conditionalFormatting sqref="Y55">
    <cfRule type="iconSet" priority="2106">
      <iconSet>
        <cfvo type="percent" val="0"/>
        <cfvo type="percent" val="&quot;$I$6&quot;"/>
        <cfvo type="percent" val="#REF!"/>
      </iconSet>
    </cfRule>
  </conditionalFormatting>
  <conditionalFormatting sqref="Y56">
    <cfRule type="cellIs" dxfId="4751" priority="2105" operator="lessThan">
      <formula>0</formula>
    </cfRule>
  </conditionalFormatting>
  <conditionalFormatting sqref="Y54:Y56">
    <cfRule type="cellIs" dxfId="4750" priority="2104" operator="lessThan">
      <formula>0</formula>
    </cfRule>
  </conditionalFormatting>
  <conditionalFormatting sqref="Y57">
    <cfRule type="cellIs" dxfId="4749" priority="2103" operator="lessThan">
      <formula>0</formula>
    </cfRule>
  </conditionalFormatting>
  <conditionalFormatting sqref="AM10:AM13">
    <cfRule type="cellIs" dxfId="4748" priority="2101" operator="notEqual">
      <formula>0</formula>
    </cfRule>
  </conditionalFormatting>
  <conditionalFormatting sqref="Y11">
    <cfRule type="iconSet" priority="2100">
      <iconSet>
        <cfvo type="percent" val="0"/>
        <cfvo type="percent" val="&quot;$I$6&quot;"/>
        <cfvo type="percent" val="#REF!"/>
      </iconSet>
    </cfRule>
  </conditionalFormatting>
  <conditionalFormatting sqref="Y12">
    <cfRule type="cellIs" dxfId="4747" priority="2099" operator="lessThan">
      <formula>0</formula>
    </cfRule>
  </conditionalFormatting>
  <conditionalFormatting sqref="Y10:Y12">
    <cfRule type="cellIs" dxfId="4746" priority="2098" operator="lessThan">
      <formula>0</formula>
    </cfRule>
  </conditionalFormatting>
  <conditionalFormatting sqref="Y13">
    <cfRule type="cellIs" dxfId="4745" priority="2097" operator="lessThan">
      <formula>0</formula>
    </cfRule>
  </conditionalFormatting>
  <conditionalFormatting sqref="AM78:AM79">
    <cfRule type="cellIs" dxfId="4744" priority="2095" operator="notEqual">
      <formula>0</formula>
    </cfRule>
  </conditionalFormatting>
  <conditionalFormatting sqref="I80">
    <cfRule type="cellIs" dxfId="4743" priority="2094" operator="greaterThan">
      <formula>0</formula>
    </cfRule>
  </conditionalFormatting>
  <conditionalFormatting sqref="Y79">
    <cfRule type="iconSet" priority="2093">
      <iconSet>
        <cfvo type="percent" val="0"/>
        <cfvo type="percent" val="&quot;$I$6&quot;"/>
        <cfvo type="percent" val="#REF!"/>
      </iconSet>
    </cfRule>
  </conditionalFormatting>
  <conditionalFormatting sqref="Y80">
    <cfRule type="cellIs" dxfId="4742" priority="2092" operator="lessThan">
      <formula>0</formula>
    </cfRule>
  </conditionalFormatting>
  <conditionalFormatting sqref="Y78:Y80">
    <cfRule type="cellIs" dxfId="4741" priority="2091" operator="lessThan">
      <formula>0</formula>
    </cfRule>
  </conditionalFormatting>
  <conditionalFormatting sqref="Y81">
    <cfRule type="cellIs" dxfId="4740" priority="2090" operator="lessThan">
      <formula>0</formula>
    </cfRule>
  </conditionalFormatting>
  <conditionalFormatting sqref="AM42:AM45">
    <cfRule type="cellIs" dxfId="4739" priority="2088" operator="notEqual">
      <formula>0</formula>
    </cfRule>
  </conditionalFormatting>
  <conditionalFormatting sqref="I44">
    <cfRule type="cellIs" dxfId="4738" priority="2087" operator="greaterThan">
      <formula>0</formula>
    </cfRule>
  </conditionalFormatting>
  <conditionalFormatting sqref="Y43">
    <cfRule type="iconSet" priority="2086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4737" priority="2085" operator="lessThan">
      <formula>0</formula>
    </cfRule>
  </conditionalFormatting>
  <conditionalFormatting sqref="Y42:Y44">
    <cfRule type="cellIs" dxfId="4736" priority="2084" operator="lessThan">
      <formula>0</formula>
    </cfRule>
  </conditionalFormatting>
  <conditionalFormatting sqref="Y45">
    <cfRule type="cellIs" dxfId="4735" priority="2083" operator="lessThan">
      <formula>0</formula>
    </cfRule>
  </conditionalFormatting>
  <conditionalFormatting sqref="J28">
    <cfRule type="cellIs" dxfId="4734" priority="2082" operator="greaterThan">
      <formula>0</formula>
    </cfRule>
  </conditionalFormatting>
  <conditionalFormatting sqref="J32">
    <cfRule type="cellIs" dxfId="4733" priority="2081" operator="greaterThan">
      <formula>0</formula>
    </cfRule>
  </conditionalFormatting>
  <conditionalFormatting sqref="J72">
    <cfRule type="cellIs" dxfId="4732" priority="2080" operator="greaterThan">
      <formula>0</formula>
    </cfRule>
  </conditionalFormatting>
  <conditionalFormatting sqref="AM22:AM25">
    <cfRule type="cellIs" dxfId="4731" priority="2071" operator="notEqual">
      <formula>0</formula>
    </cfRule>
  </conditionalFormatting>
  <conditionalFormatting sqref="I24">
    <cfRule type="cellIs" dxfId="4730" priority="2070" operator="greaterThan">
      <formula>0</formula>
    </cfRule>
  </conditionalFormatting>
  <conditionalFormatting sqref="Y23">
    <cfRule type="iconSet" priority="2069">
      <iconSet>
        <cfvo type="percent" val="0"/>
        <cfvo type="percent" val="&quot;$I$6&quot;"/>
        <cfvo type="percent" val="#REF!"/>
      </iconSet>
    </cfRule>
  </conditionalFormatting>
  <conditionalFormatting sqref="Y24">
    <cfRule type="cellIs" dxfId="4729" priority="2068" operator="lessThan">
      <formula>0</formula>
    </cfRule>
  </conditionalFormatting>
  <conditionalFormatting sqref="Y22:Y24">
    <cfRule type="cellIs" dxfId="4728" priority="2067" operator="lessThan">
      <formula>0</formula>
    </cfRule>
  </conditionalFormatting>
  <conditionalFormatting sqref="Y25">
    <cfRule type="cellIs" dxfId="4727" priority="2066" operator="lessThan">
      <formula>0</formula>
    </cfRule>
  </conditionalFormatting>
  <conditionalFormatting sqref="J44">
    <cfRule type="cellIs" dxfId="4726" priority="2065" operator="greaterThan">
      <formula>0</formula>
    </cfRule>
  </conditionalFormatting>
  <conditionalFormatting sqref="Y71 Y15 Y35 Y47 Y63">
    <cfRule type="iconSet" priority="2158">
      <iconSet>
        <cfvo type="percent" val="0"/>
        <cfvo type="percent" val="&quot;$I$6&quot;"/>
        <cfvo type="percent" val="#REF!"/>
      </iconSet>
    </cfRule>
  </conditionalFormatting>
  <conditionalFormatting sqref="AM58:AM61">
    <cfRule type="cellIs" dxfId="4725" priority="2060" operator="notEqual">
      <formula>0</formula>
    </cfRule>
  </conditionalFormatting>
  <conditionalFormatting sqref="I60">
    <cfRule type="cellIs" dxfId="4724" priority="2059" operator="greaterThan">
      <formula>0</formula>
    </cfRule>
  </conditionalFormatting>
  <conditionalFormatting sqref="J60">
    <cfRule type="cellIs" dxfId="4723" priority="2058" operator="greaterThan">
      <formula>0</formula>
    </cfRule>
  </conditionalFormatting>
  <conditionalFormatting sqref="Y60">
    <cfRule type="cellIs" dxfId="4722" priority="2057" operator="lessThan">
      <formula>0</formula>
    </cfRule>
  </conditionalFormatting>
  <conditionalFormatting sqref="Y58:Y60">
    <cfRule type="cellIs" dxfId="4721" priority="2056" operator="lessThan">
      <formula>0</formula>
    </cfRule>
  </conditionalFormatting>
  <conditionalFormatting sqref="Y61">
    <cfRule type="cellIs" dxfId="4720" priority="2055" operator="lessThan">
      <formula>0</formula>
    </cfRule>
  </conditionalFormatting>
  <conditionalFormatting sqref="Y59">
    <cfRule type="iconSet" priority="2062">
      <iconSet>
        <cfvo type="percent" val="0"/>
        <cfvo type="percent" val="&quot;$I$6&quot;"/>
        <cfvo type="percent" val="#REF!"/>
      </iconSet>
    </cfRule>
  </conditionalFormatting>
  <conditionalFormatting sqref="AQ6 AQ10 AQ14 AQ18 AQ22 AQ26 AQ30 AQ34 AQ42 AQ46 AQ54 AQ58 AQ62 AQ70 AQ78">
    <cfRule type="cellIs" dxfId="4719" priority="2054" operator="lessThan">
      <formula>0</formula>
    </cfRule>
  </conditionalFormatting>
  <conditionalFormatting sqref="AQ6 AQ10 AQ14 AQ18 AQ22 AQ26 AQ30 AQ34 AQ42 AQ46 AQ54 AQ58 AQ62 AQ70 AQ78">
    <cfRule type="cellIs" dxfId="4718" priority="2053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17" priority="2052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16" priority="2051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15" priority="2050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14" priority="2049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13" priority="2048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12" priority="2047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11" priority="2046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10" priority="2045" operator="lessThan">
      <formula>0</formula>
    </cfRule>
  </conditionalFormatting>
  <conditionalFormatting sqref="AQ6 AQ10 AQ14 AQ18 AQ22 AQ26 AQ30 AQ34 AQ42 AQ46 AQ54 AQ58 AQ62 AQ70 AQ78">
    <cfRule type="cellIs" dxfId="4709" priority="2044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08" priority="2043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07" priority="2042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06" priority="2041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05" priority="2040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04" priority="2039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03" priority="2038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02" priority="2037" operator="lessThan">
      <formula>0</formula>
    </cfRule>
  </conditionalFormatting>
  <conditionalFormatting sqref="AQ8:AQ9 AQ12:AQ13 AQ16:AQ17 AQ20:AQ21 AQ24:AQ25 AQ28:AQ29 AQ32:AQ33 AQ36:AQ37 AQ44:AQ45 AQ48:AQ49 AQ56:AQ57 AQ60:AQ61 AQ64:AQ65 AQ72:AQ73 AQ80:AQ81">
    <cfRule type="cellIs" dxfId="4701" priority="2036" operator="lessThan">
      <formula>0</formula>
    </cfRule>
  </conditionalFormatting>
  <conditionalFormatting sqref="AQ35 AQ43 AQ59 AQ63 AQ71 AQ7 AQ15 AQ19 AQ11 AQ23 AQ27 AQ31 AQ55 AQ79 AQ47">
    <cfRule type="cellIs" dxfId="4700" priority="2035" operator="lessThan">
      <formula>0</formula>
    </cfRule>
  </conditionalFormatting>
  <conditionalFormatting sqref="AQ35 AQ43 AQ59 AQ63 AQ71 AQ7 AQ15 AQ19 AQ11 AQ23 AQ27 AQ31 AQ55 AQ79 AQ47">
    <cfRule type="cellIs" dxfId="4699" priority="2034" operator="lessThan">
      <formula>0</formula>
    </cfRule>
  </conditionalFormatting>
  <conditionalFormatting sqref="AQ35 AQ43 AQ59 AQ63 AQ71 AQ7 AQ15 AQ19 AQ11 AQ23 AQ27 AQ31 AQ55 AQ79 AQ47">
    <cfRule type="cellIs" dxfId="4698" priority="2033" operator="lessThan">
      <formula>0</formula>
    </cfRule>
  </conditionalFormatting>
  <conditionalFormatting sqref="AQ35 AQ43 AQ59 AQ63 AQ71 AQ7 AQ15 AQ19 AQ11 AQ23 AQ27 AQ31 AQ55 AQ79 AQ47">
    <cfRule type="cellIs" dxfId="4697" priority="2032" operator="lessThan">
      <formula>0</formula>
    </cfRule>
  </conditionalFormatting>
  <conditionalFormatting sqref="AQ35 AQ43 AQ59 AQ63 AQ71 AQ7 AQ15 AQ19 AQ11 AQ23 AQ27 AQ31 AQ55 AQ79 AQ47">
    <cfRule type="cellIs" dxfId="4696" priority="2031" operator="lessThan">
      <formula>0</formula>
    </cfRule>
  </conditionalFormatting>
  <conditionalFormatting sqref="AQ35 AQ43 AQ59 AQ63 AQ71 AQ7 AQ15 AQ19 AQ11 AQ23 AQ27 AQ31 AQ55 AQ79 AQ47">
    <cfRule type="cellIs" dxfId="4695" priority="2030" operator="lessThan">
      <formula>0</formula>
    </cfRule>
  </conditionalFormatting>
  <conditionalFormatting sqref="AQ35 AQ43 AQ59 AQ63 AQ71 AQ7 AQ15 AQ19 AQ11 AQ23 AQ27 AQ31 AQ55 AQ79 AQ47">
    <cfRule type="cellIs" dxfId="4694" priority="2029" operator="lessThan">
      <formula>0</formula>
    </cfRule>
  </conditionalFormatting>
  <conditionalFormatting sqref="AQ35 AQ43 AQ59 AQ63 AQ71 AQ7 AQ15 AQ19 AQ11 AQ23 AQ27 AQ31 AQ55 AQ79 AQ47">
    <cfRule type="cellIs" dxfId="4693" priority="2028" operator="lessThan">
      <formula>0</formula>
    </cfRule>
  </conditionalFormatting>
  <conditionalFormatting sqref="AQ35 AQ43 AQ59 AQ63 AQ71 AQ7 AQ15 AQ19 AQ11 AQ23 AQ27 AQ31 AQ55 AQ79 AQ47">
    <cfRule type="cellIs" dxfId="4692" priority="2027" operator="lessThan">
      <formula>0</formula>
    </cfRule>
  </conditionalFormatting>
  <conditionalFormatting sqref="AQ35 AQ43 AQ59 AQ63 AQ71 AQ7 AQ15 AQ19 AQ11 AQ23 AQ27 AQ31 AQ55 AQ79 AQ47">
    <cfRule type="cellIs" dxfId="4691" priority="2026" operator="lessThan">
      <formula>0</formula>
    </cfRule>
  </conditionalFormatting>
  <conditionalFormatting sqref="AQ35 AQ43 AQ59 AQ63 AQ71 AQ7 AQ15 AQ19 AQ11 AQ23 AQ27 AQ31 AQ55 AQ79 AQ47">
    <cfRule type="cellIs" dxfId="4690" priority="2025" operator="lessThan">
      <formula>0</formula>
    </cfRule>
  </conditionalFormatting>
  <conditionalFormatting sqref="AQ35 AQ43 AQ59 AQ63 AQ71 AQ7 AQ15 AQ19 AQ11 AQ23 AQ27 AQ31 AQ55 AQ79 AQ47">
    <cfRule type="cellIs" dxfId="4689" priority="2024" operator="lessThan">
      <formula>0</formula>
    </cfRule>
  </conditionalFormatting>
  <conditionalFormatting sqref="AQ35 AQ43 AQ59 AQ63 AQ71 AQ7 AQ15 AQ19 AQ11 AQ23 AQ27 AQ31 AQ55 AQ79 AQ47">
    <cfRule type="cellIs" dxfId="4688" priority="2023" operator="lessThan">
      <formula>0</formula>
    </cfRule>
  </conditionalFormatting>
  <conditionalFormatting sqref="AQ35 AQ43 AQ59 AQ63 AQ71 AQ7 AQ15 AQ19 AQ11 AQ23 AQ27 AQ31 AQ55 AQ79 AQ47">
    <cfRule type="cellIs" dxfId="4687" priority="2022" operator="lessThan">
      <formula>0</formula>
    </cfRule>
  </conditionalFormatting>
  <conditionalFormatting sqref="AQ35 AQ43 AQ59 AQ63 AQ71 AQ7 AQ15 AQ19 AQ11 AQ23 AQ27 AQ31 AQ55 AQ79 AQ47">
    <cfRule type="cellIs" dxfId="4686" priority="2021" operator="lessThan">
      <formula>0</formula>
    </cfRule>
  </conditionalFormatting>
  <conditionalFormatting sqref="AQ35 AQ43 AQ59 AQ63 AQ71 AQ7 AQ15 AQ19 AQ11 AQ23 AQ27 AQ31 AQ55 AQ79 AQ47">
    <cfRule type="cellIs" dxfId="4685" priority="2020" operator="lessThan">
      <formula>0</formula>
    </cfRule>
  </conditionalFormatting>
  <conditionalFormatting sqref="AQ35 AQ43 AQ59 AQ63 AQ71 AQ7 AQ15 AQ19 AQ11 AQ23 AQ27 AQ31 AQ55 AQ79 AQ47">
    <cfRule type="cellIs" dxfId="4684" priority="2019" operator="lessThan">
      <formula>0</formula>
    </cfRule>
  </conditionalFormatting>
  <conditionalFormatting sqref="AQ35 AQ43 AQ59 AQ63 AQ71 AQ7 AQ15 AQ19 AQ11 AQ23 AQ27 AQ31 AQ55 AQ79 AQ47">
    <cfRule type="cellIs" dxfId="4683" priority="2018" operator="lessThan">
      <formula>0</formula>
    </cfRule>
  </conditionalFormatting>
  <conditionalFormatting sqref="AQ35 AQ43 AQ59 AQ63 AQ71 AQ7 AQ15 AQ19 AQ11 AQ23 AQ27 AQ31 AQ55 AQ79 AQ47">
    <cfRule type="cellIs" dxfId="4682" priority="2017" operator="lessThan">
      <formula>0</formula>
    </cfRule>
  </conditionalFormatting>
  <conditionalFormatting sqref="AQ35 AQ43 AQ59 AQ63 AQ71 AQ7 AQ15 AQ19 AQ11 AQ23 AQ27 AQ31 AQ55 AQ79 AQ47">
    <cfRule type="cellIs" dxfId="4681" priority="2016" operator="lessThan">
      <formula>0</formula>
    </cfRule>
  </conditionalFormatting>
  <conditionalFormatting sqref="AQ35 AQ43 AQ59 AQ63 AQ71 AQ7 AQ15 AQ19 AQ11 AQ23 AQ27 AQ31 AQ55 AQ79 AQ47">
    <cfRule type="cellIs" dxfId="4680" priority="2015" operator="lessThan">
      <formula>0</formula>
    </cfRule>
  </conditionalFormatting>
  <conditionalFormatting sqref="AQ35 AQ43 AQ59 AQ63 AQ71 AQ7 AQ15 AQ19 AQ11 AQ23 AQ27 AQ31 AQ55 AQ79 AQ47">
    <cfRule type="cellIs" dxfId="4679" priority="2014" operator="lessThan">
      <formula>0</formula>
    </cfRule>
  </conditionalFormatting>
  <conditionalFormatting sqref="AQ35 AQ43 AQ59 AQ63 AQ71 AQ7 AQ15 AQ19 AQ11 AQ23 AQ27 AQ31 AQ55 AQ79 AQ47">
    <cfRule type="cellIs" dxfId="4678" priority="2013" operator="lessThan">
      <formula>0</formula>
    </cfRule>
  </conditionalFormatting>
  <conditionalFormatting sqref="AQ35 AQ43 AQ59 AQ63 AQ71 AQ7 AQ15 AQ19 AQ11 AQ23 AQ27 AQ31 AQ55 AQ79 AQ47">
    <cfRule type="cellIs" dxfId="4677" priority="2012" operator="lessThan">
      <formula>0</formula>
    </cfRule>
  </conditionalFormatting>
  <conditionalFormatting sqref="AQ35 AQ43 AQ59 AQ63 AQ71 AQ7 AQ15 AQ19 AQ11 AQ23 AQ27 AQ31 AQ55 AQ79 AQ47">
    <cfRule type="cellIs" dxfId="4676" priority="2011" operator="lessThan">
      <formula>0</formula>
    </cfRule>
  </conditionalFormatting>
  <conditionalFormatting sqref="AQ35 AQ43 AQ59 AQ63 AQ71 AQ7 AQ15 AQ19 AQ11 AQ23 AQ27 AQ31 AQ55 AQ79 AQ47">
    <cfRule type="cellIs" dxfId="4675" priority="2010" operator="lessThan">
      <formula>0</formula>
    </cfRule>
  </conditionalFormatting>
  <conditionalFormatting sqref="AQ35 AQ43 AQ59 AQ63 AQ71 AQ7 AQ15 AQ19 AQ11 AQ23 AQ27 AQ31 AQ55 AQ79 AQ47">
    <cfRule type="cellIs" dxfId="4674" priority="2009" operator="lessThan">
      <formula>0</formula>
    </cfRule>
  </conditionalFormatting>
  <conditionalFormatting sqref="AQ35 AQ43 AQ59 AQ63 AQ71 AQ7 AQ15 AQ19 AQ11 AQ23 AQ27 AQ31 AQ55 AQ79 AQ47">
    <cfRule type="cellIs" dxfId="4673" priority="2008" operator="lessThan">
      <formula>0</formula>
    </cfRule>
  </conditionalFormatting>
  <conditionalFormatting sqref="AQ35 AQ43 AQ59 AQ63 AQ71 AQ7 AQ15 AQ19 AQ11 AQ23 AQ27 AQ31 AQ55 AQ79 AQ47">
    <cfRule type="cellIs" dxfId="4672" priority="2007" operator="lessThan">
      <formula>0</formula>
    </cfRule>
  </conditionalFormatting>
  <conditionalFormatting sqref="AQ35 AQ43 AQ59 AQ63 AQ71 AQ7 AQ15 AQ19 AQ11 AQ23 AQ27 AQ31 AQ55 AQ79 AQ47">
    <cfRule type="cellIs" dxfId="4671" priority="2006" operator="lessThan">
      <formula>0</formula>
    </cfRule>
  </conditionalFormatting>
  <conditionalFormatting sqref="AQ35 AQ43 AQ59 AQ63 AQ71 AQ7 AQ15 AQ19 AQ11 AQ23 AQ27 AQ31 AQ55 AQ79 AQ47">
    <cfRule type="cellIs" dxfId="4670" priority="2005" operator="lessThan">
      <formula>0</formula>
    </cfRule>
  </conditionalFormatting>
  <conditionalFormatting sqref="AQ35 AQ43 AQ59 AQ63 AQ71 AQ7 AQ15 AQ19 AQ11 AQ23 AQ27 AQ31 AQ55 AQ79 AQ47">
    <cfRule type="cellIs" dxfId="4669" priority="2004" operator="lessThan">
      <formula>0</formula>
    </cfRule>
  </conditionalFormatting>
  <conditionalFormatting sqref="AQ35 AQ43 AQ59 AQ63 AQ71 AQ7 AQ15 AQ19 AQ11 AQ23 AQ27 AQ31 AQ55 AQ79 AQ47">
    <cfRule type="cellIs" dxfId="4668" priority="2003" operator="lessThan">
      <formula>0</formula>
    </cfRule>
  </conditionalFormatting>
  <conditionalFormatting sqref="AQ35 AQ43 AQ59 AQ63 AQ71 AQ7 AQ15 AQ19 AQ11 AQ23 AQ27 AQ31 AQ55 AQ79 AQ47">
    <cfRule type="cellIs" dxfId="4667" priority="2002" operator="lessThan">
      <formula>0</formula>
    </cfRule>
  </conditionalFormatting>
  <conditionalFormatting sqref="AQ35 AQ43 AQ59 AQ63 AQ71 AQ7 AQ15 AQ19 AQ11 AQ23 AQ27 AQ31 AQ55 AQ79 AQ47">
    <cfRule type="cellIs" dxfId="4666" priority="2001" operator="lessThan">
      <formula>0</formula>
    </cfRule>
  </conditionalFormatting>
  <conditionalFormatting sqref="AQ35 AQ43 AQ59 AQ63 AQ71 AQ7 AQ15 AQ19 AQ11 AQ23 AQ27 AQ31 AQ55 AQ79 AQ47">
    <cfRule type="cellIs" dxfId="4665" priority="2000" operator="lessThan">
      <formula>0</formula>
    </cfRule>
  </conditionalFormatting>
  <conditionalFormatting sqref="AQ35 AQ43 AQ59 AQ63 AQ71 AQ7 AQ15 AQ19 AQ11 AQ23 AQ27 AQ31 AQ55 AQ79 AQ47">
    <cfRule type="cellIs" dxfId="4664" priority="1999" operator="lessThan">
      <formula>0</formula>
    </cfRule>
  </conditionalFormatting>
  <conditionalFormatting sqref="AQ35 AQ43 AQ59 AQ63 AQ71 AQ7 AQ15 AQ19 AQ11 AQ23 AQ27 AQ31 AQ55 AQ79 AQ47">
    <cfRule type="cellIs" dxfId="4663" priority="1998" operator="lessThan">
      <formula>0</formula>
    </cfRule>
  </conditionalFormatting>
  <conditionalFormatting sqref="AQ35 AQ43 AQ59 AQ63 AQ71 AQ7 AQ15 AQ19 AQ11 AQ23 AQ27 AQ31 AQ55 AQ79 AQ47">
    <cfRule type="cellIs" dxfId="4662" priority="1997" operator="lessThan">
      <formula>0</formula>
    </cfRule>
  </conditionalFormatting>
  <conditionalFormatting sqref="AQ35 AQ43 AQ59 AQ63 AQ71 AQ7 AQ15 AQ19 AQ11 AQ23 AQ27 AQ31 AQ55 AQ79 AQ47">
    <cfRule type="cellIs" dxfId="4661" priority="1996" operator="lessThan">
      <formula>0</formula>
    </cfRule>
  </conditionalFormatting>
  <conditionalFormatting sqref="AQ35 AQ43 AQ59 AQ63 AQ71 AQ7 AQ15 AQ19 AQ11 AQ23 AQ27 AQ31 AQ55 AQ79 AQ47">
    <cfRule type="cellIs" dxfId="4660" priority="1995" operator="lessThan">
      <formula>0</formula>
    </cfRule>
  </conditionalFormatting>
  <conditionalFormatting sqref="AQ35 AQ43 AQ59 AQ63 AQ71 AQ7 AQ15 AQ19 AQ11 AQ23 AQ27 AQ31 AQ55 AQ79 AQ47">
    <cfRule type="cellIs" dxfId="4659" priority="1994" operator="lessThan">
      <formula>0</formula>
    </cfRule>
  </conditionalFormatting>
  <conditionalFormatting sqref="AQ35 AQ43 AQ59 AQ63 AQ71 AQ7 AQ15 AQ19 AQ11 AQ23 AQ27 AQ31 AQ55 AQ79 AQ47">
    <cfRule type="cellIs" dxfId="4658" priority="1993" operator="lessThan">
      <formula>0</formula>
    </cfRule>
  </conditionalFormatting>
  <conditionalFormatting sqref="AQ35 AQ43 AQ59 AQ63 AQ71 AQ7 AQ15 AQ19 AQ11 AQ23 AQ27 AQ31 AQ55 AQ79 AQ47">
    <cfRule type="cellIs" dxfId="4657" priority="1992" operator="lessThan">
      <formula>0</formula>
    </cfRule>
  </conditionalFormatting>
  <conditionalFormatting sqref="AQ35 AQ43 AQ59 AQ63 AQ71 AQ7 AQ15 AQ19 AQ11 AQ23 AQ27 AQ31 AQ55 AQ79 AQ47">
    <cfRule type="cellIs" dxfId="4656" priority="1991" operator="lessThan">
      <formula>0</formula>
    </cfRule>
  </conditionalFormatting>
  <conditionalFormatting sqref="AQ35 AQ43 AQ59 AQ63 AQ71 AQ7 AQ15 AQ19 AQ11 AQ23 AQ27 AQ31 AQ55 AQ79 AQ47">
    <cfRule type="cellIs" dxfId="4655" priority="1990" operator="lessThan">
      <formula>0</formula>
    </cfRule>
  </conditionalFormatting>
  <conditionalFormatting sqref="AQ35 AQ43 AQ59 AQ63 AQ71 AQ7 AQ15 AQ19 AQ11 AQ23 AQ27 AQ31 AQ55 AQ79 AQ47">
    <cfRule type="cellIs" dxfId="4654" priority="1989" operator="lessThan">
      <formula>0</formula>
    </cfRule>
  </conditionalFormatting>
  <conditionalFormatting sqref="AQ35 AQ43 AQ59 AQ63 AQ71 AQ7 AQ15 AQ19 AQ11 AQ23 AQ27 AQ31 AQ55 AQ79 AQ47">
    <cfRule type="cellIs" dxfId="4653" priority="1988" operator="lessThan">
      <formula>0</formula>
    </cfRule>
  </conditionalFormatting>
  <conditionalFormatting sqref="AQ35 AQ43 AQ59 AQ63 AQ71 AQ7 AQ15 AQ19 AQ11 AQ23 AQ27 AQ31 AQ55 AQ79 AQ47">
    <cfRule type="cellIs" dxfId="4652" priority="1987" operator="lessThan">
      <formula>0</formula>
    </cfRule>
  </conditionalFormatting>
  <conditionalFormatting sqref="AQ35 AQ43 AQ59 AQ63 AQ71 AQ7 AQ15 AQ19 AQ11 AQ23 AQ27 AQ31 AQ55 AQ79 AQ47">
    <cfRule type="cellIs" dxfId="4651" priority="1986" operator="lessThan">
      <formula>0</formula>
    </cfRule>
  </conditionalFormatting>
  <conditionalFormatting sqref="AQ35 AQ43 AQ59 AQ63 AQ71 AQ7 AQ15 AQ19 AQ11 AQ23 AQ27 AQ31 AQ55 AQ79 AQ47">
    <cfRule type="cellIs" dxfId="4650" priority="1985" operator="lessThan">
      <formula>0</formula>
    </cfRule>
  </conditionalFormatting>
  <conditionalFormatting sqref="AQ35 AQ43 AQ59 AQ63 AQ71 AQ7 AQ15 AQ19 AQ11 AQ23 AQ27 AQ31 AQ55 AQ79 AQ47">
    <cfRule type="cellIs" dxfId="4649" priority="1984" operator="lessThan">
      <formula>0</formula>
    </cfRule>
  </conditionalFormatting>
  <conditionalFormatting sqref="AQ35 AQ43 AQ59 AQ63 AQ71 AQ7 AQ15 AQ19 AQ11 AQ23 AQ27 AQ31 AQ55 AQ79 AQ47">
    <cfRule type="cellIs" dxfId="4648" priority="1983" operator="lessThan">
      <formula>0</formula>
    </cfRule>
  </conditionalFormatting>
  <conditionalFormatting sqref="AQ35 AQ43 AQ59 AQ63 AQ71 AQ7 AQ15 AQ19 AQ11 AQ23 AQ27 AQ31 AQ55 AQ79 AQ47">
    <cfRule type="cellIs" dxfId="4647" priority="1982" operator="lessThan">
      <formula>0</formula>
    </cfRule>
  </conditionalFormatting>
  <conditionalFormatting sqref="AQ35 AQ43 AQ59 AQ63 AQ71 AQ7 AQ15 AQ19 AQ11 AQ23 AQ27 AQ31 AQ55 AQ79 AQ47">
    <cfRule type="cellIs" dxfId="4646" priority="1981" operator="lessThan">
      <formula>0</formula>
    </cfRule>
  </conditionalFormatting>
  <conditionalFormatting sqref="AQ35 AQ43 AQ59 AQ63 AQ71 AQ7 AQ15 AQ19 AQ11 AQ23 AQ27 AQ31 AQ55 AQ79 AQ47">
    <cfRule type="cellIs" dxfId="4645" priority="1980" operator="lessThan">
      <formula>0</formula>
    </cfRule>
  </conditionalFormatting>
  <conditionalFormatting sqref="AQ35 AQ43 AQ59 AQ63 AQ71 AQ7 AQ15 AQ19 AQ11 AQ23 AQ27 AQ31 AQ55 AQ79 AQ47">
    <cfRule type="cellIs" dxfId="4644" priority="1979" operator="lessThan">
      <formula>0</formula>
    </cfRule>
  </conditionalFormatting>
  <conditionalFormatting sqref="AQ35 AQ43 AQ59 AQ63 AQ71 AQ7 AQ15 AQ19 AQ11 AQ23 AQ27 AQ31 AQ55 AQ79 AQ47">
    <cfRule type="cellIs" dxfId="4643" priority="1978" operator="lessThan">
      <formula>0</formula>
    </cfRule>
  </conditionalFormatting>
  <conditionalFormatting sqref="AQ35 AQ43 AQ59 AQ63 AQ71 AQ7 AQ15 AQ19 AQ11 AQ23 AQ27 AQ31 AQ55 AQ79 AQ47">
    <cfRule type="cellIs" dxfId="4642" priority="1977" operator="lessThan">
      <formula>0</formula>
    </cfRule>
  </conditionalFormatting>
  <conditionalFormatting sqref="AQ35 AQ43 AQ59 AQ63 AQ71 AQ7 AQ15 AQ19 AQ11 AQ23 AQ27 AQ31 AQ55 AQ79 AQ47">
    <cfRule type="cellIs" dxfId="4641" priority="1976" operator="lessThan">
      <formula>0</formula>
    </cfRule>
  </conditionalFormatting>
  <conditionalFormatting sqref="AQ35 AQ43 AQ59 AQ63 AQ71 AQ7 AQ15 AQ19 AQ11 AQ23 AQ27 AQ31 AQ55 AQ79 AQ47">
    <cfRule type="cellIs" dxfId="4640" priority="1975" operator="lessThan">
      <formula>0</formula>
    </cfRule>
  </conditionalFormatting>
  <conditionalFormatting sqref="AQ35 AQ43 AQ59 AQ63 AQ71 AQ7 AQ15 AQ19 AQ11 AQ23 AQ27 AQ31 AQ55 AQ79 AQ47">
    <cfRule type="cellIs" dxfId="4639" priority="1974" operator="lessThan">
      <formula>0</formula>
    </cfRule>
  </conditionalFormatting>
  <conditionalFormatting sqref="AQ35 AQ43 AQ59 AQ63 AQ71 AQ7 AQ15 AQ19 AQ11 AQ23 AQ27 AQ31 AQ55 AQ79 AQ47">
    <cfRule type="cellIs" dxfId="4638" priority="1973" operator="lessThan">
      <formula>0</formula>
    </cfRule>
  </conditionalFormatting>
  <conditionalFormatting sqref="AQ35 AQ43 AQ59 AQ63 AQ71 AQ7 AQ15 AQ19 AQ11 AQ23 AQ27 AQ31 AQ55 AQ79 AQ47">
    <cfRule type="cellIs" dxfId="4637" priority="1972" operator="lessThan">
      <formula>0</formula>
    </cfRule>
  </conditionalFormatting>
  <conditionalFormatting sqref="AQ35 AQ43 AQ59 AQ63 AQ71 AQ7 AQ15 AQ19 AQ11 AQ23 AQ27 AQ31 AQ55 AQ79 AQ47">
    <cfRule type="cellIs" dxfId="4636" priority="1971" operator="lessThan">
      <formula>0</formula>
    </cfRule>
  </conditionalFormatting>
  <conditionalFormatting sqref="AQ35 AQ43 AQ59 AQ63 AQ71 AQ7 AQ15 AQ19 AQ11 AQ23 AQ27 AQ31 AQ55 AQ79 AQ47">
    <cfRule type="cellIs" dxfId="4635" priority="1970" operator="lessThan">
      <formula>0</formula>
    </cfRule>
  </conditionalFormatting>
  <conditionalFormatting sqref="AQ35 AQ43 AQ59 AQ63 AQ71 AQ7 AQ15 AQ19 AQ11 AQ23 AQ27 AQ31 AQ55 AQ79 AQ47">
    <cfRule type="cellIs" dxfId="4634" priority="1969" operator="lessThan">
      <formula>0</formula>
    </cfRule>
  </conditionalFormatting>
  <conditionalFormatting sqref="AQ35 AQ43 AQ59 AQ63 AQ71 AQ7 AQ15 AQ19 AQ11 AQ23 AQ27 AQ31 AQ55 AQ79 AQ47">
    <cfRule type="cellIs" dxfId="4633" priority="1968" operator="lessThan">
      <formula>0</formula>
    </cfRule>
  </conditionalFormatting>
  <conditionalFormatting sqref="AQ35 AQ43 AQ59 AQ63 AQ71 AQ7 AQ15 AQ19 AQ11 AQ23 AQ27 AQ31 AQ55 AQ79 AQ47">
    <cfRule type="cellIs" dxfId="4632" priority="1967" operator="lessThan">
      <formula>0</formula>
    </cfRule>
  </conditionalFormatting>
  <conditionalFormatting sqref="AQ35 AQ43 AQ59 AQ63 AQ71 AQ7 AQ15 AQ19 AQ11 AQ23 AQ27 AQ31 AQ55 AQ79 AQ47">
    <cfRule type="cellIs" dxfId="4631" priority="1966" operator="lessThan">
      <formula>0</formula>
    </cfRule>
  </conditionalFormatting>
  <conditionalFormatting sqref="AQ35 AQ43 AQ59 AQ63 AQ71 AQ7 AQ15 AQ19 AQ11 AQ23 AQ27 AQ31 AQ55 AQ79 AQ47">
    <cfRule type="cellIs" dxfId="4630" priority="1965" operator="lessThan">
      <formula>0</formula>
    </cfRule>
  </conditionalFormatting>
  <conditionalFormatting sqref="AQ35 AQ43 AQ59 AQ63 AQ71 AQ7 AQ15 AQ19 AQ11 AQ23 AQ27 AQ31 AQ55 AQ79 AQ47">
    <cfRule type="cellIs" dxfId="4629" priority="1964" operator="lessThan">
      <formula>0</formula>
    </cfRule>
  </conditionalFormatting>
  <conditionalFormatting sqref="AQ35 AQ43 AQ59 AQ63 AQ71 AQ7 AQ15 AQ19 AQ11 AQ23 AQ27 AQ31 AQ55 AQ79 AQ47">
    <cfRule type="cellIs" dxfId="4628" priority="1963" operator="lessThan">
      <formula>0</formula>
    </cfRule>
  </conditionalFormatting>
  <conditionalFormatting sqref="AQ35 AQ43 AQ59 AQ63 AQ71 AQ7 AQ15 AQ19 AQ11 AQ23 AQ27 AQ31 AQ55 AQ79 AQ47">
    <cfRule type="cellIs" dxfId="4627" priority="1962" operator="lessThan">
      <formula>0</formula>
    </cfRule>
  </conditionalFormatting>
  <conditionalFormatting sqref="AQ35 AQ43 AQ59 AQ63 AQ71 AQ7 AQ15 AQ19 AQ11 AQ23 AQ27 AQ31 AQ55 AQ79 AQ47">
    <cfRule type="cellIs" dxfId="4626" priority="1961" operator="lessThan">
      <formula>0</formula>
    </cfRule>
  </conditionalFormatting>
  <conditionalFormatting sqref="AQ35 AQ43 AQ59 AQ63 AQ71 AQ7 AQ15 AQ19 AQ11 AQ23 AQ27 AQ31 AQ55 AQ79 AQ47">
    <cfRule type="cellIs" dxfId="4625" priority="1960" operator="lessThan">
      <formula>0</formula>
    </cfRule>
  </conditionalFormatting>
  <conditionalFormatting sqref="AQ35 AQ43 AQ59 AQ63 AQ71 AQ7 AQ15 AQ19 AQ11 AQ23 AQ27 AQ31 AQ55 AQ79 AQ47">
    <cfRule type="cellIs" dxfId="4624" priority="1959" operator="lessThan">
      <formula>0</formula>
    </cfRule>
  </conditionalFormatting>
  <conditionalFormatting sqref="AQ35 AQ43 AQ59 AQ63 AQ71 AQ7 AQ15 AQ19 AQ11 AQ23 AQ27 AQ31 AQ55 AQ79 AQ47">
    <cfRule type="cellIs" dxfId="4623" priority="1958" operator="lessThan">
      <formula>0</formula>
    </cfRule>
  </conditionalFormatting>
  <conditionalFormatting sqref="AQ35 AQ43 AQ59 AQ63 AQ71 AQ7 AQ15 AQ19 AQ11 AQ23 AQ27 AQ31 AQ55 AQ79 AQ47">
    <cfRule type="cellIs" dxfId="4622" priority="1957" operator="lessThan">
      <formula>0</formula>
    </cfRule>
  </conditionalFormatting>
  <conditionalFormatting sqref="AQ35 AQ43 AQ59 AQ63 AQ71 AQ7 AQ15 AQ19 AQ11 AQ23 AQ27 AQ31 AQ55 AQ79 AQ47">
    <cfRule type="cellIs" dxfId="4621" priority="1956" operator="lessThan">
      <formula>0</formula>
    </cfRule>
  </conditionalFormatting>
  <conditionalFormatting sqref="AQ35 AQ43 AQ59 AQ63 AQ71 AQ7 AQ15 AQ19 AQ11 AQ23 AQ27 AQ31 AQ55 AQ79 AQ47">
    <cfRule type="cellIs" dxfId="4620" priority="1940" operator="lessThan">
      <formula>0</formula>
    </cfRule>
  </conditionalFormatting>
  <conditionalFormatting sqref="AQ35 AQ43 AQ59 AQ63 AQ71 AQ7 AQ15 AQ19 AQ11 AQ23 AQ27 AQ31 AQ55 AQ79 AQ47">
    <cfRule type="cellIs" dxfId="4619" priority="1955" operator="lessThan">
      <formula>0</formula>
    </cfRule>
  </conditionalFormatting>
  <conditionalFormatting sqref="AQ35 AQ43 AQ59 AQ63 AQ71 AQ7 AQ15 AQ19 AQ11 AQ23 AQ27 AQ31 AQ55 AQ79 AQ47">
    <cfRule type="cellIs" dxfId="4618" priority="1954" operator="lessThan">
      <formula>0</formula>
    </cfRule>
  </conditionalFormatting>
  <conditionalFormatting sqref="AQ35 AQ43 AQ59 AQ63 AQ71 AQ7 AQ15 AQ19 AQ11 AQ23 AQ27 AQ31 AQ55 AQ79 AQ47">
    <cfRule type="cellIs" dxfId="4617" priority="1953" operator="lessThan">
      <formula>0</formula>
    </cfRule>
  </conditionalFormatting>
  <conditionalFormatting sqref="AQ35 AQ43 AQ59 AQ63 AQ71 AQ7 AQ15 AQ19 AQ11 AQ23 AQ27 AQ31 AQ55 AQ79 AQ47">
    <cfRule type="cellIs" dxfId="4616" priority="1952" operator="lessThan">
      <formula>0</formula>
    </cfRule>
  </conditionalFormatting>
  <conditionalFormatting sqref="AQ35 AQ43 AQ59 AQ63 AQ71 AQ7 AQ15 AQ19 AQ11 AQ23 AQ27 AQ31 AQ55 AQ79 AQ47">
    <cfRule type="cellIs" dxfId="4615" priority="1951" operator="lessThan">
      <formula>0</formula>
    </cfRule>
  </conditionalFormatting>
  <conditionalFormatting sqref="AQ35 AQ43 AQ59 AQ63 AQ71 AQ7 AQ15 AQ19 AQ11 AQ23 AQ27 AQ31 AQ55 AQ79 AQ47">
    <cfRule type="cellIs" dxfId="4614" priority="1950" operator="lessThan">
      <formula>0</formula>
    </cfRule>
  </conditionalFormatting>
  <conditionalFormatting sqref="AQ35 AQ43 AQ59 AQ63 AQ71 AQ7 AQ15 AQ19 AQ11 AQ23 AQ27 AQ31 AQ55 AQ79 AQ47">
    <cfRule type="cellIs" dxfId="4613" priority="1949" operator="lessThan">
      <formula>0</formula>
    </cfRule>
  </conditionalFormatting>
  <conditionalFormatting sqref="AQ35 AQ43 AQ59 AQ63 AQ71 AQ7 AQ15 AQ19 AQ11 AQ23 AQ27 AQ31 AQ55 AQ79 AQ47">
    <cfRule type="cellIs" dxfId="4612" priority="1948" operator="lessThan">
      <formula>0</formula>
    </cfRule>
  </conditionalFormatting>
  <conditionalFormatting sqref="AQ35 AQ43 AQ59 AQ63 AQ71 AQ7 AQ15 AQ19 AQ11 AQ23 AQ27 AQ31 AQ55 AQ79 AQ47">
    <cfRule type="cellIs" dxfId="4611" priority="1947" operator="lessThan">
      <formula>0</formula>
    </cfRule>
  </conditionalFormatting>
  <conditionalFormatting sqref="AQ35 AQ43 AQ59 AQ63 AQ71 AQ7 AQ15 AQ19 AQ11 AQ23 AQ27 AQ31 AQ55 AQ79 AQ47">
    <cfRule type="cellIs" dxfId="4610" priority="1946" operator="lessThan">
      <formula>0</formula>
    </cfRule>
  </conditionalFormatting>
  <conditionalFormatting sqref="AQ35 AQ43 AQ59 AQ63 AQ71 AQ7 AQ15 AQ19 AQ11 AQ23 AQ27 AQ31 AQ55 AQ79 AQ47">
    <cfRule type="cellIs" dxfId="4609" priority="1945" operator="lessThan">
      <formula>0</formula>
    </cfRule>
  </conditionalFormatting>
  <conditionalFormatting sqref="AQ35 AQ43 AQ59 AQ63 AQ71 AQ7 AQ15 AQ19 AQ11 AQ23 AQ27 AQ31 AQ55 AQ79 AQ47">
    <cfRule type="cellIs" dxfId="4608" priority="1944" operator="lessThan">
      <formula>0</formula>
    </cfRule>
  </conditionalFormatting>
  <conditionalFormatting sqref="AQ35 AQ43 AQ59 AQ63 AQ71 AQ7 AQ15 AQ19 AQ11 AQ23 AQ27 AQ31 AQ55 AQ79 AQ47">
    <cfRule type="cellIs" dxfId="4607" priority="1943" operator="lessThan">
      <formula>0</formula>
    </cfRule>
  </conditionalFormatting>
  <conditionalFormatting sqref="AQ35 AQ43 AQ59 AQ63 AQ71 AQ7 AQ15 AQ19 AQ11 AQ23 AQ27 AQ31 AQ55 AQ79 AQ47">
    <cfRule type="cellIs" dxfId="4606" priority="1942" operator="lessThan">
      <formula>0</formula>
    </cfRule>
  </conditionalFormatting>
  <conditionalFormatting sqref="AQ35 AQ43 AQ59 AQ63 AQ71 AQ7 AQ15 AQ19 AQ11 AQ23 AQ27 AQ31 AQ55 AQ79 AQ47">
    <cfRule type="cellIs" dxfId="4605" priority="1941" operator="lessThan">
      <formula>0</formula>
    </cfRule>
  </conditionalFormatting>
  <conditionalFormatting sqref="J56">
    <cfRule type="cellIs" dxfId="4604" priority="1939" operator="greaterThan">
      <formula>0</formula>
    </cfRule>
  </conditionalFormatting>
  <conditionalFormatting sqref="J80">
    <cfRule type="cellIs" dxfId="4603" priority="1938" operator="greaterThan">
      <formula>0</formula>
    </cfRule>
  </conditionalFormatting>
  <conditionalFormatting sqref="J12">
    <cfRule type="cellIs" dxfId="4602" priority="1937" operator="greaterThan">
      <formula>0</formula>
    </cfRule>
  </conditionalFormatting>
  <conditionalFormatting sqref="J24">
    <cfRule type="cellIs" dxfId="4601" priority="1936" operator="greaterThan">
      <formula>0</formula>
    </cfRule>
  </conditionalFormatting>
  <conditionalFormatting sqref="I12">
    <cfRule type="cellIs" dxfId="4600" priority="1935" operator="greaterThan">
      <formula>0</formula>
    </cfRule>
  </conditionalFormatting>
  <conditionalFormatting sqref="AM80:AM81">
    <cfRule type="cellIs" dxfId="4599" priority="1934" operator="notEqual">
      <formula>0</formula>
    </cfRule>
  </conditionalFormatting>
  <conditionalFormatting sqref="AQ6">
    <cfRule type="cellIs" dxfId="4598" priority="1933" operator="lessThan">
      <formula>0</formula>
    </cfRule>
  </conditionalFormatting>
  <conditionalFormatting sqref="AQ6">
    <cfRule type="cellIs" dxfId="4597" priority="1932" operator="lessThan">
      <formula>0</formula>
    </cfRule>
  </conditionalFormatting>
  <conditionalFormatting sqref="AQ8:AQ9">
    <cfRule type="cellIs" dxfId="4596" priority="1931" operator="lessThan">
      <formula>0</formula>
    </cfRule>
  </conditionalFormatting>
  <conditionalFormatting sqref="AQ8:AQ9">
    <cfRule type="cellIs" dxfId="4595" priority="1930" operator="lessThan">
      <formula>0</formula>
    </cfRule>
  </conditionalFormatting>
  <conditionalFormatting sqref="AQ8:AQ9">
    <cfRule type="cellIs" dxfId="4594" priority="1929" operator="lessThan">
      <formula>0</formula>
    </cfRule>
  </conditionalFormatting>
  <conditionalFormatting sqref="AQ8:AQ9">
    <cfRule type="cellIs" dxfId="4593" priority="1928" operator="lessThan">
      <formula>0</formula>
    </cfRule>
  </conditionalFormatting>
  <conditionalFormatting sqref="AQ8:AQ9">
    <cfRule type="cellIs" dxfId="4592" priority="1927" operator="lessThan">
      <formula>0</formula>
    </cfRule>
  </conditionalFormatting>
  <conditionalFormatting sqref="AQ8:AQ9">
    <cfRule type="cellIs" dxfId="4591" priority="1926" operator="lessThan">
      <formula>0</formula>
    </cfRule>
  </conditionalFormatting>
  <conditionalFormatting sqref="AQ8:AQ9">
    <cfRule type="cellIs" dxfId="4590" priority="1925" operator="lessThan">
      <formula>0</formula>
    </cfRule>
  </conditionalFormatting>
  <conditionalFormatting sqref="AQ8:AQ9">
    <cfRule type="cellIs" dxfId="4589" priority="1924" operator="lessThan">
      <formula>0</formula>
    </cfRule>
  </conditionalFormatting>
  <conditionalFormatting sqref="AQ6">
    <cfRule type="cellIs" dxfId="4588" priority="1923" operator="lessThan">
      <formula>0</formula>
    </cfRule>
  </conditionalFormatting>
  <conditionalFormatting sqref="AQ6 AQ8:AQ9">
    <cfRule type="cellIs" dxfId="4587" priority="1922" operator="lessThan">
      <formula>0</formula>
    </cfRule>
  </conditionalFormatting>
  <conditionalFormatting sqref="AM6:AM9">
    <cfRule type="cellIs" dxfId="4586" priority="1921" operator="notEqual">
      <formula>0</formula>
    </cfRule>
  </conditionalFormatting>
  <conditionalFormatting sqref="I8">
    <cfRule type="cellIs" dxfId="4585" priority="1920" operator="greaterThan">
      <formula>0</formula>
    </cfRule>
  </conditionalFormatting>
  <conditionalFormatting sqref="AQ6 AQ8:AQ9">
    <cfRule type="cellIs" dxfId="4584" priority="1919" operator="lessThan">
      <formula>0</formula>
    </cfRule>
  </conditionalFormatting>
  <conditionalFormatting sqref="AQ6 AQ8:AQ9">
    <cfRule type="cellIs" dxfId="4583" priority="1918" operator="lessThan">
      <formula>0</formula>
    </cfRule>
  </conditionalFormatting>
  <conditionalFormatting sqref="AQ6 AQ8:AQ9">
    <cfRule type="cellIs" dxfId="4582" priority="1917" operator="lessThan">
      <formula>0</formula>
    </cfRule>
  </conditionalFormatting>
  <conditionalFormatting sqref="J8">
    <cfRule type="cellIs" dxfId="4581" priority="1916" operator="greaterThan">
      <formula>0</formula>
    </cfRule>
  </conditionalFormatting>
  <conditionalFormatting sqref="AQ8:AQ9">
    <cfRule type="cellIs" dxfId="4580" priority="1915" operator="lessThan">
      <formula>0</formula>
    </cfRule>
  </conditionalFormatting>
  <conditionalFormatting sqref="AQ8:AQ9">
    <cfRule type="cellIs" dxfId="4579" priority="1914" operator="lessThan">
      <formula>0</formula>
    </cfRule>
  </conditionalFormatting>
  <conditionalFormatting sqref="AQ8:AQ9">
    <cfRule type="cellIs" dxfId="4578" priority="1913" operator="lessThan">
      <formula>0</formula>
    </cfRule>
  </conditionalFormatting>
  <conditionalFormatting sqref="AQ8:AQ9">
    <cfRule type="cellIs" dxfId="4577" priority="1912" operator="lessThan">
      <formula>0</formula>
    </cfRule>
  </conditionalFormatting>
  <conditionalFormatting sqref="Y7">
    <cfRule type="iconSet" priority="1910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4576" priority="1909" operator="lessThan">
      <formula>0</formula>
    </cfRule>
  </conditionalFormatting>
  <conditionalFormatting sqref="Y6:Y8">
    <cfRule type="cellIs" dxfId="4575" priority="1908" operator="lessThan">
      <formula>0</formula>
    </cfRule>
  </conditionalFormatting>
  <conditionalFormatting sqref="Y9">
    <cfRule type="cellIs" dxfId="4574" priority="1907" operator="lessThan">
      <formula>0</formula>
    </cfRule>
  </conditionalFormatting>
  <conditionalFormatting sqref="AQ7">
    <cfRule type="cellIs" dxfId="4573" priority="1906" operator="lessThan">
      <formula>0</formula>
    </cfRule>
  </conditionalFormatting>
  <conditionalFormatting sqref="AQ7">
    <cfRule type="cellIs" dxfId="4572" priority="1905" operator="lessThan">
      <formula>0</formula>
    </cfRule>
  </conditionalFormatting>
  <conditionalFormatting sqref="AQ7">
    <cfRule type="cellIs" dxfId="4571" priority="1904" operator="lessThan">
      <formula>0</formula>
    </cfRule>
  </conditionalFormatting>
  <conditionalFormatting sqref="AQ7">
    <cfRule type="cellIs" dxfId="4570" priority="1903" operator="lessThan">
      <formula>0</formula>
    </cfRule>
  </conditionalFormatting>
  <conditionalFormatting sqref="AQ7">
    <cfRule type="cellIs" dxfId="4569" priority="1902" operator="lessThan">
      <formula>0</formula>
    </cfRule>
  </conditionalFormatting>
  <conditionalFormatting sqref="AQ7">
    <cfRule type="cellIs" dxfId="4568" priority="1901" operator="lessThan">
      <formula>0</formula>
    </cfRule>
  </conditionalFormatting>
  <conditionalFormatting sqref="AQ7">
    <cfRule type="cellIs" dxfId="4567" priority="1900" operator="lessThan">
      <formula>0</formula>
    </cfRule>
  </conditionalFormatting>
  <conditionalFormatting sqref="AQ7">
    <cfRule type="cellIs" dxfId="4566" priority="1899" operator="lessThan">
      <formula>0</formula>
    </cfRule>
  </conditionalFormatting>
  <conditionalFormatting sqref="AQ7">
    <cfRule type="cellIs" dxfId="4565" priority="1898" operator="lessThan">
      <formula>0</formula>
    </cfRule>
  </conditionalFormatting>
  <conditionalFormatting sqref="AQ7">
    <cfRule type="cellIs" dxfId="4564" priority="1897" operator="lessThan">
      <formula>0</formula>
    </cfRule>
  </conditionalFormatting>
  <conditionalFormatting sqref="AQ7">
    <cfRule type="cellIs" dxfId="4563" priority="1896" operator="lessThan">
      <formula>0</formula>
    </cfRule>
  </conditionalFormatting>
  <conditionalFormatting sqref="AQ7">
    <cfRule type="cellIs" dxfId="4562" priority="1895" operator="lessThan">
      <formula>0</formula>
    </cfRule>
  </conditionalFormatting>
  <conditionalFormatting sqref="AQ7">
    <cfRule type="cellIs" dxfId="4561" priority="1894" operator="lessThan">
      <formula>0</formula>
    </cfRule>
  </conditionalFormatting>
  <conditionalFormatting sqref="AQ7">
    <cfRule type="cellIs" dxfId="4560" priority="1893" operator="lessThan">
      <formula>0</formula>
    </cfRule>
  </conditionalFormatting>
  <conditionalFormatting sqref="AQ7">
    <cfRule type="cellIs" dxfId="4559" priority="1892" operator="lessThan">
      <formula>0</formula>
    </cfRule>
  </conditionalFormatting>
  <conditionalFormatting sqref="AQ7">
    <cfRule type="cellIs" dxfId="4558" priority="1891" operator="lessThan">
      <formula>0</formula>
    </cfRule>
  </conditionalFormatting>
  <conditionalFormatting sqref="AQ7">
    <cfRule type="cellIs" dxfId="4557" priority="1890" operator="lessThan">
      <formula>0</formula>
    </cfRule>
  </conditionalFormatting>
  <conditionalFormatting sqref="AQ7">
    <cfRule type="cellIs" dxfId="4556" priority="1889" operator="lessThan">
      <formula>0</formula>
    </cfRule>
  </conditionalFormatting>
  <conditionalFormatting sqref="AQ7">
    <cfRule type="cellIs" dxfId="4555" priority="1888" operator="lessThan">
      <formula>0</formula>
    </cfRule>
  </conditionalFormatting>
  <conditionalFormatting sqref="AQ7">
    <cfRule type="cellIs" dxfId="4554" priority="1887" operator="lessThan">
      <formula>0</formula>
    </cfRule>
  </conditionalFormatting>
  <conditionalFormatting sqref="AQ7">
    <cfRule type="cellIs" dxfId="4553" priority="1886" operator="lessThan">
      <formula>0</formula>
    </cfRule>
  </conditionalFormatting>
  <conditionalFormatting sqref="AQ7">
    <cfRule type="cellIs" dxfId="4552" priority="1885" operator="lessThan">
      <formula>0</formula>
    </cfRule>
  </conditionalFormatting>
  <conditionalFormatting sqref="AQ7">
    <cfRule type="cellIs" dxfId="4551" priority="1884" operator="lessThan">
      <formula>0</formula>
    </cfRule>
  </conditionalFormatting>
  <conditionalFormatting sqref="AQ7">
    <cfRule type="cellIs" dxfId="4550" priority="1883" operator="lessThan">
      <formula>0</formula>
    </cfRule>
  </conditionalFormatting>
  <conditionalFormatting sqref="AQ7">
    <cfRule type="cellIs" dxfId="4549" priority="1882" operator="lessThan">
      <formula>0</formula>
    </cfRule>
  </conditionalFormatting>
  <conditionalFormatting sqref="AQ7">
    <cfRule type="cellIs" dxfId="4548" priority="1881" operator="lessThan">
      <formula>0</formula>
    </cfRule>
  </conditionalFormatting>
  <conditionalFormatting sqref="AQ7">
    <cfRule type="cellIs" dxfId="4547" priority="1880" operator="lessThan">
      <formula>0</formula>
    </cfRule>
  </conditionalFormatting>
  <conditionalFormatting sqref="AQ7">
    <cfRule type="cellIs" dxfId="4546" priority="1879" operator="lessThan">
      <formula>0</formula>
    </cfRule>
  </conditionalFormatting>
  <conditionalFormatting sqref="AQ7">
    <cfRule type="cellIs" dxfId="4545" priority="1878" operator="lessThan">
      <formula>0</formula>
    </cfRule>
  </conditionalFormatting>
  <conditionalFormatting sqref="AQ7">
    <cfRule type="cellIs" dxfId="4544" priority="1877" operator="lessThan">
      <formula>0</formula>
    </cfRule>
  </conditionalFormatting>
  <conditionalFormatting sqref="AQ7">
    <cfRule type="cellIs" dxfId="4543" priority="1876" operator="lessThan">
      <formula>0</formula>
    </cfRule>
  </conditionalFormatting>
  <conditionalFormatting sqref="AQ7">
    <cfRule type="cellIs" dxfId="4542" priority="1875" operator="lessThan">
      <formula>0</formula>
    </cfRule>
  </conditionalFormatting>
  <conditionalFormatting sqref="AQ7">
    <cfRule type="cellIs" dxfId="4541" priority="1874" operator="lessThan">
      <formula>0</formula>
    </cfRule>
  </conditionalFormatting>
  <conditionalFormatting sqref="AQ7">
    <cfRule type="cellIs" dxfId="4540" priority="1873" operator="lessThan">
      <formula>0</formula>
    </cfRule>
  </conditionalFormatting>
  <conditionalFormatting sqref="AQ7">
    <cfRule type="cellIs" dxfId="4539" priority="1872" operator="lessThan">
      <formula>0</formula>
    </cfRule>
  </conditionalFormatting>
  <conditionalFormatting sqref="AQ7">
    <cfRule type="cellIs" dxfId="4538" priority="1871" operator="lessThan">
      <formula>0</formula>
    </cfRule>
  </conditionalFormatting>
  <conditionalFormatting sqref="AQ7">
    <cfRule type="cellIs" dxfId="4537" priority="1870" operator="lessThan">
      <formula>0</formula>
    </cfRule>
  </conditionalFormatting>
  <conditionalFormatting sqref="AQ7">
    <cfRule type="cellIs" dxfId="4536" priority="1869" operator="lessThan">
      <formula>0</formula>
    </cfRule>
  </conditionalFormatting>
  <conditionalFormatting sqref="AQ7">
    <cfRule type="cellIs" dxfId="4535" priority="1868" operator="lessThan">
      <formula>0</formula>
    </cfRule>
  </conditionalFormatting>
  <conditionalFormatting sqref="AQ7">
    <cfRule type="cellIs" dxfId="4534" priority="1867" operator="lessThan">
      <formula>0</formula>
    </cfRule>
  </conditionalFormatting>
  <conditionalFormatting sqref="AQ7">
    <cfRule type="cellIs" dxfId="4533" priority="1866" operator="lessThan">
      <formula>0</formula>
    </cfRule>
  </conditionalFormatting>
  <conditionalFormatting sqref="AQ7">
    <cfRule type="cellIs" dxfId="4532" priority="1865" operator="lessThan">
      <formula>0</formula>
    </cfRule>
  </conditionalFormatting>
  <conditionalFormatting sqref="AQ7">
    <cfRule type="cellIs" dxfId="4531" priority="1864" operator="lessThan">
      <formula>0</formula>
    </cfRule>
  </conditionalFormatting>
  <conditionalFormatting sqref="AQ7">
    <cfRule type="cellIs" dxfId="4530" priority="1863" operator="lessThan">
      <formula>0</formula>
    </cfRule>
  </conditionalFormatting>
  <conditionalFormatting sqref="AQ7">
    <cfRule type="cellIs" dxfId="4529" priority="1862" operator="lessThan">
      <formula>0</formula>
    </cfRule>
  </conditionalFormatting>
  <conditionalFormatting sqref="AQ7">
    <cfRule type="cellIs" dxfId="4528" priority="1861" operator="lessThan">
      <formula>0</formula>
    </cfRule>
  </conditionalFormatting>
  <conditionalFormatting sqref="AQ7">
    <cfRule type="cellIs" dxfId="4527" priority="1860" operator="lessThan">
      <formula>0</formula>
    </cfRule>
  </conditionalFormatting>
  <conditionalFormatting sqref="AQ7">
    <cfRule type="cellIs" dxfId="4526" priority="1859" operator="lessThan">
      <formula>0</formula>
    </cfRule>
  </conditionalFormatting>
  <conditionalFormatting sqref="AQ7">
    <cfRule type="cellIs" dxfId="4525" priority="1858" operator="lessThan">
      <formula>0</formula>
    </cfRule>
  </conditionalFormatting>
  <conditionalFormatting sqref="AQ7">
    <cfRule type="cellIs" dxfId="4524" priority="1857" operator="lessThan">
      <formula>0</formula>
    </cfRule>
  </conditionalFormatting>
  <conditionalFormatting sqref="AQ7">
    <cfRule type="cellIs" dxfId="4523" priority="1856" operator="lessThan">
      <formula>0</formula>
    </cfRule>
  </conditionalFormatting>
  <conditionalFormatting sqref="AQ7">
    <cfRule type="cellIs" dxfId="4522" priority="1855" operator="lessThan">
      <formula>0</formula>
    </cfRule>
  </conditionalFormatting>
  <conditionalFormatting sqref="AQ7">
    <cfRule type="cellIs" dxfId="4521" priority="1854" operator="lessThan">
      <formula>0</formula>
    </cfRule>
  </conditionalFormatting>
  <conditionalFormatting sqref="AQ7">
    <cfRule type="cellIs" dxfId="4520" priority="1853" operator="lessThan">
      <formula>0</formula>
    </cfRule>
  </conditionalFormatting>
  <conditionalFormatting sqref="AQ7">
    <cfRule type="cellIs" dxfId="4519" priority="1852" operator="lessThan">
      <formula>0</formula>
    </cfRule>
  </conditionalFormatting>
  <conditionalFormatting sqref="AQ7">
    <cfRule type="cellIs" dxfId="4518" priority="1851" operator="lessThan">
      <formula>0</formula>
    </cfRule>
  </conditionalFormatting>
  <conditionalFormatting sqref="AQ7">
    <cfRule type="cellIs" dxfId="4517" priority="1850" operator="lessThan">
      <formula>0</formula>
    </cfRule>
  </conditionalFormatting>
  <conditionalFormatting sqref="AQ7">
    <cfRule type="cellIs" dxfId="4516" priority="1849" operator="lessThan">
      <formula>0</formula>
    </cfRule>
  </conditionalFormatting>
  <conditionalFormatting sqref="AQ7">
    <cfRule type="cellIs" dxfId="4515" priority="1848" operator="lessThan">
      <formula>0</formula>
    </cfRule>
  </conditionalFormatting>
  <conditionalFormatting sqref="AQ7">
    <cfRule type="cellIs" dxfId="4514" priority="1847" operator="lessThan">
      <formula>0</formula>
    </cfRule>
  </conditionalFormatting>
  <conditionalFormatting sqref="AQ7">
    <cfRule type="cellIs" dxfId="4513" priority="1846" operator="lessThan">
      <formula>0</formula>
    </cfRule>
  </conditionalFormatting>
  <conditionalFormatting sqref="AQ7">
    <cfRule type="cellIs" dxfId="4512" priority="1845" operator="lessThan">
      <formula>0</formula>
    </cfRule>
  </conditionalFormatting>
  <conditionalFormatting sqref="AQ7">
    <cfRule type="cellIs" dxfId="4511" priority="1844" operator="lessThan">
      <formula>0</formula>
    </cfRule>
  </conditionalFormatting>
  <conditionalFormatting sqref="AQ7">
    <cfRule type="cellIs" dxfId="4510" priority="1843" operator="lessThan">
      <formula>0</formula>
    </cfRule>
  </conditionalFormatting>
  <conditionalFormatting sqref="AQ7">
    <cfRule type="cellIs" dxfId="4509" priority="1842" operator="lessThan">
      <formula>0</formula>
    </cfRule>
  </conditionalFormatting>
  <conditionalFormatting sqref="AQ7">
    <cfRule type="cellIs" dxfId="4508" priority="1841" operator="lessThan">
      <formula>0</formula>
    </cfRule>
  </conditionalFormatting>
  <conditionalFormatting sqref="AQ7">
    <cfRule type="cellIs" dxfId="4507" priority="1840" operator="lessThan">
      <formula>0</formula>
    </cfRule>
  </conditionalFormatting>
  <conditionalFormatting sqref="AQ7">
    <cfRule type="cellIs" dxfId="4506" priority="1839" operator="lessThan">
      <formula>0</formula>
    </cfRule>
  </conditionalFormatting>
  <conditionalFormatting sqref="AQ7">
    <cfRule type="cellIs" dxfId="4505" priority="1838" operator="lessThan">
      <formula>0</formula>
    </cfRule>
  </conditionalFormatting>
  <conditionalFormatting sqref="AQ7">
    <cfRule type="cellIs" dxfId="4504" priority="1837" operator="lessThan">
      <formula>0</formula>
    </cfRule>
  </conditionalFormatting>
  <conditionalFormatting sqref="AQ7">
    <cfRule type="cellIs" dxfId="4503" priority="1836" operator="lessThan">
      <formula>0</formula>
    </cfRule>
  </conditionalFormatting>
  <conditionalFormatting sqref="AQ7">
    <cfRule type="cellIs" dxfId="4502" priority="1835" operator="lessThan">
      <formula>0</formula>
    </cfRule>
  </conditionalFormatting>
  <conditionalFormatting sqref="AQ7">
    <cfRule type="cellIs" dxfId="4501" priority="1834" operator="lessThan">
      <formula>0</formula>
    </cfRule>
  </conditionalFormatting>
  <conditionalFormatting sqref="AQ7">
    <cfRule type="cellIs" dxfId="4500" priority="1833" operator="lessThan">
      <formula>0</formula>
    </cfRule>
  </conditionalFormatting>
  <conditionalFormatting sqref="AQ7">
    <cfRule type="cellIs" dxfId="4499" priority="1832" operator="lessThan">
      <formula>0</formula>
    </cfRule>
  </conditionalFormatting>
  <conditionalFormatting sqref="AQ7">
    <cfRule type="cellIs" dxfId="4498" priority="1831" operator="lessThan">
      <formula>0</formula>
    </cfRule>
  </conditionalFormatting>
  <conditionalFormatting sqref="AQ7">
    <cfRule type="cellIs" dxfId="4497" priority="1830" operator="lessThan">
      <formula>0</formula>
    </cfRule>
  </conditionalFormatting>
  <conditionalFormatting sqref="AQ7">
    <cfRule type="cellIs" dxfId="4496" priority="1829" operator="lessThan">
      <formula>0</formula>
    </cfRule>
  </conditionalFormatting>
  <conditionalFormatting sqref="AQ7">
    <cfRule type="cellIs" dxfId="4495" priority="1828" operator="lessThan">
      <formula>0</formula>
    </cfRule>
  </conditionalFormatting>
  <conditionalFormatting sqref="AQ7">
    <cfRule type="cellIs" dxfId="4494" priority="1827" operator="lessThan">
      <formula>0</formula>
    </cfRule>
  </conditionalFormatting>
  <conditionalFormatting sqref="AQ7">
    <cfRule type="cellIs" dxfId="4493" priority="1811" operator="lessThan">
      <formula>0</formula>
    </cfRule>
  </conditionalFormatting>
  <conditionalFormatting sqref="AQ7">
    <cfRule type="cellIs" dxfId="4492" priority="1826" operator="lessThan">
      <formula>0</formula>
    </cfRule>
  </conditionalFormatting>
  <conditionalFormatting sqref="AQ7">
    <cfRule type="cellIs" dxfId="4491" priority="1825" operator="lessThan">
      <formula>0</formula>
    </cfRule>
  </conditionalFormatting>
  <conditionalFormatting sqref="AQ7">
    <cfRule type="cellIs" dxfId="4490" priority="1824" operator="lessThan">
      <formula>0</formula>
    </cfRule>
  </conditionalFormatting>
  <conditionalFormatting sqref="AQ7">
    <cfRule type="cellIs" dxfId="4489" priority="1823" operator="lessThan">
      <formula>0</formula>
    </cfRule>
  </conditionalFormatting>
  <conditionalFormatting sqref="AQ7">
    <cfRule type="cellIs" dxfId="4488" priority="1822" operator="lessThan">
      <formula>0</formula>
    </cfRule>
  </conditionalFormatting>
  <conditionalFormatting sqref="AQ7">
    <cfRule type="cellIs" dxfId="4487" priority="1821" operator="lessThan">
      <formula>0</formula>
    </cfRule>
  </conditionalFormatting>
  <conditionalFormatting sqref="AQ7">
    <cfRule type="cellIs" dxfId="4486" priority="1820" operator="lessThan">
      <formula>0</formula>
    </cfRule>
  </conditionalFormatting>
  <conditionalFormatting sqref="AQ7">
    <cfRule type="cellIs" dxfId="4485" priority="1819" operator="lessThan">
      <formula>0</formula>
    </cfRule>
  </conditionalFormatting>
  <conditionalFormatting sqref="AQ7">
    <cfRule type="cellIs" dxfId="4484" priority="1818" operator="lessThan">
      <formula>0</formula>
    </cfRule>
  </conditionalFormatting>
  <conditionalFormatting sqref="AQ7">
    <cfRule type="cellIs" dxfId="4483" priority="1817" operator="lessThan">
      <formula>0</formula>
    </cfRule>
  </conditionalFormatting>
  <conditionalFormatting sqref="AQ7">
    <cfRule type="cellIs" dxfId="4482" priority="1816" operator="lessThan">
      <formula>0</formula>
    </cfRule>
  </conditionalFormatting>
  <conditionalFormatting sqref="AQ7">
    <cfRule type="cellIs" dxfId="4481" priority="1815" operator="lessThan">
      <formula>0</formula>
    </cfRule>
  </conditionalFormatting>
  <conditionalFormatting sqref="AQ7">
    <cfRule type="cellIs" dxfId="4480" priority="1814" operator="lessThan">
      <formula>0</formula>
    </cfRule>
  </conditionalFormatting>
  <conditionalFormatting sqref="AQ7">
    <cfRule type="cellIs" dxfId="4479" priority="1813" operator="lessThan">
      <formula>0</formula>
    </cfRule>
  </conditionalFormatting>
  <conditionalFormatting sqref="AQ7">
    <cfRule type="cellIs" dxfId="4478" priority="1812" operator="lessThan">
      <formula>0</formula>
    </cfRule>
  </conditionalFormatting>
  <conditionalFormatting sqref="AQ14">
    <cfRule type="cellIs" dxfId="4477" priority="1810" operator="lessThan">
      <formula>0</formula>
    </cfRule>
  </conditionalFormatting>
  <conditionalFormatting sqref="AQ14">
    <cfRule type="cellIs" dxfId="4476" priority="1809" operator="lessThan">
      <formula>0</formula>
    </cfRule>
  </conditionalFormatting>
  <conditionalFormatting sqref="AQ16:AQ17">
    <cfRule type="cellIs" dxfId="4475" priority="1808" operator="lessThan">
      <formula>0</formula>
    </cfRule>
  </conditionalFormatting>
  <conditionalFormatting sqref="AQ16:AQ17">
    <cfRule type="cellIs" dxfId="4474" priority="1807" operator="lessThan">
      <formula>0</formula>
    </cfRule>
  </conditionalFormatting>
  <conditionalFormatting sqref="AQ16:AQ17">
    <cfRule type="cellIs" dxfId="4473" priority="1806" operator="lessThan">
      <formula>0</formula>
    </cfRule>
  </conditionalFormatting>
  <conditionalFormatting sqref="AQ16:AQ17">
    <cfRule type="cellIs" dxfId="4472" priority="1805" operator="lessThan">
      <formula>0</formula>
    </cfRule>
  </conditionalFormatting>
  <conditionalFormatting sqref="AQ16:AQ17">
    <cfRule type="cellIs" dxfId="4471" priority="1804" operator="lessThan">
      <formula>0</formula>
    </cfRule>
  </conditionalFormatting>
  <conditionalFormatting sqref="AQ16:AQ17">
    <cfRule type="cellIs" dxfId="4470" priority="1803" operator="lessThan">
      <formula>0</formula>
    </cfRule>
  </conditionalFormatting>
  <conditionalFormatting sqref="AQ16:AQ17">
    <cfRule type="cellIs" dxfId="4469" priority="1802" operator="lessThan">
      <formula>0</formula>
    </cfRule>
  </conditionalFormatting>
  <conditionalFormatting sqref="AQ16:AQ17">
    <cfRule type="cellIs" dxfId="4468" priority="1801" operator="lessThan">
      <formula>0</formula>
    </cfRule>
  </conditionalFormatting>
  <conditionalFormatting sqref="AQ14">
    <cfRule type="cellIs" dxfId="4467" priority="1800" operator="lessThan">
      <formula>0</formula>
    </cfRule>
  </conditionalFormatting>
  <conditionalFormatting sqref="AQ14 AQ16:AQ17">
    <cfRule type="cellIs" dxfId="4466" priority="1799" operator="lessThan">
      <formula>0</formula>
    </cfRule>
  </conditionalFormatting>
  <conditionalFormatting sqref="AQ14 AQ16:AQ17">
    <cfRule type="cellIs" dxfId="4465" priority="1798" operator="lessThan">
      <formula>0</formula>
    </cfRule>
  </conditionalFormatting>
  <conditionalFormatting sqref="AQ14 AQ16:AQ17">
    <cfRule type="cellIs" dxfId="4464" priority="1797" operator="lessThan">
      <formula>0</formula>
    </cfRule>
  </conditionalFormatting>
  <conditionalFormatting sqref="AQ14 AQ16:AQ17">
    <cfRule type="cellIs" dxfId="4463" priority="1796" operator="lessThan">
      <formula>0</formula>
    </cfRule>
  </conditionalFormatting>
  <conditionalFormatting sqref="AQ16:AQ17">
    <cfRule type="cellIs" dxfId="4462" priority="1795" operator="lessThan">
      <formula>0</formula>
    </cfRule>
  </conditionalFormatting>
  <conditionalFormatting sqref="AQ16:AQ17">
    <cfRule type="cellIs" dxfId="4461" priority="1794" operator="lessThan">
      <formula>0</formula>
    </cfRule>
  </conditionalFormatting>
  <conditionalFormatting sqref="AQ16:AQ17">
    <cfRule type="cellIs" dxfId="4460" priority="1793" operator="lessThan">
      <formula>0</formula>
    </cfRule>
  </conditionalFormatting>
  <conditionalFormatting sqref="AQ16:AQ17">
    <cfRule type="cellIs" dxfId="4459" priority="1792" operator="lessThan">
      <formula>0</formula>
    </cfRule>
  </conditionalFormatting>
  <conditionalFormatting sqref="AQ15">
    <cfRule type="cellIs" dxfId="4458" priority="1791" operator="lessThan">
      <formula>0</formula>
    </cfRule>
  </conditionalFormatting>
  <conditionalFormatting sqref="AQ15">
    <cfRule type="cellIs" dxfId="4457" priority="1790" operator="lessThan">
      <formula>0</formula>
    </cfRule>
  </conditionalFormatting>
  <conditionalFormatting sqref="AQ15">
    <cfRule type="cellIs" dxfId="4456" priority="1789" operator="lessThan">
      <formula>0</formula>
    </cfRule>
  </conditionalFormatting>
  <conditionalFormatting sqref="AQ15">
    <cfRule type="cellIs" dxfId="4455" priority="1788" operator="lessThan">
      <formula>0</formula>
    </cfRule>
  </conditionalFormatting>
  <conditionalFormatting sqref="AQ15">
    <cfRule type="cellIs" dxfId="4454" priority="1787" operator="lessThan">
      <formula>0</formula>
    </cfRule>
  </conditionalFormatting>
  <conditionalFormatting sqref="AQ15">
    <cfRule type="cellIs" dxfId="4453" priority="1786" operator="lessThan">
      <formula>0</formula>
    </cfRule>
  </conditionalFormatting>
  <conditionalFormatting sqref="AQ15">
    <cfRule type="cellIs" dxfId="4452" priority="1785" operator="lessThan">
      <formula>0</formula>
    </cfRule>
  </conditionalFormatting>
  <conditionalFormatting sqref="AQ15">
    <cfRule type="cellIs" dxfId="4451" priority="1784" operator="lessThan">
      <formula>0</formula>
    </cfRule>
  </conditionalFormatting>
  <conditionalFormatting sqref="AQ15">
    <cfRule type="cellIs" dxfId="4450" priority="1783" operator="lessThan">
      <formula>0</formula>
    </cfRule>
  </conditionalFormatting>
  <conditionalFormatting sqref="AQ15">
    <cfRule type="cellIs" dxfId="4449" priority="1782" operator="lessThan">
      <formula>0</formula>
    </cfRule>
  </conditionalFormatting>
  <conditionalFormatting sqref="AQ15">
    <cfRule type="cellIs" dxfId="4448" priority="1781" operator="lessThan">
      <formula>0</formula>
    </cfRule>
  </conditionalFormatting>
  <conditionalFormatting sqref="AQ15">
    <cfRule type="cellIs" dxfId="4447" priority="1780" operator="lessThan">
      <formula>0</formula>
    </cfRule>
  </conditionalFormatting>
  <conditionalFormatting sqref="AQ15">
    <cfRule type="cellIs" dxfId="4446" priority="1779" operator="lessThan">
      <formula>0</formula>
    </cfRule>
  </conditionalFormatting>
  <conditionalFormatting sqref="AQ15">
    <cfRule type="cellIs" dxfId="4445" priority="1778" operator="lessThan">
      <formula>0</formula>
    </cfRule>
  </conditionalFormatting>
  <conditionalFormatting sqref="AQ15">
    <cfRule type="cellIs" dxfId="4444" priority="1777" operator="lessThan">
      <formula>0</formula>
    </cfRule>
  </conditionalFormatting>
  <conditionalFormatting sqref="AQ15">
    <cfRule type="cellIs" dxfId="4443" priority="1776" operator="lessThan">
      <formula>0</formula>
    </cfRule>
  </conditionalFormatting>
  <conditionalFormatting sqref="AQ15">
    <cfRule type="cellIs" dxfId="4442" priority="1775" operator="lessThan">
      <formula>0</formula>
    </cfRule>
  </conditionalFormatting>
  <conditionalFormatting sqref="AQ15">
    <cfRule type="cellIs" dxfId="4441" priority="1774" operator="lessThan">
      <formula>0</formula>
    </cfRule>
  </conditionalFormatting>
  <conditionalFormatting sqref="AQ15">
    <cfRule type="cellIs" dxfId="4440" priority="1773" operator="lessThan">
      <formula>0</formula>
    </cfRule>
  </conditionalFormatting>
  <conditionalFormatting sqref="AQ15">
    <cfRule type="cellIs" dxfId="4439" priority="1772" operator="lessThan">
      <formula>0</formula>
    </cfRule>
  </conditionalFormatting>
  <conditionalFormatting sqref="AQ15">
    <cfRule type="cellIs" dxfId="4438" priority="1771" operator="lessThan">
      <formula>0</formula>
    </cfRule>
  </conditionalFormatting>
  <conditionalFormatting sqref="AQ15">
    <cfRule type="cellIs" dxfId="4437" priority="1770" operator="lessThan">
      <formula>0</formula>
    </cfRule>
  </conditionalFormatting>
  <conditionalFormatting sqref="AQ15">
    <cfRule type="cellIs" dxfId="4436" priority="1769" operator="lessThan">
      <formula>0</formula>
    </cfRule>
  </conditionalFormatting>
  <conditionalFormatting sqref="AQ15">
    <cfRule type="cellIs" dxfId="4435" priority="1768" operator="lessThan">
      <formula>0</formula>
    </cfRule>
  </conditionalFormatting>
  <conditionalFormatting sqref="AQ15">
    <cfRule type="cellIs" dxfId="4434" priority="1767" operator="lessThan">
      <formula>0</formula>
    </cfRule>
  </conditionalFormatting>
  <conditionalFormatting sqref="AQ15">
    <cfRule type="cellIs" dxfId="4433" priority="1766" operator="lessThan">
      <formula>0</formula>
    </cfRule>
  </conditionalFormatting>
  <conditionalFormatting sqref="AQ15">
    <cfRule type="cellIs" dxfId="4432" priority="1765" operator="lessThan">
      <formula>0</formula>
    </cfRule>
  </conditionalFormatting>
  <conditionalFormatting sqref="AQ15">
    <cfRule type="cellIs" dxfId="4431" priority="1764" operator="lessThan">
      <formula>0</formula>
    </cfRule>
  </conditionalFormatting>
  <conditionalFormatting sqref="AQ15">
    <cfRule type="cellIs" dxfId="4430" priority="1763" operator="lessThan">
      <formula>0</formula>
    </cfRule>
  </conditionalFormatting>
  <conditionalFormatting sqref="AQ15">
    <cfRule type="cellIs" dxfId="4429" priority="1762" operator="lessThan">
      <formula>0</formula>
    </cfRule>
  </conditionalFormatting>
  <conditionalFormatting sqref="AQ15">
    <cfRule type="cellIs" dxfId="4428" priority="1761" operator="lessThan">
      <formula>0</formula>
    </cfRule>
  </conditionalFormatting>
  <conditionalFormatting sqref="AQ15">
    <cfRule type="cellIs" dxfId="4427" priority="1760" operator="lessThan">
      <formula>0</formula>
    </cfRule>
  </conditionalFormatting>
  <conditionalFormatting sqref="AQ15">
    <cfRule type="cellIs" dxfId="4426" priority="1759" operator="lessThan">
      <formula>0</formula>
    </cfRule>
  </conditionalFormatting>
  <conditionalFormatting sqref="AQ15">
    <cfRule type="cellIs" dxfId="4425" priority="1758" operator="lessThan">
      <formula>0</formula>
    </cfRule>
  </conditionalFormatting>
  <conditionalFormatting sqref="AQ15">
    <cfRule type="cellIs" dxfId="4424" priority="1757" operator="lessThan">
      <formula>0</formula>
    </cfRule>
  </conditionalFormatting>
  <conditionalFormatting sqref="AQ15">
    <cfRule type="cellIs" dxfId="4423" priority="1756" operator="lessThan">
      <formula>0</formula>
    </cfRule>
  </conditionalFormatting>
  <conditionalFormatting sqref="AQ15">
    <cfRule type="cellIs" dxfId="4422" priority="1755" operator="lessThan">
      <formula>0</formula>
    </cfRule>
  </conditionalFormatting>
  <conditionalFormatting sqref="AQ15">
    <cfRule type="cellIs" dxfId="4421" priority="1754" operator="lessThan">
      <formula>0</formula>
    </cfRule>
  </conditionalFormatting>
  <conditionalFormatting sqref="AQ15">
    <cfRule type="cellIs" dxfId="4420" priority="1753" operator="lessThan">
      <formula>0</formula>
    </cfRule>
  </conditionalFormatting>
  <conditionalFormatting sqref="AQ15">
    <cfRule type="cellIs" dxfId="4419" priority="1752" operator="lessThan">
      <formula>0</formula>
    </cfRule>
  </conditionalFormatting>
  <conditionalFormatting sqref="AQ15">
    <cfRule type="cellIs" dxfId="4418" priority="1751" operator="lessThan">
      <formula>0</formula>
    </cfRule>
  </conditionalFormatting>
  <conditionalFormatting sqref="AQ15">
    <cfRule type="cellIs" dxfId="4417" priority="1750" operator="lessThan">
      <formula>0</formula>
    </cfRule>
  </conditionalFormatting>
  <conditionalFormatting sqref="AQ15">
    <cfRule type="cellIs" dxfId="4416" priority="1749" operator="lessThan">
      <formula>0</formula>
    </cfRule>
  </conditionalFormatting>
  <conditionalFormatting sqref="AQ15">
    <cfRule type="cellIs" dxfId="4415" priority="1748" operator="lessThan">
      <formula>0</formula>
    </cfRule>
  </conditionalFormatting>
  <conditionalFormatting sqref="AQ15">
    <cfRule type="cellIs" dxfId="4414" priority="1747" operator="lessThan">
      <formula>0</formula>
    </cfRule>
  </conditionalFormatting>
  <conditionalFormatting sqref="AQ15">
    <cfRule type="cellIs" dxfId="4413" priority="1746" operator="lessThan">
      <formula>0</formula>
    </cfRule>
  </conditionalFormatting>
  <conditionalFormatting sqref="AQ15">
    <cfRule type="cellIs" dxfId="4412" priority="1745" operator="lessThan">
      <formula>0</formula>
    </cfRule>
  </conditionalFormatting>
  <conditionalFormatting sqref="AQ15">
    <cfRule type="cellIs" dxfId="4411" priority="1744" operator="lessThan">
      <formula>0</formula>
    </cfRule>
  </conditionalFormatting>
  <conditionalFormatting sqref="AQ15">
    <cfRule type="cellIs" dxfId="4410" priority="1743" operator="lessThan">
      <formula>0</formula>
    </cfRule>
  </conditionalFormatting>
  <conditionalFormatting sqref="AQ15">
    <cfRule type="cellIs" dxfId="4409" priority="1742" operator="lessThan">
      <formula>0</formula>
    </cfRule>
  </conditionalFormatting>
  <conditionalFormatting sqref="AQ15">
    <cfRule type="cellIs" dxfId="4408" priority="1741" operator="lessThan">
      <formula>0</formula>
    </cfRule>
  </conditionalFormatting>
  <conditionalFormatting sqref="AQ15">
    <cfRule type="cellIs" dxfId="4407" priority="1740" operator="lessThan">
      <formula>0</formula>
    </cfRule>
  </conditionalFormatting>
  <conditionalFormatting sqref="AQ15">
    <cfRule type="cellIs" dxfId="4406" priority="1739" operator="lessThan">
      <formula>0</formula>
    </cfRule>
  </conditionalFormatting>
  <conditionalFormatting sqref="AQ15">
    <cfRule type="cellIs" dxfId="4405" priority="1738" operator="lessThan">
      <formula>0</formula>
    </cfRule>
  </conditionalFormatting>
  <conditionalFormatting sqref="AQ15">
    <cfRule type="cellIs" dxfId="4404" priority="1737" operator="lessThan">
      <formula>0</formula>
    </cfRule>
  </conditionalFormatting>
  <conditionalFormatting sqref="AQ15">
    <cfRule type="cellIs" dxfId="4403" priority="1736" operator="lessThan">
      <formula>0</formula>
    </cfRule>
  </conditionalFormatting>
  <conditionalFormatting sqref="AQ15">
    <cfRule type="cellIs" dxfId="4402" priority="1735" operator="lessThan">
      <formula>0</formula>
    </cfRule>
  </conditionalFormatting>
  <conditionalFormatting sqref="AQ15">
    <cfRule type="cellIs" dxfId="4401" priority="1734" operator="lessThan">
      <formula>0</formula>
    </cfRule>
  </conditionalFormatting>
  <conditionalFormatting sqref="AQ15">
    <cfRule type="cellIs" dxfId="4400" priority="1733" operator="lessThan">
      <formula>0</formula>
    </cfRule>
  </conditionalFormatting>
  <conditionalFormatting sqref="AQ15">
    <cfRule type="cellIs" dxfId="4399" priority="1732" operator="lessThan">
      <formula>0</formula>
    </cfRule>
  </conditionalFormatting>
  <conditionalFormatting sqref="AQ15">
    <cfRule type="cellIs" dxfId="4398" priority="1731" operator="lessThan">
      <formula>0</formula>
    </cfRule>
  </conditionalFormatting>
  <conditionalFormatting sqref="AQ15">
    <cfRule type="cellIs" dxfId="4397" priority="1730" operator="lessThan">
      <formula>0</formula>
    </cfRule>
  </conditionalFormatting>
  <conditionalFormatting sqref="AQ15">
    <cfRule type="cellIs" dxfId="4396" priority="1729" operator="lessThan">
      <formula>0</formula>
    </cfRule>
  </conditionalFormatting>
  <conditionalFormatting sqref="AQ15">
    <cfRule type="cellIs" dxfId="4395" priority="1728" operator="lessThan">
      <formula>0</formula>
    </cfRule>
  </conditionalFormatting>
  <conditionalFormatting sqref="AQ15">
    <cfRule type="cellIs" dxfId="4394" priority="1727" operator="lessThan">
      <formula>0</formula>
    </cfRule>
  </conditionalFormatting>
  <conditionalFormatting sqref="AQ15">
    <cfRule type="cellIs" dxfId="4393" priority="1726" operator="lessThan">
      <formula>0</formula>
    </cfRule>
  </conditionalFormatting>
  <conditionalFormatting sqref="AQ15">
    <cfRule type="cellIs" dxfId="4392" priority="1725" operator="lessThan">
      <formula>0</formula>
    </cfRule>
  </conditionalFormatting>
  <conditionalFormatting sqref="AQ15">
    <cfRule type="cellIs" dxfId="4391" priority="1724" operator="lessThan">
      <formula>0</formula>
    </cfRule>
  </conditionalFormatting>
  <conditionalFormatting sqref="AQ15">
    <cfRule type="cellIs" dxfId="4390" priority="1723" operator="lessThan">
      <formula>0</formula>
    </cfRule>
  </conditionalFormatting>
  <conditionalFormatting sqref="AQ15">
    <cfRule type="cellIs" dxfId="4389" priority="1722" operator="lessThan">
      <formula>0</formula>
    </cfRule>
  </conditionalFormatting>
  <conditionalFormatting sqref="AQ15">
    <cfRule type="cellIs" dxfId="4388" priority="1721" operator="lessThan">
      <formula>0</formula>
    </cfRule>
  </conditionalFormatting>
  <conditionalFormatting sqref="AQ15">
    <cfRule type="cellIs" dxfId="4387" priority="1720" operator="lessThan">
      <formula>0</formula>
    </cfRule>
  </conditionalFormatting>
  <conditionalFormatting sqref="AQ15">
    <cfRule type="cellIs" dxfId="4386" priority="1719" operator="lessThan">
      <formula>0</formula>
    </cfRule>
  </conditionalFormatting>
  <conditionalFormatting sqref="AQ15">
    <cfRule type="cellIs" dxfId="4385" priority="1718" operator="lessThan">
      <formula>0</formula>
    </cfRule>
  </conditionalFormatting>
  <conditionalFormatting sqref="AQ15">
    <cfRule type="cellIs" dxfId="4384" priority="1717" operator="lessThan">
      <formula>0</formula>
    </cfRule>
  </conditionalFormatting>
  <conditionalFormatting sqref="AQ15">
    <cfRule type="cellIs" dxfId="4383" priority="1716" operator="lessThan">
      <formula>0</formula>
    </cfRule>
  </conditionalFormatting>
  <conditionalFormatting sqref="AQ15">
    <cfRule type="cellIs" dxfId="4382" priority="1715" operator="lessThan">
      <formula>0</formula>
    </cfRule>
  </conditionalFormatting>
  <conditionalFormatting sqref="AQ15">
    <cfRule type="cellIs" dxfId="4381" priority="1714" operator="lessThan">
      <formula>0</formula>
    </cfRule>
  </conditionalFormatting>
  <conditionalFormatting sqref="AQ15">
    <cfRule type="cellIs" dxfId="4380" priority="1713" operator="lessThan">
      <formula>0</formula>
    </cfRule>
  </conditionalFormatting>
  <conditionalFormatting sqref="AQ15">
    <cfRule type="cellIs" dxfId="4379" priority="1712" operator="lessThan">
      <formula>0</formula>
    </cfRule>
  </conditionalFormatting>
  <conditionalFormatting sqref="AQ15">
    <cfRule type="cellIs" dxfId="4378" priority="1696" operator="lessThan">
      <formula>0</formula>
    </cfRule>
  </conditionalFormatting>
  <conditionalFormatting sqref="AQ15">
    <cfRule type="cellIs" dxfId="4377" priority="1711" operator="lessThan">
      <formula>0</formula>
    </cfRule>
  </conditionalFormatting>
  <conditionalFormatting sqref="AQ15">
    <cfRule type="cellIs" dxfId="4376" priority="1710" operator="lessThan">
      <formula>0</formula>
    </cfRule>
  </conditionalFormatting>
  <conditionalFormatting sqref="AQ15">
    <cfRule type="cellIs" dxfId="4375" priority="1709" operator="lessThan">
      <formula>0</formula>
    </cfRule>
  </conditionalFormatting>
  <conditionalFormatting sqref="AQ15">
    <cfRule type="cellIs" dxfId="4374" priority="1708" operator="lessThan">
      <formula>0</formula>
    </cfRule>
  </conditionalFormatting>
  <conditionalFormatting sqref="AQ15">
    <cfRule type="cellIs" dxfId="4373" priority="1707" operator="lessThan">
      <formula>0</formula>
    </cfRule>
  </conditionalFormatting>
  <conditionalFormatting sqref="AQ15">
    <cfRule type="cellIs" dxfId="4372" priority="1706" operator="lessThan">
      <formula>0</formula>
    </cfRule>
  </conditionalFormatting>
  <conditionalFormatting sqref="AQ15">
    <cfRule type="cellIs" dxfId="4371" priority="1705" operator="lessThan">
      <formula>0</formula>
    </cfRule>
  </conditionalFormatting>
  <conditionalFormatting sqref="AQ15">
    <cfRule type="cellIs" dxfId="4370" priority="1704" operator="lessThan">
      <formula>0</formula>
    </cfRule>
  </conditionalFormatting>
  <conditionalFormatting sqref="AQ15">
    <cfRule type="cellIs" dxfId="4369" priority="1703" operator="lessThan">
      <formula>0</formula>
    </cfRule>
  </conditionalFormatting>
  <conditionalFormatting sqref="AQ15">
    <cfRule type="cellIs" dxfId="4368" priority="1702" operator="lessThan">
      <formula>0</formula>
    </cfRule>
  </conditionalFormatting>
  <conditionalFormatting sqref="AQ15">
    <cfRule type="cellIs" dxfId="4367" priority="1701" operator="lessThan">
      <formula>0</formula>
    </cfRule>
  </conditionalFormatting>
  <conditionalFormatting sqref="AQ15">
    <cfRule type="cellIs" dxfId="4366" priority="1700" operator="lessThan">
      <formula>0</formula>
    </cfRule>
  </conditionalFormatting>
  <conditionalFormatting sqref="AQ15">
    <cfRule type="cellIs" dxfId="4365" priority="1699" operator="lessThan">
      <formula>0</formula>
    </cfRule>
  </conditionalFormatting>
  <conditionalFormatting sqref="AQ15">
    <cfRule type="cellIs" dxfId="4364" priority="1698" operator="lessThan">
      <formula>0</formula>
    </cfRule>
  </conditionalFormatting>
  <conditionalFormatting sqref="AQ15">
    <cfRule type="cellIs" dxfId="4363" priority="1697" operator="lessThan">
      <formula>0</formula>
    </cfRule>
  </conditionalFormatting>
  <conditionalFormatting sqref="AQ22 AQ26 AQ30 AQ34 AQ42 AQ46 AQ54 AQ58 AQ62 AQ70 AQ78">
    <cfRule type="cellIs" dxfId="4362" priority="1695" operator="lessThan">
      <formula>0</formula>
    </cfRule>
  </conditionalFormatting>
  <conditionalFormatting sqref="AQ22 AQ26 AQ30 AQ34 AQ42 AQ46 AQ54 AQ58 AQ62 AQ70 AQ78">
    <cfRule type="cellIs" dxfId="4361" priority="1694" operator="lessThan">
      <formula>0</formula>
    </cfRule>
  </conditionalFormatting>
  <conditionalFormatting sqref="AQ24:AQ25 AQ28:AQ29 AQ32:AQ33 AQ36:AQ37 AQ44:AQ45 AQ48:AQ49 AQ56:AQ57 AQ60:AQ61 AQ64:AQ65 AQ72:AQ73 AQ80:AQ81">
    <cfRule type="cellIs" dxfId="4360" priority="1693" operator="lessThan">
      <formula>0</formula>
    </cfRule>
  </conditionalFormatting>
  <conditionalFormatting sqref="AQ24:AQ25 AQ28:AQ29 AQ32:AQ33 AQ36:AQ37 AQ44:AQ45 AQ48:AQ49 AQ56:AQ57 AQ60:AQ61 AQ64:AQ65 AQ72:AQ73 AQ80:AQ81">
    <cfRule type="cellIs" dxfId="4359" priority="1692" operator="lessThan">
      <formula>0</formula>
    </cfRule>
  </conditionalFormatting>
  <conditionalFormatting sqref="AQ24:AQ25 AQ28:AQ29 AQ32:AQ33 AQ36:AQ37 AQ44:AQ45 AQ48:AQ49 AQ56:AQ57 AQ60:AQ61 AQ64:AQ65 AQ72:AQ73 AQ80:AQ81">
    <cfRule type="cellIs" dxfId="4358" priority="1691" operator="lessThan">
      <formula>0</formula>
    </cfRule>
  </conditionalFormatting>
  <conditionalFormatting sqref="AQ24:AQ25 AQ28:AQ29 AQ32:AQ33 AQ36:AQ37 AQ44:AQ45 AQ48:AQ49 AQ56:AQ57 AQ60:AQ61 AQ64:AQ65 AQ72:AQ73 AQ80:AQ81">
    <cfRule type="cellIs" dxfId="4357" priority="1690" operator="lessThan">
      <formula>0</formula>
    </cfRule>
  </conditionalFormatting>
  <conditionalFormatting sqref="AQ24:AQ25 AQ28:AQ29 AQ32:AQ33 AQ36:AQ37 AQ44:AQ45 AQ48:AQ49 AQ56:AQ57 AQ60:AQ61 AQ64:AQ65 AQ72:AQ73 AQ80:AQ81">
    <cfRule type="cellIs" dxfId="4356" priority="1689" operator="lessThan">
      <formula>0</formula>
    </cfRule>
  </conditionalFormatting>
  <conditionalFormatting sqref="AQ24:AQ25 AQ28:AQ29 AQ32:AQ33 AQ36:AQ37 AQ44:AQ45 AQ48:AQ49 AQ56:AQ57 AQ60:AQ61 AQ64:AQ65 AQ72:AQ73 AQ80:AQ81">
    <cfRule type="cellIs" dxfId="4355" priority="1688" operator="lessThan">
      <formula>0</formula>
    </cfRule>
  </conditionalFormatting>
  <conditionalFormatting sqref="AQ24:AQ25 AQ28:AQ29 AQ32:AQ33 AQ36:AQ37 AQ44:AQ45 AQ48:AQ49 AQ56:AQ57 AQ60:AQ61 AQ64:AQ65 AQ72:AQ73 AQ80:AQ81">
    <cfRule type="cellIs" dxfId="4354" priority="1687" operator="lessThan">
      <formula>0</formula>
    </cfRule>
  </conditionalFormatting>
  <conditionalFormatting sqref="AQ24:AQ25 AQ28:AQ29 AQ32:AQ33 AQ36:AQ37 AQ44:AQ45 AQ48:AQ49 AQ56:AQ57 AQ60:AQ61 AQ64:AQ65 AQ72:AQ73 AQ80:AQ81">
    <cfRule type="cellIs" dxfId="4353" priority="1686" operator="lessThan">
      <formula>0</formula>
    </cfRule>
  </conditionalFormatting>
  <conditionalFormatting sqref="AQ22 AQ26 AQ30 AQ34 AQ42 AQ46 AQ54 AQ58 AQ62 AQ70 AQ78">
    <cfRule type="cellIs" dxfId="4352" priority="1685" operator="lessThan">
      <formula>0</formula>
    </cfRule>
  </conditionalFormatting>
  <conditionalFormatting sqref="AQ24:AQ26 AQ28:AQ30 AQ32:AQ34 AQ36:AQ37 AQ44:AQ46 AQ48:AQ49 AQ56:AQ58 AQ60:AQ62 AQ64:AQ65 AQ72:AQ73 AQ80:AQ81 AQ70 AQ78 AQ42">
    <cfRule type="cellIs" dxfId="4351" priority="1684" operator="lessThan">
      <formula>0</formula>
    </cfRule>
  </conditionalFormatting>
  <conditionalFormatting sqref="AQ24:AQ26 AQ28:AQ30 AQ32:AQ34 AQ36:AQ37 AQ44:AQ46 AQ48:AQ49 AQ56:AQ58 AQ60:AQ62 AQ64:AQ65 AQ72:AQ73 AQ80:AQ81 AQ70 AQ78 AQ42">
    <cfRule type="cellIs" dxfId="4350" priority="1683" operator="lessThan">
      <formula>0</formula>
    </cfRule>
  </conditionalFormatting>
  <conditionalFormatting sqref="AQ24:AQ26 AQ28:AQ30 AQ32:AQ34 AQ36:AQ37 AQ44:AQ46 AQ48:AQ49 AQ56:AQ58 AQ60:AQ62 AQ64:AQ65 AQ72:AQ73 AQ80:AQ81 AQ70 AQ78 AQ42">
    <cfRule type="cellIs" dxfId="4349" priority="1682" operator="lessThan">
      <formula>0</formula>
    </cfRule>
  </conditionalFormatting>
  <conditionalFormatting sqref="AQ24:AQ26 AQ28:AQ30 AQ32:AQ34 AQ36:AQ37 AQ44:AQ46 AQ48:AQ49 AQ56:AQ58 AQ60:AQ62 AQ64:AQ65 AQ72:AQ73 AQ80:AQ81 AQ70 AQ78 AQ42">
    <cfRule type="cellIs" dxfId="4348" priority="1681" operator="lessThan">
      <formula>0</formula>
    </cfRule>
  </conditionalFormatting>
  <conditionalFormatting sqref="AQ24:AQ25 AQ28:AQ29 AQ32:AQ33 AQ36:AQ37 AQ44:AQ45 AQ48:AQ49 AQ56:AQ57 AQ60:AQ61 AQ64:AQ65 AQ72:AQ73 AQ80:AQ81">
    <cfRule type="cellIs" dxfId="4347" priority="1680" operator="lessThan">
      <formula>0</formula>
    </cfRule>
  </conditionalFormatting>
  <conditionalFormatting sqref="AQ24:AQ25 AQ28:AQ29 AQ32:AQ33 AQ36:AQ37 AQ44:AQ45 AQ48:AQ49 AQ56:AQ57 AQ60:AQ61 AQ64:AQ65 AQ72:AQ73 AQ80:AQ81">
    <cfRule type="cellIs" dxfId="4346" priority="1679" operator="lessThan">
      <formula>0</formula>
    </cfRule>
  </conditionalFormatting>
  <conditionalFormatting sqref="AQ24:AQ25 AQ28:AQ29 AQ32:AQ33 AQ36:AQ37 AQ44:AQ45 AQ48:AQ49 AQ56:AQ57 AQ60:AQ61 AQ64:AQ65 AQ72:AQ73 AQ80:AQ81">
    <cfRule type="cellIs" dxfId="4345" priority="1678" operator="lessThan">
      <formula>0</formula>
    </cfRule>
  </conditionalFormatting>
  <conditionalFormatting sqref="AQ24:AQ25 AQ28:AQ29 AQ32:AQ33 AQ36:AQ37 AQ44:AQ45 AQ48:AQ49 AQ56:AQ57 AQ60:AQ61 AQ64:AQ65 AQ72:AQ73 AQ80:AQ81">
    <cfRule type="cellIs" dxfId="4344" priority="1677" operator="lessThan">
      <formula>0</formula>
    </cfRule>
  </conditionalFormatting>
  <conditionalFormatting sqref="AQ23 AQ35 AQ43 AQ59 AQ63 AQ71 AQ27 AQ31 AQ55 AQ79 AQ47">
    <cfRule type="cellIs" dxfId="4343" priority="1676" operator="lessThan">
      <formula>0</formula>
    </cfRule>
  </conditionalFormatting>
  <conditionalFormatting sqref="AQ23 AQ35 AQ43 AQ59 AQ63 AQ71 AQ27 AQ31 AQ55 AQ79 AQ47">
    <cfRule type="cellIs" dxfId="4342" priority="1675" operator="lessThan">
      <formula>0</formula>
    </cfRule>
  </conditionalFormatting>
  <conditionalFormatting sqref="AQ23 AQ35 AQ43 AQ59 AQ63 AQ71 AQ27 AQ31 AQ55 AQ79 AQ47">
    <cfRule type="cellIs" dxfId="4341" priority="1674" operator="lessThan">
      <formula>0</formula>
    </cfRule>
  </conditionalFormatting>
  <conditionalFormatting sqref="AQ23 AQ35 AQ43 AQ59 AQ63 AQ71 AQ27 AQ31 AQ55 AQ79 AQ47">
    <cfRule type="cellIs" dxfId="4340" priority="1673" operator="lessThan">
      <formula>0</formula>
    </cfRule>
  </conditionalFormatting>
  <conditionalFormatting sqref="AQ23 AQ35 AQ43 AQ59 AQ63 AQ71 AQ27 AQ31 AQ55 AQ79 AQ47">
    <cfRule type="cellIs" dxfId="4339" priority="1672" operator="lessThan">
      <formula>0</formula>
    </cfRule>
  </conditionalFormatting>
  <conditionalFormatting sqref="AQ23 AQ35 AQ43 AQ59 AQ63 AQ71 AQ27 AQ31 AQ55 AQ79 AQ47">
    <cfRule type="cellIs" dxfId="4338" priority="1671" operator="lessThan">
      <formula>0</formula>
    </cfRule>
  </conditionalFormatting>
  <conditionalFormatting sqref="AQ23 AQ35 AQ43 AQ59 AQ63 AQ71 AQ27 AQ31 AQ55 AQ79 AQ47">
    <cfRule type="cellIs" dxfId="4337" priority="1670" operator="lessThan">
      <formula>0</formula>
    </cfRule>
  </conditionalFormatting>
  <conditionalFormatting sqref="AQ23 AQ35 AQ43 AQ59 AQ63 AQ71 AQ27 AQ31 AQ55 AQ79 AQ47">
    <cfRule type="cellIs" dxfId="4336" priority="1669" operator="lessThan">
      <formula>0</formula>
    </cfRule>
  </conditionalFormatting>
  <conditionalFormatting sqref="AQ23 AQ35 AQ43 AQ59 AQ63 AQ71 AQ27 AQ31 AQ55 AQ79 AQ47">
    <cfRule type="cellIs" dxfId="4335" priority="1668" operator="lessThan">
      <formula>0</formula>
    </cfRule>
  </conditionalFormatting>
  <conditionalFormatting sqref="AQ23 AQ35 AQ43 AQ59 AQ63 AQ71 AQ27 AQ31 AQ55 AQ79 AQ47">
    <cfRule type="cellIs" dxfId="4334" priority="1667" operator="lessThan">
      <formula>0</formula>
    </cfRule>
  </conditionalFormatting>
  <conditionalFormatting sqref="AQ23 AQ35 AQ43 AQ59 AQ63 AQ71 AQ27 AQ31 AQ55 AQ79 AQ47">
    <cfRule type="cellIs" dxfId="4333" priority="1666" operator="lessThan">
      <formula>0</formula>
    </cfRule>
  </conditionalFormatting>
  <conditionalFormatting sqref="AQ23 AQ35 AQ43 AQ59 AQ63 AQ71 AQ27 AQ31 AQ55 AQ79 AQ47">
    <cfRule type="cellIs" dxfId="4332" priority="1665" operator="lessThan">
      <formula>0</formula>
    </cfRule>
  </conditionalFormatting>
  <conditionalFormatting sqref="AQ23 AQ35 AQ43 AQ59 AQ63 AQ71 AQ27 AQ31 AQ55 AQ79 AQ47">
    <cfRule type="cellIs" dxfId="4331" priority="1664" operator="lessThan">
      <formula>0</formula>
    </cfRule>
  </conditionalFormatting>
  <conditionalFormatting sqref="AQ23 AQ35 AQ43 AQ59 AQ63 AQ71 AQ27 AQ31 AQ55 AQ79 AQ47">
    <cfRule type="cellIs" dxfId="4330" priority="1663" operator="lessThan">
      <formula>0</formula>
    </cfRule>
  </conditionalFormatting>
  <conditionalFormatting sqref="AQ23 AQ35 AQ43 AQ59 AQ63 AQ71 AQ27 AQ31 AQ55 AQ79 AQ47">
    <cfRule type="cellIs" dxfId="4329" priority="1662" operator="lessThan">
      <formula>0</formula>
    </cfRule>
  </conditionalFormatting>
  <conditionalFormatting sqref="AQ23 AQ35 AQ43 AQ59 AQ63 AQ71 AQ27 AQ31 AQ55 AQ79 AQ47">
    <cfRule type="cellIs" dxfId="4328" priority="1661" operator="lessThan">
      <formula>0</formula>
    </cfRule>
  </conditionalFormatting>
  <conditionalFormatting sqref="AQ23 AQ35 AQ43 AQ59 AQ63 AQ71 AQ27 AQ31 AQ55 AQ79 AQ47">
    <cfRule type="cellIs" dxfId="4327" priority="1660" operator="lessThan">
      <formula>0</formula>
    </cfRule>
  </conditionalFormatting>
  <conditionalFormatting sqref="AQ23 AQ35 AQ43 AQ59 AQ63 AQ71 AQ27 AQ31 AQ55 AQ79 AQ47">
    <cfRule type="cellIs" dxfId="4326" priority="1659" operator="lessThan">
      <formula>0</formula>
    </cfRule>
  </conditionalFormatting>
  <conditionalFormatting sqref="AQ23 AQ35 AQ43 AQ59 AQ63 AQ71 AQ27 AQ31 AQ55 AQ79 AQ47">
    <cfRule type="cellIs" dxfId="4325" priority="1658" operator="lessThan">
      <formula>0</formula>
    </cfRule>
  </conditionalFormatting>
  <conditionalFormatting sqref="AQ23 AQ35 AQ43 AQ59 AQ63 AQ71 AQ27 AQ31 AQ55 AQ79 AQ47">
    <cfRule type="cellIs" dxfId="4324" priority="1657" operator="lessThan">
      <formula>0</formula>
    </cfRule>
  </conditionalFormatting>
  <conditionalFormatting sqref="AQ23 AQ35 AQ43 AQ59 AQ63 AQ71 AQ27 AQ31 AQ55 AQ79 AQ47">
    <cfRule type="cellIs" dxfId="4323" priority="1656" operator="lessThan">
      <formula>0</formula>
    </cfRule>
  </conditionalFormatting>
  <conditionalFormatting sqref="AQ23 AQ35 AQ43 AQ59 AQ63 AQ71 AQ27 AQ31 AQ55 AQ79 AQ47">
    <cfRule type="cellIs" dxfId="4322" priority="1655" operator="lessThan">
      <formula>0</formula>
    </cfRule>
  </conditionalFormatting>
  <conditionalFormatting sqref="AQ23 AQ35 AQ43 AQ59 AQ63 AQ71 AQ27 AQ31 AQ55 AQ79 AQ47">
    <cfRule type="cellIs" dxfId="4321" priority="1654" operator="lessThan">
      <formula>0</formula>
    </cfRule>
  </conditionalFormatting>
  <conditionalFormatting sqref="AQ23 AQ35 AQ43 AQ59 AQ63 AQ71 AQ27 AQ31 AQ55 AQ79 AQ47">
    <cfRule type="cellIs" dxfId="4320" priority="1653" operator="lessThan">
      <formula>0</formula>
    </cfRule>
  </conditionalFormatting>
  <conditionalFormatting sqref="AQ23 AQ35 AQ43 AQ59 AQ63 AQ71 AQ27 AQ31 AQ55 AQ79 AQ47">
    <cfRule type="cellIs" dxfId="4319" priority="1652" operator="lessThan">
      <formula>0</formula>
    </cfRule>
  </conditionalFormatting>
  <conditionalFormatting sqref="AQ23 AQ35 AQ43 AQ59 AQ63 AQ71 AQ27 AQ31 AQ55 AQ79 AQ47">
    <cfRule type="cellIs" dxfId="4318" priority="1651" operator="lessThan">
      <formula>0</formula>
    </cfRule>
  </conditionalFormatting>
  <conditionalFormatting sqref="AQ23 AQ35 AQ43 AQ59 AQ63 AQ71 AQ27 AQ31 AQ55 AQ79 AQ47">
    <cfRule type="cellIs" dxfId="4317" priority="1650" operator="lessThan">
      <formula>0</formula>
    </cfRule>
  </conditionalFormatting>
  <conditionalFormatting sqref="AQ23 AQ35 AQ43 AQ59 AQ63 AQ71 AQ27 AQ31 AQ55 AQ79 AQ47">
    <cfRule type="cellIs" dxfId="4316" priority="1649" operator="lessThan">
      <formula>0</formula>
    </cfRule>
  </conditionalFormatting>
  <conditionalFormatting sqref="AQ23 AQ35 AQ43 AQ59 AQ63 AQ71 AQ27 AQ31 AQ55 AQ79 AQ47">
    <cfRule type="cellIs" dxfId="4315" priority="1648" operator="lessThan">
      <formula>0</formula>
    </cfRule>
  </conditionalFormatting>
  <conditionalFormatting sqref="AQ23 AQ35 AQ43 AQ59 AQ63 AQ71 AQ27 AQ31 AQ55 AQ79 AQ47">
    <cfRule type="cellIs" dxfId="4314" priority="1647" operator="lessThan">
      <formula>0</formula>
    </cfRule>
  </conditionalFormatting>
  <conditionalFormatting sqref="AQ23 AQ35 AQ43 AQ59 AQ63 AQ71 AQ27 AQ31 AQ55 AQ79 AQ47">
    <cfRule type="cellIs" dxfId="4313" priority="1646" operator="lessThan">
      <formula>0</formula>
    </cfRule>
  </conditionalFormatting>
  <conditionalFormatting sqref="AQ23 AQ35 AQ43 AQ59 AQ63 AQ71 AQ27 AQ31 AQ55 AQ79 AQ47">
    <cfRule type="cellIs" dxfId="4312" priority="1645" operator="lessThan">
      <formula>0</formula>
    </cfRule>
  </conditionalFormatting>
  <conditionalFormatting sqref="AQ23 AQ35 AQ43 AQ59 AQ63 AQ71 AQ27 AQ31 AQ55 AQ79 AQ47">
    <cfRule type="cellIs" dxfId="4311" priority="1644" operator="lessThan">
      <formula>0</formula>
    </cfRule>
  </conditionalFormatting>
  <conditionalFormatting sqref="AQ23 AQ35 AQ43 AQ59 AQ63 AQ71 AQ27 AQ31 AQ55 AQ79 AQ47">
    <cfRule type="cellIs" dxfId="4310" priority="1643" operator="lessThan">
      <formula>0</formula>
    </cfRule>
  </conditionalFormatting>
  <conditionalFormatting sqref="AQ23 AQ35 AQ43 AQ59 AQ63 AQ71 AQ27 AQ31 AQ55 AQ79 AQ47">
    <cfRule type="cellIs" dxfId="4309" priority="1642" operator="lessThan">
      <formula>0</formula>
    </cfRule>
  </conditionalFormatting>
  <conditionalFormatting sqref="AQ23 AQ35 AQ43 AQ59 AQ63 AQ71 AQ27 AQ31 AQ55 AQ79 AQ47">
    <cfRule type="cellIs" dxfId="4308" priority="1641" operator="lessThan">
      <formula>0</formula>
    </cfRule>
  </conditionalFormatting>
  <conditionalFormatting sqref="AQ23 AQ35 AQ43 AQ59 AQ63 AQ71 AQ27 AQ31 AQ55 AQ79 AQ47">
    <cfRule type="cellIs" dxfId="4307" priority="1640" operator="lessThan">
      <formula>0</formula>
    </cfRule>
  </conditionalFormatting>
  <conditionalFormatting sqref="AQ23 AQ35 AQ43 AQ59 AQ63 AQ71 AQ27 AQ31 AQ55 AQ79 AQ47">
    <cfRule type="cellIs" dxfId="4306" priority="1639" operator="lessThan">
      <formula>0</formula>
    </cfRule>
  </conditionalFormatting>
  <conditionalFormatting sqref="AQ23 AQ35 AQ43 AQ59 AQ63 AQ71 AQ27 AQ31 AQ55 AQ79 AQ47">
    <cfRule type="cellIs" dxfId="4305" priority="1638" operator="lessThan">
      <formula>0</formula>
    </cfRule>
  </conditionalFormatting>
  <conditionalFormatting sqref="AQ23 AQ35 AQ43 AQ59 AQ63 AQ71 AQ27 AQ31 AQ55 AQ79 AQ47">
    <cfRule type="cellIs" dxfId="4304" priority="1637" operator="lessThan">
      <formula>0</formula>
    </cfRule>
  </conditionalFormatting>
  <conditionalFormatting sqref="AQ23 AQ35 AQ43 AQ59 AQ63 AQ71 AQ27 AQ31 AQ55 AQ79 AQ47">
    <cfRule type="cellIs" dxfId="4303" priority="1636" operator="lessThan">
      <formula>0</formula>
    </cfRule>
  </conditionalFormatting>
  <conditionalFormatting sqref="AQ23 AQ35 AQ43 AQ59 AQ63 AQ71 AQ27 AQ31 AQ55 AQ79 AQ47">
    <cfRule type="cellIs" dxfId="4302" priority="1635" operator="lessThan">
      <formula>0</formula>
    </cfRule>
  </conditionalFormatting>
  <conditionalFormatting sqref="AQ23 AQ35 AQ43 AQ59 AQ63 AQ71 AQ27 AQ31 AQ55 AQ79 AQ47">
    <cfRule type="cellIs" dxfId="4301" priority="1634" operator="lessThan">
      <formula>0</formula>
    </cfRule>
  </conditionalFormatting>
  <conditionalFormatting sqref="AQ23 AQ35 AQ43 AQ59 AQ63 AQ71 AQ27 AQ31 AQ55 AQ79 AQ47">
    <cfRule type="cellIs" dxfId="4300" priority="1633" operator="lessThan">
      <formula>0</formula>
    </cfRule>
  </conditionalFormatting>
  <conditionalFormatting sqref="AQ23 AQ35 AQ43 AQ59 AQ63 AQ71 AQ27 AQ31 AQ55 AQ79 AQ47">
    <cfRule type="cellIs" dxfId="4299" priority="1632" operator="lessThan">
      <formula>0</formula>
    </cfRule>
  </conditionalFormatting>
  <conditionalFormatting sqref="AQ23 AQ35 AQ43 AQ59 AQ63 AQ71 AQ27 AQ31 AQ55 AQ79 AQ47">
    <cfRule type="cellIs" dxfId="4298" priority="1631" operator="lessThan">
      <formula>0</formula>
    </cfRule>
  </conditionalFormatting>
  <conditionalFormatting sqref="AQ23 AQ35 AQ43 AQ59 AQ63 AQ71 AQ27 AQ31 AQ55 AQ79 AQ47">
    <cfRule type="cellIs" dxfId="4297" priority="1630" operator="lessThan">
      <formula>0</formula>
    </cfRule>
  </conditionalFormatting>
  <conditionalFormatting sqref="AQ23 AQ35 AQ43 AQ59 AQ63 AQ71 AQ27 AQ31 AQ55 AQ79 AQ47">
    <cfRule type="cellIs" dxfId="4296" priority="1629" operator="lessThan">
      <formula>0</formula>
    </cfRule>
  </conditionalFormatting>
  <conditionalFormatting sqref="AQ23 AQ35 AQ43 AQ59 AQ63 AQ71 AQ27 AQ31 AQ55 AQ79 AQ47">
    <cfRule type="cellIs" dxfId="4295" priority="1628" operator="lessThan">
      <formula>0</formula>
    </cfRule>
  </conditionalFormatting>
  <conditionalFormatting sqref="AQ23 AQ35 AQ43 AQ59 AQ63 AQ71 AQ27 AQ31 AQ55 AQ79 AQ47">
    <cfRule type="cellIs" dxfId="4294" priority="1627" operator="lessThan">
      <formula>0</formula>
    </cfRule>
  </conditionalFormatting>
  <conditionalFormatting sqref="AQ23 AQ35 AQ43 AQ59 AQ63 AQ71 AQ27 AQ31 AQ55 AQ79 AQ47">
    <cfRule type="cellIs" dxfId="4293" priority="1626" operator="lessThan">
      <formula>0</formula>
    </cfRule>
  </conditionalFormatting>
  <conditionalFormatting sqref="AQ23 AQ35 AQ43 AQ59 AQ63 AQ71 AQ27 AQ31 AQ55 AQ79 AQ47">
    <cfRule type="cellIs" dxfId="4292" priority="1625" operator="lessThan">
      <formula>0</formula>
    </cfRule>
  </conditionalFormatting>
  <conditionalFormatting sqref="AQ23 AQ35 AQ43 AQ59 AQ63 AQ71 AQ27 AQ31 AQ55 AQ79 AQ47">
    <cfRule type="cellIs" dxfId="4291" priority="1624" operator="lessThan">
      <formula>0</formula>
    </cfRule>
  </conditionalFormatting>
  <conditionalFormatting sqref="AQ23 AQ35 AQ43 AQ59 AQ63 AQ71 AQ27 AQ31 AQ55 AQ79 AQ47">
    <cfRule type="cellIs" dxfId="4290" priority="1623" operator="lessThan">
      <formula>0</formula>
    </cfRule>
  </conditionalFormatting>
  <conditionalFormatting sqref="AQ23 AQ35 AQ43 AQ59 AQ63 AQ71 AQ27 AQ31 AQ55 AQ79 AQ47">
    <cfRule type="cellIs" dxfId="4289" priority="1622" operator="lessThan">
      <formula>0</formula>
    </cfRule>
  </conditionalFormatting>
  <conditionalFormatting sqref="AQ23 AQ35 AQ43 AQ59 AQ63 AQ71 AQ27 AQ31 AQ55 AQ79 AQ47">
    <cfRule type="cellIs" dxfId="4288" priority="1621" operator="lessThan">
      <formula>0</formula>
    </cfRule>
  </conditionalFormatting>
  <conditionalFormatting sqref="AQ23 AQ35 AQ43 AQ59 AQ63 AQ71 AQ27 AQ31 AQ55 AQ79 AQ47">
    <cfRule type="cellIs" dxfId="4287" priority="1620" operator="lessThan">
      <formula>0</formula>
    </cfRule>
  </conditionalFormatting>
  <conditionalFormatting sqref="AQ23 AQ35 AQ43 AQ59 AQ63 AQ71 AQ27 AQ31 AQ55 AQ79 AQ47">
    <cfRule type="cellIs" dxfId="4286" priority="1619" operator="lessThan">
      <formula>0</formula>
    </cfRule>
  </conditionalFormatting>
  <conditionalFormatting sqref="AQ23 AQ35 AQ43 AQ59 AQ63 AQ71 AQ27 AQ31 AQ55 AQ79 AQ47">
    <cfRule type="cellIs" dxfId="4285" priority="1618" operator="lessThan">
      <formula>0</formula>
    </cfRule>
  </conditionalFormatting>
  <conditionalFormatting sqref="AQ23 AQ35 AQ43 AQ59 AQ63 AQ71 AQ27 AQ31 AQ55 AQ79 AQ47">
    <cfRule type="cellIs" dxfId="4284" priority="1617" operator="lessThan">
      <formula>0</formula>
    </cfRule>
  </conditionalFormatting>
  <conditionalFormatting sqref="AQ23 AQ35 AQ43 AQ59 AQ63 AQ71 AQ27 AQ31 AQ55 AQ79 AQ47">
    <cfRule type="cellIs" dxfId="4283" priority="1616" operator="lessThan">
      <formula>0</formula>
    </cfRule>
  </conditionalFormatting>
  <conditionalFormatting sqref="AQ23 AQ35 AQ43 AQ59 AQ63 AQ71 AQ27 AQ31 AQ55 AQ79 AQ47">
    <cfRule type="cellIs" dxfId="4282" priority="1615" operator="lessThan">
      <formula>0</formula>
    </cfRule>
  </conditionalFormatting>
  <conditionalFormatting sqref="AQ23 AQ35 AQ43 AQ59 AQ63 AQ71 AQ27 AQ31 AQ55 AQ79 AQ47">
    <cfRule type="cellIs" dxfId="4281" priority="1614" operator="lessThan">
      <formula>0</formula>
    </cfRule>
  </conditionalFormatting>
  <conditionalFormatting sqref="AQ23 AQ35 AQ43 AQ59 AQ63 AQ71 AQ27 AQ31 AQ55 AQ79 AQ47">
    <cfRule type="cellIs" dxfId="4280" priority="1613" operator="lessThan">
      <formula>0</formula>
    </cfRule>
  </conditionalFormatting>
  <conditionalFormatting sqref="AQ23 AQ35 AQ43 AQ59 AQ63 AQ71 AQ27 AQ31 AQ55 AQ79 AQ47">
    <cfRule type="cellIs" dxfId="4279" priority="1612" operator="lessThan">
      <formula>0</formula>
    </cfRule>
  </conditionalFormatting>
  <conditionalFormatting sqref="AQ23 AQ35 AQ43 AQ59 AQ63 AQ71 AQ27 AQ31 AQ55 AQ79 AQ47">
    <cfRule type="cellIs" dxfId="4278" priority="1611" operator="lessThan">
      <formula>0</formula>
    </cfRule>
  </conditionalFormatting>
  <conditionalFormatting sqref="AQ23 AQ35 AQ43 AQ59 AQ63 AQ71 AQ27 AQ31 AQ55 AQ79 AQ47">
    <cfRule type="cellIs" dxfId="4277" priority="1610" operator="lessThan">
      <formula>0</formula>
    </cfRule>
  </conditionalFormatting>
  <conditionalFormatting sqref="AQ23 AQ35 AQ43 AQ59 AQ63 AQ71 AQ27 AQ31 AQ55 AQ79 AQ47">
    <cfRule type="cellIs" dxfId="4276" priority="1609" operator="lessThan">
      <formula>0</formula>
    </cfRule>
  </conditionalFormatting>
  <conditionalFormatting sqref="AQ23 AQ35 AQ43 AQ59 AQ63 AQ71 AQ27 AQ31 AQ55 AQ79 AQ47">
    <cfRule type="cellIs" dxfId="4275" priority="1608" operator="lessThan">
      <formula>0</formula>
    </cfRule>
  </conditionalFormatting>
  <conditionalFormatting sqref="AQ23 AQ35 AQ43 AQ59 AQ63 AQ71 AQ27 AQ31 AQ55 AQ79 AQ47">
    <cfRule type="cellIs" dxfId="4274" priority="1607" operator="lessThan">
      <formula>0</formula>
    </cfRule>
  </conditionalFormatting>
  <conditionalFormatting sqref="AQ23 AQ35 AQ43 AQ59 AQ63 AQ71 AQ27 AQ31 AQ55 AQ79 AQ47">
    <cfRule type="cellIs" dxfId="4273" priority="1606" operator="lessThan">
      <formula>0</formula>
    </cfRule>
  </conditionalFormatting>
  <conditionalFormatting sqref="AQ23 AQ35 AQ43 AQ59 AQ63 AQ71 AQ27 AQ31 AQ55 AQ79 AQ47">
    <cfRule type="cellIs" dxfId="4272" priority="1605" operator="lessThan">
      <formula>0</formula>
    </cfRule>
  </conditionalFormatting>
  <conditionalFormatting sqref="AQ23 AQ35 AQ43 AQ59 AQ63 AQ71 AQ27 AQ31 AQ55 AQ79 AQ47">
    <cfRule type="cellIs" dxfId="4271" priority="1604" operator="lessThan">
      <formula>0</formula>
    </cfRule>
  </conditionalFormatting>
  <conditionalFormatting sqref="AQ23 AQ35 AQ43 AQ59 AQ63 AQ71 AQ27 AQ31 AQ55 AQ79 AQ47">
    <cfRule type="cellIs" dxfId="4270" priority="1603" operator="lessThan">
      <formula>0</formula>
    </cfRule>
  </conditionalFormatting>
  <conditionalFormatting sqref="AQ23 AQ35 AQ43 AQ59 AQ63 AQ71 AQ27 AQ31 AQ55 AQ79 AQ47">
    <cfRule type="cellIs" dxfId="4269" priority="1602" operator="lessThan">
      <formula>0</formula>
    </cfRule>
  </conditionalFormatting>
  <conditionalFormatting sqref="AQ23 AQ35 AQ43 AQ59 AQ63 AQ71 AQ27 AQ31 AQ55 AQ79 AQ47">
    <cfRule type="cellIs" dxfId="4268" priority="1601" operator="lessThan">
      <formula>0</formula>
    </cfRule>
  </conditionalFormatting>
  <conditionalFormatting sqref="AQ23 AQ35 AQ43 AQ59 AQ63 AQ71 AQ27 AQ31 AQ55 AQ79 AQ47">
    <cfRule type="cellIs" dxfId="4267" priority="1600" operator="lessThan">
      <formula>0</formula>
    </cfRule>
  </conditionalFormatting>
  <conditionalFormatting sqref="AQ23 AQ35 AQ43 AQ59 AQ63 AQ71 AQ27 AQ31 AQ55 AQ79 AQ47">
    <cfRule type="cellIs" dxfId="4266" priority="1599" operator="lessThan">
      <formula>0</formula>
    </cfRule>
  </conditionalFormatting>
  <conditionalFormatting sqref="AQ23 AQ35 AQ43 AQ59 AQ63 AQ71 AQ27 AQ31 AQ55 AQ79 AQ47">
    <cfRule type="cellIs" dxfId="4265" priority="1598" operator="lessThan">
      <formula>0</formula>
    </cfRule>
  </conditionalFormatting>
  <conditionalFormatting sqref="AQ23 AQ35 AQ43 AQ59 AQ63 AQ71 AQ27 AQ31 AQ55 AQ79 AQ47">
    <cfRule type="cellIs" dxfId="4264" priority="1597" operator="lessThan">
      <formula>0</formula>
    </cfRule>
  </conditionalFormatting>
  <conditionalFormatting sqref="AQ23 AQ35 AQ43 AQ59 AQ63 AQ71 AQ27 AQ31 AQ55 AQ79 AQ47">
    <cfRule type="cellIs" dxfId="4263" priority="1581" operator="lessThan">
      <formula>0</formula>
    </cfRule>
  </conditionalFormatting>
  <conditionalFormatting sqref="AQ23 AQ35 AQ43 AQ59 AQ63 AQ71 AQ27 AQ31 AQ55 AQ79 AQ47">
    <cfRule type="cellIs" dxfId="4262" priority="1596" operator="lessThan">
      <formula>0</formula>
    </cfRule>
  </conditionalFormatting>
  <conditionalFormatting sqref="AQ23 AQ35 AQ43 AQ59 AQ63 AQ71 AQ27 AQ31 AQ55 AQ79 AQ47">
    <cfRule type="cellIs" dxfId="4261" priority="1595" operator="lessThan">
      <formula>0</formula>
    </cfRule>
  </conditionalFormatting>
  <conditionalFormatting sqref="AQ23 AQ35 AQ43 AQ59 AQ63 AQ71 AQ27 AQ31 AQ55 AQ79 AQ47">
    <cfRule type="cellIs" dxfId="4260" priority="1594" operator="lessThan">
      <formula>0</formula>
    </cfRule>
  </conditionalFormatting>
  <conditionalFormatting sqref="AQ23 AQ35 AQ43 AQ59 AQ63 AQ71 AQ27 AQ31 AQ55 AQ79 AQ47">
    <cfRule type="cellIs" dxfId="4259" priority="1593" operator="lessThan">
      <formula>0</formula>
    </cfRule>
  </conditionalFormatting>
  <conditionalFormatting sqref="AQ23 AQ35 AQ43 AQ59 AQ63 AQ71 AQ27 AQ31 AQ55 AQ79 AQ47">
    <cfRule type="cellIs" dxfId="4258" priority="1592" operator="lessThan">
      <formula>0</formula>
    </cfRule>
  </conditionalFormatting>
  <conditionalFormatting sqref="AQ23 AQ35 AQ43 AQ59 AQ63 AQ71 AQ27 AQ31 AQ55 AQ79 AQ47">
    <cfRule type="cellIs" dxfId="4257" priority="1591" operator="lessThan">
      <formula>0</formula>
    </cfRule>
  </conditionalFormatting>
  <conditionalFormatting sqref="AQ23 AQ35 AQ43 AQ59 AQ63 AQ71 AQ27 AQ31 AQ55 AQ79 AQ47">
    <cfRule type="cellIs" dxfId="4256" priority="1590" operator="lessThan">
      <formula>0</formula>
    </cfRule>
  </conditionalFormatting>
  <conditionalFormatting sqref="AQ23 AQ35 AQ43 AQ59 AQ63 AQ71 AQ27 AQ31 AQ55 AQ79 AQ47">
    <cfRule type="cellIs" dxfId="4255" priority="1589" operator="lessThan">
      <formula>0</formula>
    </cfRule>
  </conditionalFormatting>
  <conditionalFormatting sqref="AQ23 AQ35 AQ43 AQ59 AQ63 AQ71 AQ27 AQ31 AQ55 AQ79 AQ47">
    <cfRule type="cellIs" dxfId="4254" priority="1588" operator="lessThan">
      <formula>0</formula>
    </cfRule>
  </conditionalFormatting>
  <conditionalFormatting sqref="AQ23 AQ35 AQ43 AQ59 AQ63 AQ71 AQ27 AQ31 AQ55 AQ79 AQ47">
    <cfRule type="cellIs" dxfId="4253" priority="1587" operator="lessThan">
      <formula>0</formula>
    </cfRule>
  </conditionalFormatting>
  <conditionalFormatting sqref="AQ23 AQ35 AQ43 AQ59 AQ63 AQ71 AQ27 AQ31 AQ55 AQ79 AQ47">
    <cfRule type="cellIs" dxfId="4252" priority="1586" operator="lessThan">
      <formula>0</formula>
    </cfRule>
  </conditionalFormatting>
  <conditionalFormatting sqref="AQ23 AQ35 AQ43 AQ59 AQ63 AQ71 AQ27 AQ31 AQ55 AQ79 AQ47">
    <cfRule type="cellIs" dxfId="4251" priority="1585" operator="lessThan">
      <formula>0</formula>
    </cfRule>
  </conditionalFormatting>
  <conditionalFormatting sqref="AQ23 AQ35 AQ43 AQ59 AQ63 AQ71 AQ27 AQ31 AQ55 AQ79 AQ47">
    <cfRule type="cellIs" dxfId="4250" priority="1584" operator="lessThan">
      <formula>0</formula>
    </cfRule>
  </conditionalFormatting>
  <conditionalFormatting sqref="AQ23 AQ35 AQ43 AQ59 AQ63 AQ71 AQ27 AQ31 AQ55 AQ79 AQ47">
    <cfRule type="cellIs" dxfId="4249" priority="1583" operator="lessThan">
      <formula>0</formula>
    </cfRule>
  </conditionalFormatting>
  <conditionalFormatting sqref="AQ23 AQ35 AQ43 AQ59 AQ63 AQ71 AQ27 AQ31 AQ55 AQ79 AQ47">
    <cfRule type="cellIs" dxfId="4248" priority="1582" operator="lessThan">
      <formula>0</formula>
    </cfRule>
  </conditionalFormatting>
  <conditionalFormatting sqref="AQ18">
    <cfRule type="cellIs" dxfId="4247" priority="1579" operator="lessThan">
      <formula>0</formula>
    </cfRule>
  </conditionalFormatting>
  <conditionalFormatting sqref="AM18:AM21">
    <cfRule type="cellIs" dxfId="4246" priority="1577" operator="notEqual">
      <formula>0</formula>
    </cfRule>
  </conditionalFormatting>
  <conditionalFormatting sqref="I20">
    <cfRule type="cellIs" dxfId="4245" priority="1576" operator="greaterThan">
      <formula>0</formula>
    </cfRule>
  </conditionalFormatting>
  <conditionalFormatting sqref="Y20">
    <cfRule type="cellIs" dxfId="4244" priority="1575" operator="lessThan">
      <formula>0</formula>
    </cfRule>
  </conditionalFormatting>
  <conditionalFormatting sqref="Y18:Y20">
    <cfRule type="cellIs" dxfId="4243" priority="1574" operator="lessThan">
      <formula>0</formula>
    </cfRule>
  </conditionalFormatting>
  <conditionalFormatting sqref="Y21">
    <cfRule type="cellIs" dxfId="4242" priority="1573" operator="lessThan">
      <formula>0</formula>
    </cfRule>
  </conditionalFormatting>
  <conditionalFormatting sqref="Y19">
    <cfRule type="iconSet" priority="1580">
      <iconSet>
        <cfvo type="percent" val="0"/>
        <cfvo type="percent" val="&quot;$I$6&quot;"/>
        <cfvo type="percent" val="#REF!"/>
      </iconSet>
    </cfRule>
  </conditionalFormatting>
  <conditionalFormatting sqref="AQ18">
    <cfRule type="cellIs" dxfId="4241" priority="1572" operator="lessThan">
      <formula>0</formula>
    </cfRule>
  </conditionalFormatting>
  <conditionalFormatting sqref="AQ18">
    <cfRule type="cellIs" dxfId="4240" priority="1571" operator="lessThan">
      <formula>0</formula>
    </cfRule>
  </conditionalFormatting>
  <conditionalFormatting sqref="AQ20:AQ21">
    <cfRule type="cellIs" dxfId="4239" priority="1570" operator="lessThan">
      <formula>0</formula>
    </cfRule>
  </conditionalFormatting>
  <conditionalFormatting sqref="AQ20:AQ21">
    <cfRule type="cellIs" dxfId="4238" priority="1569" operator="lessThan">
      <formula>0</formula>
    </cfRule>
  </conditionalFormatting>
  <conditionalFormatting sqref="AQ20:AQ21">
    <cfRule type="cellIs" dxfId="4237" priority="1568" operator="lessThan">
      <formula>0</formula>
    </cfRule>
  </conditionalFormatting>
  <conditionalFormatting sqref="AQ20:AQ21">
    <cfRule type="cellIs" dxfId="4236" priority="1567" operator="lessThan">
      <formula>0</formula>
    </cfRule>
  </conditionalFormatting>
  <conditionalFormatting sqref="AQ20:AQ21">
    <cfRule type="cellIs" dxfId="4235" priority="1566" operator="lessThan">
      <formula>0</formula>
    </cfRule>
  </conditionalFormatting>
  <conditionalFormatting sqref="AQ20:AQ21">
    <cfRule type="cellIs" dxfId="4234" priority="1565" operator="lessThan">
      <formula>0</formula>
    </cfRule>
  </conditionalFormatting>
  <conditionalFormatting sqref="AQ20:AQ21">
    <cfRule type="cellIs" dxfId="4233" priority="1564" operator="lessThan">
      <formula>0</formula>
    </cfRule>
  </conditionalFormatting>
  <conditionalFormatting sqref="AQ20:AQ21">
    <cfRule type="cellIs" dxfId="4232" priority="1563" operator="lessThan">
      <formula>0</formula>
    </cfRule>
  </conditionalFormatting>
  <conditionalFormatting sqref="AQ18">
    <cfRule type="cellIs" dxfId="4231" priority="1562" operator="lessThan">
      <formula>0</formula>
    </cfRule>
  </conditionalFormatting>
  <conditionalFormatting sqref="AQ20:AQ21">
    <cfRule type="cellIs" dxfId="4230" priority="1561" operator="lessThan">
      <formula>0</formula>
    </cfRule>
  </conditionalFormatting>
  <conditionalFormatting sqref="AQ20:AQ21">
    <cfRule type="cellIs" dxfId="4229" priority="1560" operator="lessThan">
      <formula>0</formula>
    </cfRule>
  </conditionalFormatting>
  <conditionalFormatting sqref="AQ20:AQ21">
    <cfRule type="cellIs" dxfId="4228" priority="1559" operator="lessThan">
      <formula>0</formula>
    </cfRule>
  </conditionalFormatting>
  <conditionalFormatting sqref="AQ20:AQ21">
    <cfRule type="cellIs" dxfId="4227" priority="1558" operator="lessThan">
      <formula>0</formula>
    </cfRule>
  </conditionalFormatting>
  <conditionalFormatting sqref="AQ20:AQ21">
    <cfRule type="cellIs" dxfId="4226" priority="1557" operator="lessThan">
      <formula>0</formula>
    </cfRule>
  </conditionalFormatting>
  <conditionalFormatting sqref="AQ20:AQ21">
    <cfRule type="cellIs" dxfId="4225" priority="1556" operator="lessThan">
      <formula>0</formula>
    </cfRule>
  </conditionalFormatting>
  <conditionalFormatting sqref="AQ20:AQ21">
    <cfRule type="cellIs" dxfId="4224" priority="1555" operator="lessThan">
      <formula>0</formula>
    </cfRule>
  </conditionalFormatting>
  <conditionalFormatting sqref="AQ20:AQ21">
    <cfRule type="cellIs" dxfId="4223" priority="1554" operator="lessThan">
      <formula>0</formula>
    </cfRule>
  </conditionalFormatting>
  <conditionalFormatting sqref="AQ19">
    <cfRule type="cellIs" dxfId="4222" priority="1553" operator="lessThan">
      <formula>0</formula>
    </cfRule>
  </conditionalFormatting>
  <conditionalFormatting sqref="AQ19">
    <cfRule type="cellIs" dxfId="4221" priority="1552" operator="lessThan">
      <formula>0</formula>
    </cfRule>
  </conditionalFormatting>
  <conditionalFormatting sqref="AQ19">
    <cfRule type="cellIs" dxfId="4220" priority="1551" operator="lessThan">
      <formula>0</formula>
    </cfRule>
  </conditionalFormatting>
  <conditionalFormatting sqref="AQ19">
    <cfRule type="cellIs" dxfId="4219" priority="1550" operator="lessThan">
      <formula>0</formula>
    </cfRule>
  </conditionalFormatting>
  <conditionalFormatting sqref="AQ19">
    <cfRule type="cellIs" dxfId="4218" priority="1549" operator="lessThan">
      <formula>0</formula>
    </cfRule>
  </conditionalFormatting>
  <conditionalFormatting sqref="AQ19">
    <cfRule type="cellIs" dxfId="4217" priority="1548" operator="lessThan">
      <formula>0</formula>
    </cfRule>
  </conditionalFormatting>
  <conditionalFormatting sqref="AQ19">
    <cfRule type="cellIs" dxfId="4216" priority="1547" operator="lessThan">
      <formula>0</formula>
    </cfRule>
  </conditionalFormatting>
  <conditionalFormatting sqref="AQ19">
    <cfRule type="cellIs" dxfId="4215" priority="1546" operator="lessThan">
      <formula>0</formula>
    </cfRule>
  </conditionalFormatting>
  <conditionalFormatting sqref="AQ19">
    <cfRule type="cellIs" dxfId="4214" priority="1545" operator="lessThan">
      <formula>0</formula>
    </cfRule>
  </conditionalFormatting>
  <conditionalFormatting sqref="AQ19">
    <cfRule type="cellIs" dxfId="4213" priority="1544" operator="lessThan">
      <formula>0</formula>
    </cfRule>
  </conditionalFormatting>
  <conditionalFormatting sqref="AQ19">
    <cfRule type="cellIs" dxfId="4212" priority="1543" operator="lessThan">
      <formula>0</formula>
    </cfRule>
  </conditionalFormatting>
  <conditionalFormatting sqref="AQ19">
    <cfRule type="cellIs" dxfId="4211" priority="1542" operator="lessThan">
      <formula>0</formula>
    </cfRule>
  </conditionalFormatting>
  <conditionalFormatting sqref="AQ19">
    <cfRule type="cellIs" dxfId="4210" priority="1541" operator="lessThan">
      <formula>0</formula>
    </cfRule>
  </conditionalFormatting>
  <conditionalFormatting sqref="AQ19">
    <cfRule type="cellIs" dxfId="4209" priority="1540" operator="lessThan">
      <formula>0</formula>
    </cfRule>
  </conditionalFormatting>
  <conditionalFormatting sqref="AQ19">
    <cfRule type="cellIs" dxfId="4208" priority="1539" operator="lessThan">
      <formula>0</formula>
    </cfRule>
  </conditionalFormatting>
  <conditionalFormatting sqref="AQ19">
    <cfRule type="cellIs" dxfId="4207" priority="1538" operator="lessThan">
      <formula>0</formula>
    </cfRule>
  </conditionalFormatting>
  <conditionalFormatting sqref="AQ19">
    <cfRule type="cellIs" dxfId="4206" priority="1537" operator="lessThan">
      <formula>0</formula>
    </cfRule>
  </conditionalFormatting>
  <conditionalFormatting sqref="AQ19">
    <cfRule type="cellIs" dxfId="4205" priority="1536" operator="lessThan">
      <formula>0</formula>
    </cfRule>
  </conditionalFormatting>
  <conditionalFormatting sqref="AQ19">
    <cfRule type="cellIs" dxfId="4204" priority="1535" operator="lessThan">
      <formula>0</formula>
    </cfRule>
  </conditionalFormatting>
  <conditionalFormatting sqref="AQ19">
    <cfRule type="cellIs" dxfId="4203" priority="1534" operator="lessThan">
      <formula>0</formula>
    </cfRule>
  </conditionalFormatting>
  <conditionalFormatting sqref="AQ19">
    <cfRule type="cellIs" dxfId="4202" priority="1533" operator="lessThan">
      <formula>0</formula>
    </cfRule>
  </conditionalFormatting>
  <conditionalFormatting sqref="AQ19">
    <cfRule type="cellIs" dxfId="4201" priority="1532" operator="lessThan">
      <formula>0</formula>
    </cfRule>
  </conditionalFormatting>
  <conditionalFormatting sqref="AQ19">
    <cfRule type="cellIs" dxfId="4200" priority="1531" operator="lessThan">
      <formula>0</formula>
    </cfRule>
  </conditionalFormatting>
  <conditionalFormatting sqref="AQ19">
    <cfRule type="cellIs" dxfId="4199" priority="1530" operator="lessThan">
      <formula>0</formula>
    </cfRule>
  </conditionalFormatting>
  <conditionalFormatting sqref="AQ19">
    <cfRule type="cellIs" dxfId="4198" priority="1529" operator="lessThan">
      <formula>0</formula>
    </cfRule>
  </conditionalFormatting>
  <conditionalFormatting sqref="AQ19">
    <cfRule type="cellIs" dxfId="4197" priority="1528" operator="lessThan">
      <formula>0</formula>
    </cfRule>
  </conditionalFormatting>
  <conditionalFormatting sqref="AQ19">
    <cfRule type="cellIs" dxfId="4196" priority="1527" operator="lessThan">
      <formula>0</formula>
    </cfRule>
  </conditionalFormatting>
  <conditionalFormatting sqref="AQ19">
    <cfRule type="cellIs" dxfId="4195" priority="1526" operator="lessThan">
      <formula>0</formula>
    </cfRule>
  </conditionalFormatting>
  <conditionalFormatting sqref="AQ19">
    <cfRule type="cellIs" dxfId="4194" priority="1525" operator="lessThan">
      <formula>0</formula>
    </cfRule>
  </conditionalFormatting>
  <conditionalFormatting sqref="AQ19">
    <cfRule type="cellIs" dxfId="4193" priority="1524" operator="lessThan">
      <formula>0</formula>
    </cfRule>
  </conditionalFormatting>
  <conditionalFormatting sqref="AQ19">
    <cfRule type="cellIs" dxfId="4192" priority="1523" operator="lessThan">
      <formula>0</formula>
    </cfRule>
  </conditionalFormatting>
  <conditionalFormatting sqref="AQ19">
    <cfRule type="cellIs" dxfId="4191" priority="1522" operator="lessThan">
      <formula>0</formula>
    </cfRule>
  </conditionalFormatting>
  <conditionalFormatting sqref="AQ19">
    <cfRule type="cellIs" dxfId="4190" priority="1521" operator="lessThan">
      <formula>0</formula>
    </cfRule>
  </conditionalFormatting>
  <conditionalFormatting sqref="AQ19">
    <cfRule type="cellIs" dxfId="4189" priority="1520" operator="lessThan">
      <formula>0</formula>
    </cfRule>
  </conditionalFormatting>
  <conditionalFormatting sqref="AQ19">
    <cfRule type="cellIs" dxfId="4188" priority="1519" operator="lessThan">
      <formula>0</formula>
    </cfRule>
  </conditionalFormatting>
  <conditionalFormatting sqref="AQ19">
    <cfRule type="cellIs" dxfId="4187" priority="1518" operator="lessThan">
      <formula>0</formula>
    </cfRule>
  </conditionalFormatting>
  <conditionalFormatting sqref="AQ19">
    <cfRule type="cellIs" dxfId="4186" priority="1517" operator="lessThan">
      <formula>0</formula>
    </cfRule>
  </conditionalFormatting>
  <conditionalFormatting sqref="AQ19">
    <cfRule type="cellIs" dxfId="4185" priority="1516" operator="lessThan">
      <formula>0</formula>
    </cfRule>
  </conditionalFormatting>
  <conditionalFormatting sqref="AQ19">
    <cfRule type="cellIs" dxfId="4184" priority="1515" operator="lessThan">
      <formula>0</formula>
    </cfRule>
  </conditionalFormatting>
  <conditionalFormatting sqref="AQ19">
    <cfRule type="cellIs" dxfId="4183" priority="1514" operator="lessThan">
      <formula>0</formula>
    </cfRule>
  </conditionalFormatting>
  <conditionalFormatting sqref="AQ19">
    <cfRule type="cellIs" dxfId="4182" priority="1513" operator="lessThan">
      <formula>0</formula>
    </cfRule>
  </conditionalFormatting>
  <conditionalFormatting sqref="AQ19">
    <cfRule type="cellIs" dxfId="4181" priority="1512" operator="lessThan">
      <formula>0</formula>
    </cfRule>
  </conditionalFormatting>
  <conditionalFormatting sqref="AQ19">
    <cfRule type="cellIs" dxfId="4180" priority="1511" operator="lessThan">
      <formula>0</formula>
    </cfRule>
  </conditionalFormatting>
  <conditionalFormatting sqref="AQ19">
    <cfRule type="cellIs" dxfId="4179" priority="1510" operator="lessThan">
      <formula>0</formula>
    </cfRule>
  </conditionalFormatting>
  <conditionalFormatting sqref="AQ19">
    <cfRule type="cellIs" dxfId="4178" priority="1509" operator="lessThan">
      <formula>0</formula>
    </cfRule>
  </conditionalFormatting>
  <conditionalFormatting sqref="AQ19">
    <cfRule type="cellIs" dxfId="4177" priority="1508" operator="lessThan">
      <formula>0</formula>
    </cfRule>
  </conditionalFormatting>
  <conditionalFormatting sqref="AQ19">
    <cfRule type="cellIs" dxfId="4176" priority="1507" operator="lessThan">
      <formula>0</formula>
    </cfRule>
  </conditionalFormatting>
  <conditionalFormatting sqref="AQ19">
    <cfRule type="cellIs" dxfId="4175" priority="1506" operator="lessThan">
      <formula>0</formula>
    </cfRule>
  </conditionalFormatting>
  <conditionalFormatting sqref="AQ19">
    <cfRule type="cellIs" dxfId="4174" priority="1505" operator="lessThan">
      <formula>0</formula>
    </cfRule>
  </conditionalFormatting>
  <conditionalFormatting sqref="AQ19">
    <cfRule type="cellIs" dxfId="4173" priority="1504" operator="lessThan">
      <formula>0</formula>
    </cfRule>
  </conditionalFormatting>
  <conditionalFormatting sqref="AQ19">
    <cfRule type="cellIs" dxfId="4172" priority="1503" operator="lessThan">
      <formula>0</formula>
    </cfRule>
  </conditionalFormatting>
  <conditionalFormatting sqref="AQ19">
    <cfRule type="cellIs" dxfId="4171" priority="1502" operator="lessThan">
      <formula>0</formula>
    </cfRule>
  </conditionalFormatting>
  <conditionalFormatting sqref="AQ19">
    <cfRule type="cellIs" dxfId="4170" priority="1501" operator="lessThan">
      <formula>0</formula>
    </cfRule>
  </conditionalFormatting>
  <conditionalFormatting sqref="AQ19">
    <cfRule type="cellIs" dxfId="4169" priority="1500" operator="lessThan">
      <formula>0</formula>
    </cfRule>
  </conditionalFormatting>
  <conditionalFormatting sqref="AQ19">
    <cfRule type="cellIs" dxfId="4168" priority="1499" operator="lessThan">
      <formula>0</formula>
    </cfRule>
  </conditionalFormatting>
  <conditionalFormatting sqref="AQ19">
    <cfRule type="cellIs" dxfId="4167" priority="1498" operator="lessThan">
      <formula>0</formula>
    </cfRule>
  </conditionalFormatting>
  <conditionalFormatting sqref="AQ19">
    <cfRule type="cellIs" dxfId="4166" priority="1497" operator="lessThan">
      <formula>0</formula>
    </cfRule>
  </conditionalFormatting>
  <conditionalFormatting sqref="AQ19">
    <cfRule type="cellIs" dxfId="4165" priority="1496" operator="lessThan">
      <formula>0</formula>
    </cfRule>
  </conditionalFormatting>
  <conditionalFormatting sqref="AQ19">
    <cfRule type="cellIs" dxfId="4164" priority="1495" operator="lessThan">
      <formula>0</formula>
    </cfRule>
  </conditionalFormatting>
  <conditionalFormatting sqref="AQ19">
    <cfRule type="cellIs" dxfId="4163" priority="1494" operator="lessThan">
      <formula>0</formula>
    </cfRule>
  </conditionalFormatting>
  <conditionalFormatting sqref="AQ19">
    <cfRule type="cellIs" dxfId="4162" priority="1493" operator="lessThan">
      <formula>0</formula>
    </cfRule>
  </conditionalFormatting>
  <conditionalFormatting sqref="AQ19">
    <cfRule type="cellIs" dxfId="4161" priority="1492" operator="lessThan">
      <formula>0</formula>
    </cfRule>
  </conditionalFormatting>
  <conditionalFormatting sqref="AQ19">
    <cfRule type="cellIs" dxfId="4160" priority="1491" operator="lessThan">
      <formula>0</formula>
    </cfRule>
  </conditionalFormatting>
  <conditionalFormatting sqref="AQ19">
    <cfRule type="cellIs" dxfId="4159" priority="1490" operator="lessThan">
      <formula>0</formula>
    </cfRule>
  </conditionalFormatting>
  <conditionalFormatting sqref="AQ19">
    <cfRule type="cellIs" dxfId="4158" priority="1489" operator="lessThan">
      <formula>0</formula>
    </cfRule>
  </conditionalFormatting>
  <conditionalFormatting sqref="AQ19">
    <cfRule type="cellIs" dxfId="4157" priority="1488" operator="lessThan">
      <formula>0</formula>
    </cfRule>
  </conditionalFormatting>
  <conditionalFormatting sqref="AQ19">
    <cfRule type="cellIs" dxfId="4156" priority="1487" operator="lessThan">
      <formula>0</formula>
    </cfRule>
  </conditionalFormatting>
  <conditionalFormatting sqref="AQ19">
    <cfRule type="cellIs" dxfId="4155" priority="1486" operator="lessThan">
      <formula>0</formula>
    </cfRule>
  </conditionalFormatting>
  <conditionalFormatting sqref="AQ19">
    <cfRule type="cellIs" dxfId="4154" priority="1485" operator="lessThan">
      <formula>0</formula>
    </cfRule>
  </conditionalFormatting>
  <conditionalFormatting sqref="AQ19">
    <cfRule type="cellIs" dxfId="4153" priority="1484" operator="lessThan">
      <formula>0</formula>
    </cfRule>
  </conditionalFormatting>
  <conditionalFormatting sqref="AQ19">
    <cfRule type="cellIs" dxfId="4152" priority="1483" operator="lessThan">
      <formula>0</formula>
    </cfRule>
  </conditionalFormatting>
  <conditionalFormatting sqref="AQ19">
    <cfRule type="cellIs" dxfId="4151" priority="1482" operator="lessThan">
      <formula>0</formula>
    </cfRule>
  </conditionalFormatting>
  <conditionalFormatting sqref="AQ19">
    <cfRule type="cellIs" dxfId="4150" priority="1481" operator="lessThan">
      <formula>0</formula>
    </cfRule>
  </conditionalFormatting>
  <conditionalFormatting sqref="AQ19">
    <cfRule type="cellIs" dxfId="4149" priority="1480" operator="lessThan">
      <formula>0</formula>
    </cfRule>
  </conditionalFormatting>
  <conditionalFormatting sqref="AQ19">
    <cfRule type="cellIs" dxfId="4148" priority="1479" operator="lessThan">
      <formula>0</formula>
    </cfRule>
  </conditionalFormatting>
  <conditionalFormatting sqref="AQ19">
    <cfRule type="cellIs" dxfId="4147" priority="1478" operator="lessThan">
      <formula>0</formula>
    </cfRule>
  </conditionalFormatting>
  <conditionalFormatting sqref="AQ19">
    <cfRule type="cellIs" dxfId="4146" priority="1477" operator="lessThan">
      <formula>0</formula>
    </cfRule>
  </conditionalFormatting>
  <conditionalFormatting sqref="AQ19">
    <cfRule type="cellIs" dxfId="4145" priority="1476" operator="lessThan">
      <formula>0</formula>
    </cfRule>
  </conditionalFormatting>
  <conditionalFormatting sqref="AQ19">
    <cfRule type="cellIs" dxfId="4144" priority="1475" operator="lessThan">
      <formula>0</formula>
    </cfRule>
  </conditionalFormatting>
  <conditionalFormatting sqref="AQ19">
    <cfRule type="cellIs" dxfId="4143" priority="1474" operator="lessThan">
      <formula>0</formula>
    </cfRule>
  </conditionalFormatting>
  <conditionalFormatting sqref="AQ19">
    <cfRule type="cellIs" dxfId="4142" priority="1458" operator="lessThan">
      <formula>0</formula>
    </cfRule>
  </conditionalFormatting>
  <conditionalFormatting sqref="AQ19">
    <cfRule type="cellIs" dxfId="4141" priority="1473" operator="lessThan">
      <formula>0</formula>
    </cfRule>
  </conditionalFormatting>
  <conditionalFormatting sqref="AQ19">
    <cfRule type="cellIs" dxfId="4140" priority="1472" operator="lessThan">
      <formula>0</formula>
    </cfRule>
  </conditionalFormatting>
  <conditionalFormatting sqref="AQ19">
    <cfRule type="cellIs" dxfId="4139" priority="1471" operator="lessThan">
      <formula>0</formula>
    </cfRule>
  </conditionalFormatting>
  <conditionalFormatting sqref="AQ19">
    <cfRule type="cellIs" dxfId="4138" priority="1470" operator="lessThan">
      <formula>0</formula>
    </cfRule>
  </conditionalFormatting>
  <conditionalFormatting sqref="AQ19">
    <cfRule type="cellIs" dxfId="4137" priority="1469" operator="lessThan">
      <formula>0</formula>
    </cfRule>
  </conditionalFormatting>
  <conditionalFormatting sqref="AQ19">
    <cfRule type="cellIs" dxfId="4136" priority="1468" operator="lessThan">
      <formula>0</formula>
    </cfRule>
  </conditionalFormatting>
  <conditionalFormatting sqref="AQ19">
    <cfRule type="cellIs" dxfId="4135" priority="1467" operator="lessThan">
      <formula>0</formula>
    </cfRule>
  </conditionalFormatting>
  <conditionalFormatting sqref="AQ19">
    <cfRule type="cellIs" dxfId="4134" priority="1466" operator="lessThan">
      <formula>0</formula>
    </cfRule>
  </conditionalFormatting>
  <conditionalFormatting sqref="AQ19">
    <cfRule type="cellIs" dxfId="4133" priority="1465" operator="lessThan">
      <formula>0</formula>
    </cfRule>
  </conditionalFormatting>
  <conditionalFormatting sqref="AQ19">
    <cfRule type="cellIs" dxfId="4132" priority="1464" operator="lessThan">
      <formula>0</formula>
    </cfRule>
  </conditionalFormatting>
  <conditionalFormatting sqref="AQ19">
    <cfRule type="cellIs" dxfId="4131" priority="1463" operator="lessThan">
      <formula>0</formula>
    </cfRule>
  </conditionalFormatting>
  <conditionalFormatting sqref="AQ19">
    <cfRule type="cellIs" dxfId="4130" priority="1462" operator="lessThan">
      <formula>0</formula>
    </cfRule>
  </conditionalFormatting>
  <conditionalFormatting sqref="AQ19">
    <cfRule type="cellIs" dxfId="4129" priority="1461" operator="lessThan">
      <formula>0</formula>
    </cfRule>
  </conditionalFormatting>
  <conditionalFormatting sqref="AQ19">
    <cfRule type="cellIs" dxfId="4128" priority="1460" operator="lessThan">
      <formula>0</formula>
    </cfRule>
  </conditionalFormatting>
  <conditionalFormatting sqref="AQ19">
    <cfRule type="cellIs" dxfId="4127" priority="1459" operator="lessThan">
      <formula>0</formula>
    </cfRule>
  </conditionalFormatting>
  <conditionalFormatting sqref="AQ50">
    <cfRule type="cellIs" dxfId="4126" priority="1457" operator="lessThan">
      <formula>0</formula>
    </cfRule>
  </conditionalFormatting>
  <conditionalFormatting sqref="AM50:AM53">
    <cfRule type="cellIs" dxfId="4125" priority="1455" operator="notEqual">
      <formula>0</formula>
    </cfRule>
  </conditionalFormatting>
  <conditionalFormatting sqref="Y51">
    <cfRule type="iconSet" priority="1454">
      <iconSet>
        <cfvo type="percent" val="0"/>
        <cfvo type="percent" val="&quot;$I$6&quot;"/>
        <cfvo type="percent" val="#REF!"/>
      </iconSet>
    </cfRule>
  </conditionalFormatting>
  <conditionalFormatting sqref="Y52">
    <cfRule type="cellIs" dxfId="4124" priority="1453" operator="lessThan">
      <formula>0</formula>
    </cfRule>
  </conditionalFormatting>
  <conditionalFormatting sqref="Y50:Y52">
    <cfRule type="cellIs" dxfId="4123" priority="1452" operator="lessThan">
      <formula>0</formula>
    </cfRule>
  </conditionalFormatting>
  <conditionalFormatting sqref="Y53">
    <cfRule type="cellIs" dxfId="4122" priority="1451" operator="lessThan">
      <formula>0</formula>
    </cfRule>
  </conditionalFormatting>
  <conditionalFormatting sqref="I52">
    <cfRule type="cellIs" dxfId="4121" priority="1450" operator="greaterThan">
      <formula>0</formula>
    </cfRule>
  </conditionalFormatting>
  <conditionalFormatting sqref="J52">
    <cfRule type="cellIs" dxfId="4120" priority="1449" operator="greaterThan">
      <formula>0</formula>
    </cfRule>
  </conditionalFormatting>
  <conditionalFormatting sqref="AQ50">
    <cfRule type="cellIs" dxfId="4119" priority="1448" operator="lessThan">
      <formula>0</formula>
    </cfRule>
  </conditionalFormatting>
  <conditionalFormatting sqref="AQ50">
    <cfRule type="cellIs" dxfId="4118" priority="1447" operator="lessThan">
      <formula>0</formula>
    </cfRule>
  </conditionalFormatting>
  <conditionalFormatting sqref="AQ52:AQ53">
    <cfRule type="cellIs" dxfId="4117" priority="1446" operator="lessThan">
      <formula>0</formula>
    </cfRule>
  </conditionalFormatting>
  <conditionalFormatting sqref="AQ52:AQ53">
    <cfRule type="cellIs" dxfId="4116" priority="1445" operator="lessThan">
      <formula>0</formula>
    </cfRule>
  </conditionalFormatting>
  <conditionalFormatting sqref="AQ52:AQ53">
    <cfRule type="cellIs" dxfId="4115" priority="1444" operator="lessThan">
      <formula>0</formula>
    </cfRule>
  </conditionalFormatting>
  <conditionalFormatting sqref="AQ52:AQ53">
    <cfRule type="cellIs" dxfId="4114" priority="1443" operator="lessThan">
      <formula>0</formula>
    </cfRule>
  </conditionalFormatting>
  <conditionalFormatting sqref="AQ52:AQ53">
    <cfRule type="cellIs" dxfId="4113" priority="1442" operator="lessThan">
      <formula>0</formula>
    </cfRule>
  </conditionalFormatting>
  <conditionalFormatting sqref="AQ52:AQ53">
    <cfRule type="cellIs" dxfId="4112" priority="1441" operator="lessThan">
      <formula>0</formula>
    </cfRule>
  </conditionalFormatting>
  <conditionalFormatting sqref="AQ52:AQ53">
    <cfRule type="cellIs" dxfId="4111" priority="1440" operator="lessThan">
      <formula>0</formula>
    </cfRule>
  </conditionalFormatting>
  <conditionalFormatting sqref="AQ52:AQ53">
    <cfRule type="cellIs" dxfId="4110" priority="1439" operator="lessThan">
      <formula>0</formula>
    </cfRule>
  </conditionalFormatting>
  <conditionalFormatting sqref="AQ50">
    <cfRule type="cellIs" dxfId="4109" priority="1438" operator="lessThan">
      <formula>0</formula>
    </cfRule>
  </conditionalFormatting>
  <conditionalFormatting sqref="AQ52:AQ53">
    <cfRule type="cellIs" dxfId="4108" priority="1437" operator="lessThan">
      <formula>0</formula>
    </cfRule>
  </conditionalFormatting>
  <conditionalFormatting sqref="AQ52:AQ53">
    <cfRule type="cellIs" dxfId="4107" priority="1436" operator="lessThan">
      <formula>0</formula>
    </cfRule>
  </conditionalFormatting>
  <conditionalFormatting sqref="AQ52:AQ53">
    <cfRule type="cellIs" dxfId="4106" priority="1435" operator="lessThan">
      <formula>0</formula>
    </cfRule>
  </conditionalFormatting>
  <conditionalFormatting sqref="AQ52:AQ53">
    <cfRule type="cellIs" dxfId="4105" priority="1434" operator="lessThan">
      <formula>0</formula>
    </cfRule>
  </conditionalFormatting>
  <conditionalFormatting sqref="AQ52:AQ53">
    <cfRule type="cellIs" dxfId="4104" priority="1433" operator="lessThan">
      <formula>0</formula>
    </cfRule>
  </conditionalFormatting>
  <conditionalFormatting sqref="AQ52:AQ53">
    <cfRule type="cellIs" dxfId="4103" priority="1432" operator="lessThan">
      <formula>0</formula>
    </cfRule>
  </conditionalFormatting>
  <conditionalFormatting sqref="AQ52:AQ53">
    <cfRule type="cellIs" dxfId="4102" priority="1431" operator="lessThan">
      <formula>0</formula>
    </cfRule>
  </conditionalFormatting>
  <conditionalFormatting sqref="AQ52:AQ53">
    <cfRule type="cellIs" dxfId="4101" priority="1430" operator="lessThan">
      <formula>0</formula>
    </cfRule>
  </conditionalFormatting>
  <conditionalFormatting sqref="AQ50">
    <cfRule type="cellIs" dxfId="4100" priority="1429" operator="lessThan">
      <formula>0</formula>
    </cfRule>
  </conditionalFormatting>
  <conditionalFormatting sqref="AQ50">
    <cfRule type="cellIs" dxfId="4099" priority="1428" operator="lessThan">
      <formula>0</formula>
    </cfRule>
  </conditionalFormatting>
  <conditionalFormatting sqref="AQ52:AQ53">
    <cfRule type="cellIs" dxfId="4098" priority="1427" operator="lessThan">
      <formula>0</formula>
    </cfRule>
  </conditionalFormatting>
  <conditionalFormatting sqref="AQ52:AQ53">
    <cfRule type="cellIs" dxfId="4097" priority="1426" operator="lessThan">
      <formula>0</formula>
    </cfRule>
  </conditionalFormatting>
  <conditionalFormatting sqref="AQ52:AQ53">
    <cfRule type="cellIs" dxfId="4096" priority="1425" operator="lessThan">
      <formula>0</formula>
    </cfRule>
  </conditionalFormatting>
  <conditionalFormatting sqref="AQ52:AQ53">
    <cfRule type="cellIs" dxfId="4095" priority="1424" operator="lessThan">
      <formula>0</formula>
    </cfRule>
  </conditionalFormatting>
  <conditionalFormatting sqref="AQ52:AQ53">
    <cfRule type="cellIs" dxfId="4094" priority="1423" operator="lessThan">
      <formula>0</formula>
    </cfRule>
  </conditionalFormatting>
  <conditionalFormatting sqref="AQ52:AQ53">
    <cfRule type="cellIs" dxfId="4093" priority="1422" operator="lessThan">
      <formula>0</formula>
    </cfRule>
  </conditionalFormatting>
  <conditionalFormatting sqref="AQ52:AQ53">
    <cfRule type="cellIs" dxfId="4092" priority="1421" operator="lessThan">
      <formula>0</formula>
    </cfRule>
  </conditionalFormatting>
  <conditionalFormatting sqref="AQ52:AQ53">
    <cfRule type="cellIs" dxfId="4091" priority="1420" operator="lessThan">
      <formula>0</formula>
    </cfRule>
  </conditionalFormatting>
  <conditionalFormatting sqref="AQ50">
    <cfRule type="cellIs" dxfId="4090" priority="1419" operator="lessThan">
      <formula>0</formula>
    </cfRule>
  </conditionalFormatting>
  <conditionalFormatting sqref="AQ50 AQ52:AQ53">
    <cfRule type="cellIs" dxfId="4089" priority="1418" operator="lessThan">
      <formula>0</formula>
    </cfRule>
  </conditionalFormatting>
  <conditionalFormatting sqref="AQ50 AQ52:AQ53">
    <cfRule type="cellIs" dxfId="4088" priority="1417" operator="lessThan">
      <formula>0</formula>
    </cfRule>
  </conditionalFormatting>
  <conditionalFormatting sqref="AQ50 AQ52:AQ53">
    <cfRule type="cellIs" dxfId="4087" priority="1416" operator="lessThan">
      <formula>0</formula>
    </cfRule>
  </conditionalFormatting>
  <conditionalFormatting sqref="AQ50 AQ52:AQ53">
    <cfRule type="cellIs" dxfId="4086" priority="1415" operator="lessThan">
      <formula>0</formula>
    </cfRule>
  </conditionalFormatting>
  <conditionalFormatting sqref="AQ52:AQ53">
    <cfRule type="cellIs" dxfId="4085" priority="1414" operator="lessThan">
      <formula>0</formula>
    </cfRule>
  </conditionalFormatting>
  <conditionalFormatting sqref="AQ52:AQ53">
    <cfRule type="cellIs" dxfId="4084" priority="1413" operator="lessThan">
      <formula>0</formula>
    </cfRule>
  </conditionalFormatting>
  <conditionalFormatting sqref="AQ52:AQ53">
    <cfRule type="cellIs" dxfId="4083" priority="1412" operator="lessThan">
      <formula>0</formula>
    </cfRule>
  </conditionalFormatting>
  <conditionalFormatting sqref="AQ52:AQ53">
    <cfRule type="cellIs" dxfId="4082" priority="1411" operator="lessThan">
      <formula>0</formula>
    </cfRule>
  </conditionalFormatting>
  <conditionalFormatting sqref="AQ66">
    <cfRule type="cellIs" dxfId="4081" priority="1409" operator="lessThan">
      <formula>0</formula>
    </cfRule>
  </conditionalFormatting>
  <conditionalFormatting sqref="AM66:AM69">
    <cfRule type="cellIs" dxfId="4080" priority="1407" operator="notEqual">
      <formula>0</formula>
    </cfRule>
  </conditionalFormatting>
  <conditionalFormatting sqref="I68">
    <cfRule type="cellIs" dxfId="4079" priority="1406" operator="greaterThan">
      <formula>0</formula>
    </cfRule>
  </conditionalFormatting>
  <conditionalFormatting sqref="J68">
    <cfRule type="cellIs" dxfId="4078" priority="1405" operator="greaterThan">
      <formula>0</formula>
    </cfRule>
  </conditionalFormatting>
  <conditionalFormatting sqref="Y68">
    <cfRule type="cellIs" dxfId="4077" priority="1404" operator="lessThan">
      <formula>0</formula>
    </cfRule>
  </conditionalFormatting>
  <conditionalFormatting sqref="Y66:Y68">
    <cfRule type="cellIs" dxfId="4076" priority="1403" operator="lessThan">
      <formula>0</formula>
    </cfRule>
  </conditionalFormatting>
  <conditionalFormatting sqref="Y69">
    <cfRule type="cellIs" dxfId="4075" priority="1402" operator="lessThan">
      <formula>0</formula>
    </cfRule>
  </conditionalFormatting>
  <conditionalFormatting sqref="Y67">
    <cfRule type="iconSet" priority="1410">
      <iconSet>
        <cfvo type="percent" val="0"/>
        <cfvo type="percent" val="&quot;$I$6&quot;"/>
        <cfvo type="percent" val="#REF!"/>
      </iconSet>
    </cfRule>
  </conditionalFormatting>
  <conditionalFormatting sqref="AQ66">
    <cfRule type="cellIs" dxfId="4074" priority="1401" operator="lessThan">
      <formula>0</formula>
    </cfRule>
  </conditionalFormatting>
  <conditionalFormatting sqref="AQ66">
    <cfRule type="cellIs" dxfId="4073" priority="1400" operator="lessThan">
      <formula>0</formula>
    </cfRule>
  </conditionalFormatting>
  <conditionalFormatting sqref="AQ68:AQ69">
    <cfRule type="cellIs" dxfId="4072" priority="1399" operator="lessThan">
      <formula>0</formula>
    </cfRule>
  </conditionalFormatting>
  <conditionalFormatting sqref="AQ68:AQ69">
    <cfRule type="cellIs" dxfId="4071" priority="1398" operator="lessThan">
      <formula>0</formula>
    </cfRule>
  </conditionalFormatting>
  <conditionalFormatting sqref="AQ68:AQ69">
    <cfRule type="cellIs" dxfId="4070" priority="1397" operator="lessThan">
      <formula>0</formula>
    </cfRule>
  </conditionalFormatting>
  <conditionalFormatting sqref="AQ68:AQ69">
    <cfRule type="cellIs" dxfId="4069" priority="1396" operator="lessThan">
      <formula>0</formula>
    </cfRule>
  </conditionalFormatting>
  <conditionalFormatting sqref="AQ68:AQ69">
    <cfRule type="cellIs" dxfId="4068" priority="1395" operator="lessThan">
      <formula>0</formula>
    </cfRule>
  </conditionalFormatting>
  <conditionalFormatting sqref="AQ68:AQ69">
    <cfRule type="cellIs" dxfId="4067" priority="1394" operator="lessThan">
      <formula>0</formula>
    </cfRule>
  </conditionalFormatting>
  <conditionalFormatting sqref="AQ68:AQ69">
    <cfRule type="cellIs" dxfId="4066" priority="1393" operator="lessThan">
      <formula>0</formula>
    </cfRule>
  </conditionalFormatting>
  <conditionalFormatting sqref="AQ68:AQ69">
    <cfRule type="cellIs" dxfId="4065" priority="1392" operator="lessThan">
      <formula>0</formula>
    </cfRule>
  </conditionalFormatting>
  <conditionalFormatting sqref="AQ66">
    <cfRule type="cellIs" dxfId="4064" priority="1391" operator="lessThan">
      <formula>0</formula>
    </cfRule>
  </conditionalFormatting>
  <conditionalFormatting sqref="AQ68:AQ69">
    <cfRule type="cellIs" dxfId="4063" priority="1390" operator="lessThan">
      <formula>0</formula>
    </cfRule>
  </conditionalFormatting>
  <conditionalFormatting sqref="AQ68:AQ69">
    <cfRule type="cellIs" dxfId="4062" priority="1389" operator="lessThan">
      <formula>0</formula>
    </cfRule>
  </conditionalFormatting>
  <conditionalFormatting sqref="AQ68:AQ69">
    <cfRule type="cellIs" dxfId="4061" priority="1388" operator="lessThan">
      <formula>0</formula>
    </cfRule>
  </conditionalFormatting>
  <conditionalFormatting sqref="AQ68:AQ69">
    <cfRule type="cellIs" dxfId="4060" priority="1387" operator="lessThan">
      <formula>0</formula>
    </cfRule>
  </conditionalFormatting>
  <conditionalFormatting sqref="AQ68:AQ69">
    <cfRule type="cellIs" dxfId="4059" priority="1386" operator="lessThan">
      <formula>0</formula>
    </cfRule>
  </conditionalFormatting>
  <conditionalFormatting sqref="AQ68:AQ69">
    <cfRule type="cellIs" dxfId="4058" priority="1385" operator="lessThan">
      <formula>0</formula>
    </cfRule>
  </conditionalFormatting>
  <conditionalFormatting sqref="AQ68:AQ69">
    <cfRule type="cellIs" dxfId="4057" priority="1384" operator="lessThan">
      <formula>0</formula>
    </cfRule>
  </conditionalFormatting>
  <conditionalFormatting sqref="AQ68:AQ69">
    <cfRule type="cellIs" dxfId="4056" priority="1383" operator="lessThan">
      <formula>0</formula>
    </cfRule>
  </conditionalFormatting>
  <conditionalFormatting sqref="AQ66">
    <cfRule type="cellIs" dxfId="4055" priority="1382" operator="lessThan">
      <formula>0</formula>
    </cfRule>
  </conditionalFormatting>
  <conditionalFormatting sqref="AQ66">
    <cfRule type="cellIs" dxfId="4054" priority="1381" operator="lessThan">
      <formula>0</formula>
    </cfRule>
  </conditionalFormatting>
  <conditionalFormatting sqref="AQ68:AQ69">
    <cfRule type="cellIs" dxfId="4053" priority="1380" operator="lessThan">
      <formula>0</formula>
    </cfRule>
  </conditionalFormatting>
  <conditionalFormatting sqref="AQ68:AQ69">
    <cfRule type="cellIs" dxfId="4052" priority="1379" operator="lessThan">
      <formula>0</formula>
    </cfRule>
  </conditionalFormatting>
  <conditionalFormatting sqref="AQ68:AQ69">
    <cfRule type="cellIs" dxfId="4051" priority="1378" operator="lessThan">
      <formula>0</formula>
    </cfRule>
  </conditionalFormatting>
  <conditionalFormatting sqref="AQ68:AQ69">
    <cfRule type="cellIs" dxfId="4050" priority="1377" operator="lessThan">
      <formula>0</formula>
    </cfRule>
  </conditionalFormatting>
  <conditionalFormatting sqref="AQ68:AQ69">
    <cfRule type="cellIs" dxfId="4049" priority="1376" operator="lessThan">
      <formula>0</formula>
    </cfRule>
  </conditionalFormatting>
  <conditionalFormatting sqref="AQ68:AQ69">
    <cfRule type="cellIs" dxfId="4048" priority="1375" operator="lessThan">
      <formula>0</formula>
    </cfRule>
  </conditionalFormatting>
  <conditionalFormatting sqref="AQ68:AQ69">
    <cfRule type="cellIs" dxfId="4047" priority="1374" operator="lessThan">
      <formula>0</formula>
    </cfRule>
  </conditionalFormatting>
  <conditionalFormatting sqref="AQ68:AQ69">
    <cfRule type="cellIs" dxfId="4046" priority="1373" operator="lessThan">
      <formula>0</formula>
    </cfRule>
  </conditionalFormatting>
  <conditionalFormatting sqref="AQ66">
    <cfRule type="cellIs" dxfId="4045" priority="1372" operator="lessThan">
      <formula>0</formula>
    </cfRule>
  </conditionalFormatting>
  <conditionalFormatting sqref="AQ66 AQ68:AQ69">
    <cfRule type="cellIs" dxfId="4044" priority="1371" operator="lessThan">
      <formula>0</formula>
    </cfRule>
  </conditionalFormatting>
  <conditionalFormatting sqref="AQ66 AQ68:AQ69">
    <cfRule type="cellIs" dxfId="4043" priority="1370" operator="lessThan">
      <formula>0</formula>
    </cfRule>
  </conditionalFormatting>
  <conditionalFormatting sqref="AQ66 AQ68:AQ69">
    <cfRule type="cellIs" dxfId="4042" priority="1369" operator="lessThan">
      <formula>0</formula>
    </cfRule>
  </conditionalFormatting>
  <conditionalFormatting sqref="AQ66 AQ68:AQ69">
    <cfRule type="cellIs" dxfId="4041" priority="1368" operator="lessThan">
      <formula>0</formula>
    </cfRule>
  </conditionalFormatting>
  <conditionalFormatting sqref="AQ68:AQ69">
    <cfRule type="cellIs" dxfId="4040" priority="1367" operator="lessThan">
      <formula>0</formula>
    </cfRule>
  </conditionalFormatting>
  <conditionalFormatting sqref="AQ68:AQ69">
    <cfRule type="cellIs" dxfId="4039" priority="1366" operator="lessThan">
      <formula>0</formula>
    </cfRule>
  </conditionalFormatting>
  <conditionalFormatting sqref="AQ68:AQ69">
    <cfRule type="cellIs" dxfId="4038" priority="1365" operator="lessThan">
      <formula>0</formula>
    </cfRule>
  </conditionalFormatting>
  <conditionalFormatting sqref="AQ68:AQ69">
    <cfRule type="cellIs" dxfId="4037" priority="1364" operator="lessThan">
      <formula>0</formula>
    </cfRule>
  </conditionalFormatting>
  <conditionalFormatting sqref="Z25">
    <cfRule type="cellIs" dxfId="4036" priority="1363" operator="lessThan">
      <formula>0</formula>
    </cfRule>
  </conditionalFormatting>
  <conditionalFormatting sqref="AQ51">
    <cfRule type="cellIs" dxfId="4035" priority="1356" operator="lessThan">
      <formula>0</formula>
    </cfRule>
  </conditionalFormatting>
  <conditionalFormatting sqref="AQ51">
    <cfRule type="cellIs" dxfId="4034" priority="1355" operator="lessThan">
      <formula>0</formula>
    </cfRule>
  </conditionalFormatting>
  <conditionalFormatting sqref="AQ51">
    <cfRule type="cellIs" dxfId="4033" priority="1354" operator="lessThan">
      <formula>0</formula>
    </cfRule>
  </conditionalFormatting>
  <conditionalFormatting sqref="AQ51">
    <cfRule type="cellIs" dxfId="4032" priority="1353" operator="lessThan">
      <formula>0</formula>
    </cfRule>
  </conditionalFormatting>
  <conditionalFormatting sqref="AQ51">
    <cfRule type="cellIs" dxfId="4031" priority="1352" operator="lessThan">
      <formula>0</formula>
    </cfRule>
  </conditionalFormatting>
  <conditionalFormatting sqref="AQ51">
    <cfRule type="cellIs" dxfId="4030" priority="1351" operator="lessThan">
      <formula>0</formula>
    </cfRule>
  </conditionalFormatting>
  <conditionalFormatting sqref="AQ51">
    <cfRule type="cellIs" dxfId="4029" priority="1350" operator="lessThan">
      <formula>0</formula>
    </cfRule>
  </conditionalFormatting>
  <conditionalFormatting sqref="AQ51">
    <cfRule type="cellIs" dxfId="4028" priority="1349" operator="lessThan">
      <formula>0</formula>
    </cfRule>
  </conditionalFormatting>
  <conditionalFormatting sqref="AQ51">
    <cfRule type="cellIs" dxfId="4027" priority="1348" operator="lessThan">
      <formula>0</formula>
    </cfRule>
  </conditionalFormatting>
  <conditionalFormatting sqref="AQ51">
    <cfRule type="cellIs" dxfId="4026" priority="1347" operator="lessThan">
      <formula>0</formula>
    </cfRule>
  </conditionalFormatting>
  <conditionalFormatting sqref="AQ51">
    <cfRule type="cellIs" dxfId="4025" priority="1346" operator="lessThan">
      <formula>0</formula>
    </cfRule>
  </conditionalFormatting>
  <conditionalFormatting sqref="AQ51">
    <cfRule type="cellIs" dxfId="4024" priority="1345" operator="lessThan">
      <formula>0</formula>
    </cfRule>
  </conditionalFormatting>
  <conditionalFormatting sqref="AQ51">
    <cfRule type="cellIs" dxfId="4023" priority="1344" operator="lessThan">
      <formula>0</formula>
    </cfRule>
  </conditionalFormatting>
  <conditionalFormatting sqref="AQ51">
    <cfRule type="cellIs" dxfId="4022" priority="1343" operator="lessThan">
      <formula>0</formula>
    </cfRule>
  </conditionalFormatting>
  <conditionalFormatting sqref="AQ51">
    <cfRule type="cellIs" dxfId="4021" priority="1342" operator="lessThan">
      <formula>0</formula>
    </cfRule>
  </conditionalFormatting>
  <conditionalFormatting sqref="AQ51">
    <cfRule type="cellIs" dxfId="4020" priority="1341" operator="lessThan">
      <formula>0</formula>
    </cfRule>
  </conditionalFormatting>
  <conditionalFormatting sqref="AQ51">
    <cfRule type="cellIs" dxfId="4019" priority="1340" operator="lessThan">
      <formula>0</formula>
    </cfRule>
  </conditionalFormatting>
  <conditionalFormatting sqref="AQ51">
    <cfRule type="cellIs" dxfId="4018" priority="1339" operator="lessThan">
      <formula>0</formula>
    </cfRule>
  </conditionalFormatting>
  <conditionalFormatting sqref="AQ51">
    <cfRule type="cellIs" dxfId="4017" priority="1338" operator="lessThan">
      <formula>0</formula>
    </cfRule>
  </conditionalFormatting>
  <conditionalFormatting sqref="AQ51">
    <cfRule type="cellIs" dxfId="4016" priority="1337" operator="lessThan">
      <formula>0</formula>
    </cfRule>
  </conditionalFormatting>
  <conditionalFormatting sqref="AQ51">
    <cfRule type="cellIs" dxfId="4015" priority="1336" operator="lessThan">
      <formula>0</formula>
    </cfRule>
  </conditionalFormatting>
  <conditionalFormatting sqref="AQ51">
    <cfRule type="cellIs" dxfId="4014" priority="1335" operator="lessThan">
      <formula>0</formula>
    </cfRule>
  </conditionalFormatting>
  <conditionalFormatting sqref="AQ51">
    <cfRule type="cellIs" dxfId="4013" priority="1334" operator="lessThan">
      <formula>0</formula>
    </cfRule>
  </conditionalFormatting>
  <conditionalFormatting sqref="AQ51">
    <cfRule type="cellIs" dxfId="4012" priority="1333" operator="lessThan">
      <formula>0</formula>
    </cfRule>
  </conditionalFormatting>
  <conditionalFormatting sqref="AQ51">
    <cfRule type="cellIs" dxfId="4011" priority="1332" operator="lessThan">
      <formula>0</formula>
    </cfRule>
  </conditionalFormatting>
  <conditionalFormatting sqref="AQ51">
    <cfRule type="cellIs" dxfId="4010" priority="1331" operator="lessThan">
      <formula>0</formula>
    </cfRule>
  </conditionalFormatting>
  <conditionalFormatting sqref="AQ51">
    <cfRule type="cellIs" dxfId="4009" priority="1330" operator="lessThan">
      <formula>0</formula>
    </cfRule>
  </conditionalFormatting>
  <conditionalFormatting sqref="AQ51">
    <cfRule type="cellIs" dxfId="4008" priority="1329" operator="lessThan">
      <formula>0</formula>
    </cfRule>
  </conditionalFormatting>
  <conditionalFormatting sqref="AQ51">
    <cfRule type="cellIs" dxfId="4007" priority="1328" operator="lessThan">
      <formula>0</formula>
    </cfRule>
  </conditionalFormatting>
  <conditionalFormatting sqref="AQ51">
    <cfRule type="cellIs" dxfId="4006" priority="1327" operator="lessThan">
      <formula>0</formula>
    </cfRule>
  </conditionalFormatting>
  <conditionalFormatting sqref="AQ51">
    <cfRule type="cellIs" dxfId="4005" priority="1326" operator="lessThan">
      <formula>0</formula>
    </cfRule>
  </conditionalFormatting>
  <conditionalFormatting sqref="AQ51">
    <cfRule type="cellIs" dxfId="4004" priority="1325" operator="lessThan">
      <formula>0</formula>
    </cfRule>
  </conditionalFormatting>
  <conditionalFormatting sqref="AQ51">
    <cfRule type="cellIs" dxfId="4003" priority="1324" operator="lessThan">
      <formula>0</formula>
    </cfRule>
  </conditionalFormatting>
  <conditionalFormatting sqref="AQ51">
    <cfRule type="cellIs" dxfId="4002" priority="1323" operator="lessThan">
      <formula>0</formula>
    </cfRule>
  </conditionalFormatting>
  <conditionalFormatting sqref="AQ51">
    <cfRule type="cellIs" dxfId="4001" priority="1322" operator="lessThan">
      <formula>0</formula>
    </cfRule>
  </conditionalFormatting>
  <conditionalFormatting sqref="AQ51">
    <cfRule type="cellIs" dxfId="4000" priority="1321" operator="lessThan">
      <formula>0</formula>
    </cfRule>
  </conditionalFormatting>
  <conditionalFormatting sqref="AQ51">
    <cfRule type="cellIs" dxfId="3999" priority="1320" operator="lessThan">
      <formula>0</formula>
    </cfRule>
  </conditionalFormatting>
  <conditionalFormatting sqref="AQ51">
    <cfRule type="cellIs" dxfId="3998" priority="1319" operator="lessThan">
      <formula>0</formula>
    </cfRule>
  </conditionalFormatting>
  <conditionalFormatting sqref="AQ51">
    <cfRule type="cellIs" dxfId="3997" priority="1318" operator="lessThan">
      <formula>0</formula>
    </cfRule>
  </conditionalFormatting>
  <conditionalFormatting sqref="AQ51">
    <cfRule type="cellIs" dxfId="3996" priority="1317" operator="lessThan">
      <formula>0</formula>
    </cfRule>
  </conditionalFormatting>
  <conditionalFormatting sqref="AQ51">
    <cfRule type="cellIs" dxfId="3995" priority="1316" operator="lessThan">
      <formula>0</formula>
    </cfRule>
  </conditionalFormatting>
  <conditionalFormatting sqref="AQ51">
    <cfRule type="cellIs" dxfId="3994" priority="1315" operator="lessThan">
      <formula>0</formula>
    </cfRule>
  </conditionalFormatting>
  <conditionalFormatting sqref="AQ51">
    <cfRule type="cellIs" dxfId="3993" priority="1314" operator="lessThan">
      <formula>0</formula>
    </cfRule>
  </conditionalFormatting>
  <conditionalFormatting sqref="AQ51">
    <cfRule type="cellIs" dxfId="3992" priority="1313" operator="lessThan">
      <formula>0</formula>
    </cfRule>
  </conditionalFormatting>
  <conditionalFormatting sqref="AQ51">
    <cfRule type="cellIs" dxfId="3991" priority="1312" operator="lessThan">
      <formula>0</formula>
    </cfRule>
  </conditionalFormatting>
  <conditionalFormatting sqref="AQ51">
    <cfRule type="cellIs" dxfId="3990" priority="1311" operator="lessThan">
      <formula>0</formula>
    </cfRule>
  </conditionalFormatting>
  <conditionalFormatting sqref="AQ51">
    <cfRule type="cellIs" dxfId="3989" priority="1310" operator="lessThan">
      <formula>0</formula>
    </cfRule>
  </conditionalFormatting>
  <conditionalFormatting sqref="AQ51">
    <cfRule type="cellIs" dxfId="3988" priority="1309" operator="lessThan">
      <formula>0</formula>
    </cfRule>
  </conditionalFormatting>
  <conditionalFormatting sqref="AQ51">
    <cfRule type="cellIs" dxfId="3987" priority="1308" operator="lessThan">
      <formula>0</formula>
    </cfRule>
  </conditionalFormatting>
  <conditionalFormatting sqref="AQ51">
    <cfRule type="cellIs" dxfId="3986" priority="1307" operator="lessThan">
      <formula>0</formula>
    </cfRule>
  </conditionalFormatting>
  <conditionalFormatting sqref="AQ51">
    <cfRule type="cellIs" dxfId="3985" priority="1306" operator="lessThan">
      <formula>0</formula>
    </cfRule>
  </conditionalFormatting>
  <conditionalFormatting sqref="AQ51">
    <cfRule type="cellIs" dxfId="3984" priority="1305" operator="lessThan">
      <formula>0</formula>
    </cfRule>
  </conditionalFormatting>
  <conditionalFormatting sqref="AQ51">
    <cfRule type="cellIs" dxfId="3983" priority="1304" operator="lessThan">
      <formula>0</formula>
    </cfRule>
  </conditionalFormatting>
  <conditionalFormatting sqref="AQ51">
    <cfRule type="cellIs" dxfId="3982" priority="1303" operator="lessThan">
      <formula>0</formula>
    </cfRule>
  </conditionalFormatting>
  <conditionalFormatting sqref="AQ51">
    <cfRule type="cellIs" dxfId="3981" priority="1302" operator="lessThan">
      <formula>0</formula>
    </cfRule>
  </conditionalFormatting>
  <conditionalFormatting sqref="AQ51">
    <cfRule type="cellIs" dxfId="3980" priority="1301" operator="lessThan">
      <formula>0</formula>
    </cfRule>
  </conditionalFormatting>
  <conditionalFormatting sqref="AQ51">
    <cfRule type="cellIs" dxfId="3979" priority="1300" operator="lessThan">
      <formula>0</formula>
    </cfRule>
  </conditionalFormatting>
  <conditionalFormatting sqref="AQ51">
    <cfRule type="cellIs" dxfId="3978" priority="1299" operator="lessThan">
      <formula>0</formula>
    </cfRule>
  </conditionalFormatting>
  <conditionalFormatting sqref="AQ51">
    <cfRule type="cellIs" dxfId="3977" priority="1298" operator="lessThan">
      <formula>0</formula>
    </cfRule>
  </conditionalFormatting>
  <conditionalFormatting sqref="AQ51">
    <cfRule type="cellIs" dxfId="3976" priority="1297" operator="lessThan">
      <formula>0</formula>
    </cfRule>
  </conditionalFormatting>
  <conditionalFormatting sqref="AQ51">
    <cfRule type="cellIs" dxfId="3975" priority="1296" operator="lessThan">
      <formula>0</formula>
    </cfRule>
  </conditionalFormatting>
  <conditionalFormatting sqref="AQ51">
    <cfRule type="cellIs" dxfId="3974" priority="1295" operator="lessThan">
      <formula>0</formula>
    </cfRule>
  </conditionalFormatting>
  <conditionalFormatting sqref="AQ51">
    <cfRule type="cellIs" dxfId="3973" priority="1294" operator="lessThan">
      <formula>0</formula>
    </cfRule>
  </conditionalFormatting>
  <conditionalFormatting sqref="AQ51">
    <cfRule type="cellIs" dxfId="3972" priority="1293" operator="lessThan">
      <formula>0</formula>
    </cfRule>
  </conditionalFormatting>
  <conditionalFormatting sqref="AQ51">
    <cfRule type="cellIs" dxfId="3971" priority="1292" operator="lessThan">
      <formula>0</formula>
    </cfRule>
  </conditionalFormatting>
  <conditionalFormatting sqref="AQ51">
    <cfRule type="cellIs" dxfId="3970" priority="1291" operator="lessThan">
      <formula>0</formula>
    </cfRule>
  </conditionalFormatting>
  <conditionalFormatting sqref="AQ51">
    <cfRule type="cellIs" dxfId="3969" priority="1290" operator="lessThan">
      <formula>0</formula>
    </cfRule>
  </conditionalFormatting>
  <conditionalFormatting sqref="AQ51">
    <cfRule type="cellIs" dxfId="3968" priority="1289" operator="lessThan">
      <formula>0</formula>
    </cfRule>
  </conditionalFormatting>
  <conditionalFormatting sqref="AQ51">
    <cfRule type="cellIs" dxfId="3967" priority="1288" operator="lessThan">
      <formula>0</formula>
    </cfRule>
  </conditionalFormatting>
  <conditionalFormatting sqref="AQ51">
    <cfRule type="cellIs" dxfId="3966" priority="1287" operator="lessThan">
      <formula>0</formula>
    </cfRule>
  </conditionalFormatting>
  <conditionalFormatting sqref="AQ51">
    <cfRule type="cellIs" dxfId="3965" priority="1286" operator="lessThan">
      <formula>0</formula>
    </cfRule>
  </conditionalFormatting>
  <conditionalFormatting sqref="AQ51">
    <cfRule type="cellIs" dxfId="3964" priority="1285" operator="lessThan">
      <formula>0</formula>
    </cfRule>
  </conditionalFormatting>
  <conditionalFormatting sqref="AQ51">
    <cfRule type="cellIs" dxfId="3963" priority="1284" operator="lessThan">
      <formula>0</formula>
    </cfRule>
  </conditionalFormatting>
  <conditionalFormatting sqref="AQ51">
    <cfRule type="cellIs" dxfId="3962" priority="1283" operator="lessThan">
      <formula>0</formula>
    </cfRule>
  </conditionalFormatting>
  <conditionalFormatting sqref="AQ51">
    <cfRule type="cellIs" dxfId="3961" priority="1282" operator="lessThan">
      <formula>0</formula>
    </cfRule>
  </conditionalFormatting>
  <conditionalFormatting sqref="AQ51">
    <cfRule type="cellIs" dxfId="3960" priority="1281" operator="lessThan">
      <formula>0</formula>
    </cfRule>
  </conditionalFormatting>
  <conditionalFormatting sqref="AQ51">
    <cfRule type="cellIs" dxfId="3959" priority="1280" operator="lessThan">
      <formula>0</formula>
    </cfRule>
  </conditionalFormatting>
  <conditionalFormatting sqref="AQ51">
    <cfRule type="cellIs" dxfId="3958" priority="1279" operator="lessThan">
      <formula>0</formula>
    </cfRule>
  </conditionalFormatting>
  <conditionalFormatting sqref="AQ51">
    <cfRule type="cellIs" dxfId="3957" priority="1278" operator="lessThan">
      <formula>0</formula>
    </cfRule>
  </conditionalFormatting>
  <conditionalFormatting sqref="AQ51">
    <cfRule type="cellIs" dxfId="3956" priority="1277" operator="lessThan">
      <formula>0</formula>
    </cfRule>
  </conditionalFormatting>
  <conditionalFormatting sqref="AQ51">
    <cfRule type="cellIs" dxfId="3955" priority="1261" operator="lessThan">
      <formula>0</formula>
    </cfRule>
  </conditionalFormatting>
  <conditionalFormatting sqref="AQ51">
    <cfRule type="cellIs" dxfId="3954" priority="1276" operator="lessThan">
      <formula>0</formula>
    </cfRule>
  </conditionalFormatting>
  <conditionalFormatting sqref="AQ51">
    <cfRule type="cellIs" dxfId="3953" priority="1275" operator="lessThan">
      <formula>0</formula>
    </cfRule>
  </conditionalFormatting>
  <conditionalFormatting sqref="AQ51">
    <cfRule type="cellIs" dxfId="3952" priority="1274" operator="lessThan">
      <formula>0</formula>
    </cfRule>
  </conditionalFormatting>
  <conditionalFormatting sqref="AQ51">
    <cfRule type="cellIs" dxfId="3951" priority="1273" operator="lessThan">
      <formula>0</formula>
    </cfRule>
  </conditionalFormatting>
  <conditionalFormatting sqref="AQ51">
    <cfRule type="cellIs" dxfId="3950" priority="1272" operator="lessThan">
      <formula>0</formula>
    </cfRule>
  </conditionalFormatting>
  <conditionalFormatting sqref="AQ51">
    <cfRule type="cellIs" dxfId="3949" priority="1271" operator="lessThan">
      <formula>0</formula>
    </cfRule>
  </conditionalFormatting>
  <conditionalFormatting sqref="AQ51">
    <cfRule type="cellIs" dxfId="3948" priority="1270" operator="lessThan">
      <formula>0</formula>
    </cfRule>
  </conditionalFormatting>
  <conditionalFormatting sqref="AQ51">
    <cfRule type="cellIs" dxfId="3947" priority="1269" operator="lessThan">
      <formula>0</formula>
    </cfRule>
  </conditionalFormatting>
  <conditionalFormatting sqref="AQ51">
    <cfRule type="cellIs" dxfId="3946" priority="1268" operator="lessThan">
      <formula>0</formula>
    </cfRule>
  </conditionalFormatting>
  <conditionalFormatting sqref="AQ51">
    <cfRule type="cellIs" dxfId="3945" priority="1267" operator="lessThan">
      <formula>0</formula>
    </cfRule>
  </conditionalFormatting>
  <conditionalFormatting sqref="AQ51">
    <cfRule type="cellIs" dxfId="3944" priority="1266" operator="lessThan">
      <formula>0</formula>
    </cfRule>
  </conditionalFormatting>
  <conditionalFormatting sqref="AQ51">
    <cfRule type="cellIs" dxfId="3943" priority="1265" operator="lessThan">
      <formula>0</formula>
    </cfRule>
  </conditionalFormatting>
  <conditionalFormatting sqref="AQ51">
    <cfRule type="cellIs" dxfId="3942" priority="1264" operator="lessThan">
      <formula>0</formula>
    </cfRule>
  </conditionalFormatting>
  <conditionalFormatting sqref="AQ51">
    <cfRule type="cellIs" dxfId="3941" priority="1263" operator="lessThan">
      <formula>0</formula>
    </cfRule>
  </conditionalFormatting>
  <conditionalFormatting sqref="AQ51">
    <cfRule type="cellIs" dxfId="3940" priority="1262" operator="lessThan">
      <formula>0</formula>
    </cfRule>
  </conditionalFormatting>
  <conditionalFormatting sqref="AQ67">
    <cfRule type="cellIs" dxfId="3939" priority="1260" operator="lessThan">
      <formula>0</formula>
    </cfRule>
  </conditionalFormatting>
  <conditionalFormatting sqref="AQ67">
    <cfRule type="cellIs" dxfId="3938" priority="1259" operator="lessThan">
      <formula>0</formula>
    </cfRule>
  </conditionalFormatting>
  <conditionalFormatting sqref="AQ67">
    <cfRule type="cellIs" dxfId="3937" priority="1258" operator="lessThan">
      <formula>0</formula>
    </cfRule>
  </conditionalFormatting>
  <conditionalFormatting sqref="AQ67">
    <cfRule type="cellIs" dxfId="3936" priority="1257" operator="lessThan">
      <formula>0</formula>
    </cfRule>
  </conditionalFormatting>
  <conditionalFormatting sqref="AQ67">
    <cfRule type="cellIs" dxfId="3935" priority="1256" operator="lessThan">
      <formula>0</formula>
    </cfRule>
  </conditionalFormatting>
  <conditionalFormatting sqref="AQ67">
    <cfRule type="cellIs" dxfId="3934" priority="1255" operator="lessThan">
      <formula>0</formula>
    </cfRule>
  </conditionalFormatting>
  <conditionalFormatting sqref="AQ67">
    <cfRule type="cellIs" dxfId="3933" priority="1254" operator="lessThan">
      <formula>0</formula>
    </cfRule>
  </conditionalFormatting>
  <conditionalFormatting sqref="AQ67">
    <cfRule type="cellIs" dxfId="3932" priority="1253" operator="lessThan">
      <formula>0</formula>
    </cfRule>
  </conditionalFormatting>
  <conditionalFormatting sqref="AQ67">
    <cfRule type="cellIs" dxfId="3931" priority="1252" operator="lessThan">
      <formula>0</formula>
    </cfRule>
  </conditionalFormatting>
  <conditionalFormatting sqref="AQ67">
    <cfRule type="cellIs" dxfId="3930" priority="1251" operator="lessThan">
      <formula>0</formula>
    </cfRule>
  </conditionalFormatting>
  <conditionalFormatting sqref="AQ67">
    <cfRule type="cellIs" dxfId="3929" priority="1250" operator="lessThan">
      <formula>0</formula>
    </cfRule>
  </conditionalFormatting>
  <conditionalFormatting sqref="AQ67">
    <cfRule type="cellIs" dxfId="3928" priority="1249" operator="lessThan">
      <formula>0</formula>
    </cfRule>
  </conditionalFormatting>
  <conditionalFormatting sqref="AQ67">
    <cfRule type="cellIs" dxfId="3927" priority="1248" operator="lessThan">
      <formula>0</formula>
    </cfRule>
  </conditionalFormatting>
  <conditionalFormatting sqref="AQ67">
    <cfRule type="cellIs" dxfId="3926" priority="1247" operator="lessThan">
      <formula>0</formula>
    </cfRule>
  </conditionalFormatting>
  <conditionalFormatting sqref="AQ67">
    <cfRule type="cellIs" dxfId="3925" priority="1246" operator="lessThan">
      <formula>0</formula>
    </cfRule>
  </conditionalFormatting>
  <conditionalFormatting sqref="AQ67">
    <cfRule type="cellIs" dxfId="3924" priority="1245" operator="lessThan">
      <formula>0</formula>
    </cfRule>
  </conditionalFormatting>
  <conditionalFormatting sqref="AQ67">
    <cfRule type="cellIs" dxfId="3923" priority="1244" operator="lessThan">
      <formula>0</formula>
    </cfRule>
  </conditionalFormatting>
  <conditionalFormatting sqref="AQ67">
    <cfRule type="cellIs" dxfId="3922" priority="1243" operator="lessThan">
      <formula>0</formula>
    </cfRule>
  </conditionalFormatting>
  <conditionalFormatting sqref="AQ67">
    <cfRule type="cellIs" dxfId="3921" priority="1242" operator="lessThan">
      <formula>0</formula>
    </cfRule>
  </conditionalFormatting>
  <conditionalFormatting sqref="AQ67">
    <cfRule type="cellIs" dxfId="3920" priority="1241" operator="lessThan">
      <formula>0</formula>
    </cfRule>
  </conditionalFormatting>
  <conditionalFormatting sqref="AQ67">
    <cfRule type="cellIs" dxfId="3919" priority="1240" operator="lessThan">
      <formula>0</formula>
    </cfRule>
  </conditionalFormatting>
  <conditionalFormatting sqref="AQ67">
    <cfRule type="cellIs" dxfId="3918" priority="1239" operator="lessThan">
      <formula>0</formula>
    </cfRule>
  </conditionalFormatting>
  <conditionalFormatting sqref="AQ67">
    <cfRule type="cellIs" dxfId="3917" priority="1238" operator="lessThan">
      <formula>0</formula>
    </cfRule>
  </conditionalFormatting>
  <conditionalFormatting sqref="AQ67">
    <cfRule type="cellIs" dxfId="3916" priority="1237" operator="lessThan">
      <formula>0</formula>
    </cfRule>
  </conditionalFormatting>
  <conditionalFormatting sqref="AQ67">
    <cfRule type="cellIs" dxfId="3915" priority="1236" operator="lessThan">
      <formula>0</formula>
    </cfRule>
  </conditionalFormatting>
  <conditionalFormatting sqref="AQ67">
    <cfRule type="cellIs" dxfId="3914" priority="1235" operator="lessThan">
      <formula>0</formula>
    </cfRule>
  </conditionalFormatting>
  <conditionalFormatting sqref="AQ67">
    <cfRule type="cellIs" dxfId="3913" priority="1234" operator="lessThan">
      <formula>0</formula>
    </cfRule>
  </conditionalFormatting>
  <conditionalFormatting sqref="AQ67">
    <cfRule type="cellIs" dxfId="3912" priority="1233" operator="lessThan">
      <formula>0</formula>
    </cfRule>
  </conditionalFormatting>
  <conditionalFormatting sqref="AQ67">
    <cfRule type="cellIs" dxfId="3911" priority="1232" operator="lessThan">
      <formula>0</formula>
    </cfRule>
  </conditionalFormatting>
  <conditionalFormatting sqref="AQ67">
    <cfRule type="cellIs" dxfId="3910" priority="1231" operator="lessThan">
      <formula>0</formula>
    </cfRule>
  </conditionalFormatting>
  <conditionalFormatting sqref="AQ67">
    <cfRule type="cellIs" dxfId="3909" priority="1230" operator="lessThan">
      <formula>0</formula>
    </cfRule>
  </conditionalFormatting>
  <conditionalFormatting sqref="AQ67">
    <cfRule type="cellIs" dxfId="3908" priority="1229" operator="lessThan">
      <formula>0</formula>
    </cfRule>
  </conditionalFormatting>
  <conditionalFormatting sqref="AQ67">
    <cfRule type="cellIs" dxfId="3907" priority="1228" operator="lessThan">
      <formula>0</formula>
    </cfRule>
  </conditionalFormatting>
  <conditionalFormatting sqref="AQ67">
    <cfRule type="cellIs" dxfId="3906" priority="1227" operator="lessThan">
      <formula>0</formula>
    </cfRule>
  </conditionalFormatting>
  <conditionalFormatting sqref="AQ67">
    <cfRule type="cellIs" dxfId="3905" priority="1226" operator="lessThan">
      <formula>0</formula>
    </cfRule>
  </conditionalFormatting>
  <conditionalFormatting sqref="AQ67">
    <cfRule type="cellIs" dxfId="3904" priority="1225" operator="lessThan">
      <formula>0</formula>
    </cfRule>
  </conditionalFormatting>
  <conditionalFormatting sqref="AQ67">
    <cfRule type="cellIs" dxfId="3903" priority="1224" operator="lessThan">
      <formula>0</formula>
    </cfRule>
  </conditionalFormatting>
  <conditionalFormatting sqref="AQ67">
    <cfRule type="cellIs" dxfId="3902" priority="1223" operator="lessThan">
      <formula>0</formula>
    </cfRule>
  </conditionalFormatting>
  <conditionalFormatting sqref="AQ67">
    <cfRule type="cellIs" dxfId="3901" priority="1222" operator="lessThan">
      <formula>0</formula>
    </cfRule>
  </conditionalFormatting>
  <conditionalFormatting sqref="AQ67">
    <cfRule type="cellIs" dxfId="3900" priority="1221" operator="lessThan">
      <formula>0</formula>
    </cfRule>
  </conditionalFormatting>
  <conditionalFormatting sqref="AQ67">
    <cfRule type="cellIs" dxfId="3899" priority="1220" operator="lessThan">
      <formula>0</formula>
    </cfRule>
  </conditionalFormatting>
  <conditionalFormatting sqref="AQ67">
    <cfRule type="cellIs" dxfId="3898" priority="1219" operator="lessThan">
      <formula>0</formula>
    </cfRule>
  </conditionalFormatting>
  <conditionalFormatting sqref="AQ67">
    <cfRule type="cellIs" dxfId="3897" priority="1218" operator="lessThan">
      <formula>0</formula>
    </cfRule>
  </conditionalFormatting>
  <conditionalFormatting sqref="AQ67">
    <cfRule type="cellIs" dxfId="3896" priority="1217" operator="lessThan">
      <formula>0</formula>
    </cfRule>
  </conditionalFormatting>
  <conditionalFormatting sqref="AQ67">
    <cfRule type="cellIs" dxfId="3895" priority="1216" operator="lessThan">
      <formula>0</formula>
    </cfRule>
  </conditionalFormatting>
  <conditionalFormatting sqref="AQ67">
    <cfRule type="cellIs" dxfId="3894" priority="1215" operator="lessThan">
      <formula>0</formula>
    </cfRule>
  </conditionalFormatting>
  <conditionalFormatting sqref="AQ67">
    <cfRule type="cellIs" dxfId="3893" priority="1214" operator="lessThan">
      <formula>0</formula>
    </cfRule>
  </conditionalFormatting>
  <conditionalFormatting sqref="AQ67">
    <cfRule type="cellIs" dxfId="3892" priority="1213" operator="lessThan">
      <formula>0</formula>
    </cfRule>
  </conditionalFormatting>
  <conditionalFormatting sqref="AQ67">
    <cfRule type="cellIs" dxfId="3891" priority="1212" operator="lessThan">
      <formula>0</formula>
    </cfRule>
  </conditionalFormatting>
  <conditionalFormatting sqref="AQ67">
    <cfRule type="cellIs" dxfId="3890" priority="1211" operator="lessThan">
      <formula>0</formula>
    </cfRule>
  </conditionalFormatting>
  <conditionalFormatting sqref="AQ67">
    <cfRule type="cellIs" dxfId="3889" priority="1210" operator="lessThan">
      <formula>0</formula>
    </cfRule>
  </conditionalFormatting>
  <conditionalFormatting sqref="AQ67">
    <cfRule type="cellIs" dxfId="3888" priority="1209" operator="lessThan">
      <formula>0</formula>
    </cfRule>
  </conditionalFormatting>
  <conditionalFormatting sqref="AQ67">
    <cfRule type="cellIs" dxfId="3887" priority="1208" operator="lessThan">
      <formula>0</formula>
    </cfRule>
  </conditionalFormatting>
  <conditionalFormatting sqref="AQ67">
    <cfRule type="cellIs" dxfId="3886" priority="1207" operator="lessThan">
      <formula>0</formula>
    </cfRule>
  </conditionalFormatting>
  <conditionalFormatting sqref="AQ67">
    <cfRule type="cellIs" dxfId="3885" priority="1206" operator="lessThan">
      <formula>0</formula>
    </cfRule>
  </conditionalFormatting>
  <conditionalFormatting sqref="AQ67">
    <cfRule type="cellIs" dxfId="3884" priority="1205" operator="lessThan">
      <formula>0</formula>
    </cfRule>
  </conditionalFormatting>
  <conditionalFormatting sqref="AQ67">
    <cfRule type="cellIs" dxfId="3883" priority="1204" operator="lessThan">
      <formula>0</formula>
    </cfRule>
  </conditionalFormatting>
  <conditionalFormatting sqref="AQ67">
    <cfRule type="cellIs" dxfId="3882" priority="1203" operator="lessThan">
      <formula>0</formula>
    </cfRule>
  </conditionalFormatting>
  <conditionalFormatting sqref="AQ67">
    <cfRule type="cellIs" dxfId="3881" priority="1202" operator="lessThan">
      <formula>0</formula>
    </cfRule>
  </conditionalFormatting>
  <conditionalFormatting sqref="AQ67">
    <cfRule type="cellIs" dxfId="3880" priority="1201" operator="lessThan">
      <formula>0</formula>
    </cfRule>
  </conditionalFormatting>
  <conditionalFormatting sqref="AQ67">
    <cfRule type="cellIs" dxfId="3879" priority="1200" operator="lessThan">
      <formula>0</formula>
    </cfRule>
  </conditionalFormatting>
  <conditionalFormatting sqref="AQ67">
    <cfRule type="cellIs" dxfId="3878" priority="1199" operator="lessThan">
      <formula>0</formula>
    </cfRule>
  </conditionalFormatting>
  <conditionalFormatting sqref="AQ67">
    <cfRule type="cellIs" dxfId="3877" priority="1198" operator="lessThan">
      <formula>0</formula>
    </cfRule>
  </conditionalFormatting>
  <conditionalFormatting sqref="AQ67">
    <cfRule type="cellIs" dxfId="3876" priority="1197" operator="lessThan">
      <formula>0</formula>
    </cfRule>
  </conditionalFormatting>
  <conditionalFormatting sqref="AQ67">
    <cfRule type="cellIs" dxfId="3875" priority="1196" operator="lessThan">
      <formula>0</formula>
    </cfRule>
  </conditionalFormatting>
  <conditionalFormatting sqref="AQ67">
    <cfRule type="cellIs" dxfId="3874" priority="1195" operator="lessThan">
      <formula>0</formula>
    </cfRule>
  </conditionalFormatting>
  <conditionalFormatting sqref="AQ67">
    <cfRule type="cellIs" dxfId="3873" priority="1194" operator="lessThan">
      <formula>0</formula>
    </cfRule>
  </conditionalFormatting>
  <conditionalFormatting sqref="AQ67">
    <cfRule type="cellIs" dxfId="3872" priority="1193" operator="lessThan">
      <formula>0</formula>
    </cfRule>
  </conditionalFormatting>
  <conditionalFormatting sqref="AQ67">
    <cfRule type="cellIs" dxfId="3871" priority="1192" operator="lessThan">
      <formula>0</formula>
    </cfRule>
  </conditionalFormatting>
  <conditionalFormatting sqref="AQ67">
    <cfRule type="cellIs" dxfId="3870" priority="1191" operator="lessThan">
      <formula>0</formula>
    </cfRule>
  </conditionalFormatting>
  <conditionalFormatting sqref="AQ67">
    <cfRule type="cellIs" dxfId="3869" priority="1190" operator="lessThan">
      <formula>0</formula>
    </cfRule>
  </conditionalFormatting>
  <conditionalFormatting sqref="AQ67">
    <cfRule type="cellIs" dxfId="3868" priority="1189" operator="lessThan">
      <formula>0</formula>
    </cfRule>
  </conditionalFormatting>
  <conditionalFormatting sqref="AQ67">
    <cfRule type="cellIs" dxfId="3867" priority="1188" operator="lessThan">
      <formula>0</formula>
    </cfRule>
  </conditionalFormatting>
  <conditionalFormatting sqref="AQ67">
    <cfRule type="cellIs" dxfId="3866" priority="1187" operator="lessThan">
      <formula>0</formula>
    </cfRule>
  </conditionalFormatting>
  <conditionalFormatting sqref="AQ67">
    <cfRule type="cellIs" dxfId="3865" priority="1186" operator="lessThan">
      <formula>0</formula>
    </cfRule>
  </conditionalFormatting>
  <conditionalFormatting sqref="AQ67">
    <cfRule type="cellIs" dxfId="3864" priority="1185" operator="lessThan">
      <formula>0</formula>
    </cfRule>
  </conditionalFormatting>
  <conditionalFormatting sqref="AQ67">
    <cfRule type="cellIs" dxfId="3863" priority="1184" operator="lessThan">
      <formula>0</formula>
    </cfRule>
  </conditionalFormatting>
  <conditionalFormatting sqref="AQ67">
    <cfRule type="cellIs" dxfId="3862" priority="1183" operator="lessThan">
      <formula>0</formula>
    </cfRule>
  </conditionalFormatting>
  <conditionalFormatting sqref="AQ67">
    <cfRule type="cellIs" dxfId="3861" priority="1182" operator="lessThan">
      <formula>0</formula>
    </cfRule>
  </conditionalFormatting>
  <conditionalFormatting sqref="AQ67">
    <cfRule type="cellIs" dxfId="3860" priority="1181" operator="lessThan">
      <formula>0</formula>
    </cfRule>
  </conditionalFormatting>
  <conditionalFormatting sqref="AQ67">
    <cfRule type="cellIs" dxfId="3859" priority="1165" operator="lessThan">
      <formula>0</formula>
    </cfRule>
  </conditionalFormatting>
  <conditionalFormatting sqref="AQ67">
    <cfRule type="cellIs" dxfId="3858" priority="1180" operator="lessThan">
      <formula>0</formula>
    </cfRule>
  </conditionalFormatting>
  <conditionalFormatting sqref="AQ67">
    <cfRule type="cellIs" dxfId="3857" priority="1179" operator="lessThan">
      <formula>0</formula>
    </cfRule>
  </conditionalFormatting>
  <conditionalFormatting sqref="AQ67">
    <cfRule type="cellIs" dxfId="3856" priority="1178" operator="lessThan">
      <formula>0</formula>
    </cfRule>
  </conditionalFormatting>
  <conditionalFormatting sqref="AQ67">
    <cfRule type="cellIs" dxfId="3855" priority="1177" operator="lessThan">
      <formula>0</formula>
    </cfRule>
  </conditionalFormatting>
  <conditionalFormatting sqref="AQ67">
    <cfRule type="cellIs" dxfId="3854" priority="1176" operator="lessThan">
      <formula>0</formula>
    </cfRule>
  </conditionalFormatting>
  <conditionalFormatting sqref="AQ67">
    <cfRule type="cellIs" dxfId="3853" priority="1175" operator="lessThan">
      <formula>0</formula>
    </cfRule>
  </conditionalFormatting>
  <conditionalFormatting sqref="AQ67">
    <cfRule type="cellIs" dxfId="3852" priority="1174" operator="lessThan">
      <formula>0</formula>
    </cfRule>
  </conditionalFormatting>
  <conditionalFormatting sqref="AQ67">
    <cfRule type="cellIs" dxfId="3851" priority="1173" operator="lessThan">
      <formula>0</formula>
    </cfRule>
  </conditionalFormatting>
  <conditionalFormatting sqref="AQ67">
    <cfRule type="cellIs" dxfId="3850" priority="1172" operator="lessThan">
      <formula>0</formula>
    </cfRule>
  </conditionalFormatting>
  <conditionalFormatting sqref="AQ67">
    <cfRule type="cellIs" dxfId="3849" priority="1171" operator="lessThan">
      <formula>0</formula>
    </cfRule>
  </conditionalFormatting>
  <conditionalFormatting sqref="AQ67">
    <cfRule type="cellIs" dxfId="3848" priority="1170" operator="lessThan">
      <formula>0</formula>
    </cfRule>
  </conditionalFormatting>
  <conditionalFormatting sqref="AQ67">
    <cfRule type="cellIs" dxfId="3847" priority="1169" operator="lessThan">
      <formula>0</formula>
    </cfRule>
  </conditionalFormatting>
  <conditionalFormatting sqref="AQ67">
    <cfRule type="cellIs" dxfId="3846" priority="1168" operator="lessThan">
      <formula>0</formula>
    </cfRule>
  </conditionalFormatting>
  <conditionalFormatting sqref="AQ67">
    <cfRule type="cellIs" dxfId="3845" priority="1167" operator="lessThan">
      <formula>0</formula>
    </cfRule>
  </conditionalFormatting>
  <conditionalFormatting sqref="AQ67">
    <cfRule type="cellIs" dxfId="3844" priority="1166" operator="lessThan">
      <formula>0</formula>
    </cfRule>
  </conditionalFormatting>
  <conditionalFormatting sqref="AQ67">
    <cfRule type="cellIs" dxfId="3843" priority="1164" operator="lessThan">
      <formula>0</formula>
    </cfRule>
  </conditionalFormatting>
  <conditionalFormatting sqref="AQ67">
    <cfRule type="cellIs" dxfId="3842" priority="1163" operator="lessThan">
      <formula>0</formula>
    </cfRule>
  </conditionalFormatting>
  <conditionalFormatting sqref="AQ67">
    <cfRule type="cellIs" dxfId="3841" priority="1162" operator="lessThan">
      <formula>0</formula>
    </cfRule>
  </conditionalFormatting>
  <conditionalFormatting sqref="AQ67">
    <cfRule type="cellIs" dxfId="3840" priority="1161" operator="lessThan">
      <formula>0</formula>
    </cfRule>
  </conditionalFormatting>
  <conditionalFormatting sqref="AQ67">
    <cfRule type="cellIs" dxfId="3839" priority="1160" operator="lessThan">
      <formula>0</formula>
    </cfRule>
  </conditionalFormatting>
  <conditionalFormatting sqref="AQ67">
    <cfRule type="cellIs" dxfId="3838" priority="1159" operator="lessThan">
      <formula>0</formula>
    </cfRule>
  </conditionalFormatting>
  <conditionalFormatting sqref="AQ67">
    <cfRule type="cellIs" dxfId="3837" priority="1158" operator="lessThan">
      <formula>0</formula>
    </cfRule>
  </conditionalFormatting>
  <conditionalFormatting sqref="AQ67">
    <cfRule type="cellIs" dxfId="3836" priority="1157" operator="lessThan">
      <formula>0</formula>
    </cfRule>
  </conditionalFormatting>
  <conditionalFormatting sqref="AQ67">
    <cfRule type="cellIs" dxfId="3835" priority="1156" operator="lessThan">
      <formula>0</formula>
    </cfRule>
  </conditionalFormatting>
  <conditionalFormatting sqref="AQ67">
    <cfRule type="cellIs" dxfId="3834" priority="1155" operator="lessThan">
      <formula>0</formula>
    </cfRule>
  </conditionalFormatting>
  <conditionalFormatting sqref="AQ67">
    <cfRule type="cellIs" dxfId="3833" priority="1154" operator="lessThan">
      <formula>0</formula>
    </cfRule>
  </conditionalFormatting>
  <conditionalFormatting sqref="AQ67">
    <cfRule type="cellIs" dxfId="3832" priority="1153" operator="lessThan">
      <formula>0</formula>
    </cfRule>
  </conditionalFormatting>
  <conditionalFormatting sqref="AQ67">
    <cfRule type="cellIs" dxfId="3831" priority="1152" operator="lessThan">
      <formula>0</formula>
    </cfRule>
  </conditionalFormatting>
  <conditionalFormatting sqref="AQ67">
    <cfRule type="cellIs" dxfId="3830" priority="1151" operator="lessThan">
      <formula>0</formula>
    </cfRule>
  </conditionalFormatting>
  <conditionalFormatting sqref="AQ67">
    <cfRule type="cellIs" dxfId="3829" priority="1150" operator="lessThan">
      <formula>0</formula>
    </cfRule>
  </conditionalFormatting>
  <conditionalFormatting sqref="AQ67">
    <cfRule type="cellIs" dxfId="3828" priority="1149" operator="lessThan">
      <formula>0</formula>
    </cfRule>
  </conditionalFormatting>
  <conditionalFormatting sqref="AQ67">
    <cfRule type="cellIs" dxfId="3827" priority="1148" operator="lessThan">
      <formula>0</formula>
    </cfRule>
  </conditionalFormatting>
  <conditionalFormatting sqref="AQ67">
    <cfRule type="cellIs" dxfId="3826" priority="1147" operator="lessThan">
      <formula>0</formula>
    </cfRule>
  </conditionalFormatting>
  <conditionalFormatting sqref="AQ67">
    <cfRule type="cellIs" dxfId="3825" priority="1146" operator="lessThan">
      <formula>0</formula>
    </cfRule>
  </conditionalFormatting>
  <conditionalFormatting sqref="AQ67">
    <cfRule type="cellIs" dxfId="3824" priority="1145" operator="lessThan">
      <formula>0</formula>
    </cfRule>
  </conditionalFormatting>
  <conditionalFormatting sqref="AQ67">
    <cfRule type="cellIs" dxfId="3823" priority="1144" operator="lessThan">
      <formula>0</formula>
    </cfRule>
  </conditionalFormatting>
  <conditionalFormatting sqref="AQ67">
    <cfRule type="cellIs" dxfId="3822" priority="1143" operator="lessThan">
      <formula>0</formula>
    </cfRule>
  </conditionalFormatting>
  <conditionalFormatting sqref="AQ67">
    <cfRule type="cellIs" dxfId="3821" priority="1142" operator="lessThan">
      <formula>0</formula>
    </cfRule>
  </conditionalFormatting>
  <conditionalFormatting sqref="AQ67">
    <cfRule type="cellIs" dxfId="3820" priority="1141" operator="lessThan">
      <formula>0</formula>
    </cfRule>
  </conditionalFormatting>
  <conditionalFormatting sqref="AQ67">
    <cfRule type="cellIs" dxfId="3819" priority="1140" operator="lessThan">
      <formula>0</formula>
    </cfRule>
  </conditionalFormatting>
  <conditionalFormatting sqref="AQ67">
    <cfRule type="cellIs" dxfId="3818" priority="1139" operator="lessThan">
      <formula>0</formula>
    </cfRule>
  </conditionalFormatting>
  <conditionalFormatting sqref="AQ67">
    <cfRule type="cellIs" dxfId="3817" priority="1138" operator="lessThan">
      <formula>0</formula>
    </cfRule>
  </conditionalFormatting>
  <conditionalFormatting sqref="AQ67">
    <cfRule type="cellIs" dxfId="3816" priority="1137" operator="lessThan">
      <formula>0</formula>
    </cfRule>
  </conditionalFormatting>
  <conditionalFormatting sqref="AQ67">
    <cfRule type="cellIs" dxfId="3815" priority="1136" operator="lessThan">
      <formula>0</formula>
    </cfRule>
  </conditionalFormatting>
  <conditionalFormatting sqref="AQ67">
    <cfRule type="cellIs" dxfId="3814" priority="1135" operator="lessThan">
      <formula>0</formula>
    </cfRule>
  </conditionalFormatting>
  <conditionalFormatting sqref="AQ67">
    <cfRule type="cellIs" dxfId="3813" priority="1134" operator="lessThan">
      <formula>0</formula>
    </cfRule>
  </conditionalFormatting>
  <conditionalFormatting sqref="AQ67">
    <cfRule type="cellIs" dxfId="3812" priority="1133" operator="lessThan">
      <formula>0</formula>
    </cfRule>
  </conditionalFormatting>
  <conditionalFormatting sqref="AQ67">
    <cfRule type="cellIs" dxfId="3811" priority="1132" operator="lessThan">
      <formula>0</formula>
    </cfRule>
  </conditionalFormatting>
  <conditionalFormatting sqref="AQ67">
    <cfRule type="cellIs" dxfId="3810" priority="1131" operator="lessThan">
      <formula>0</formula>
    </cfRule>
  </conditionalFormatting>
  <conditionalFormatting sqref="AQ67">
    <cfRule type="cellIs" dxfId="3809" priority="1130" operator="lessThan">
      <formula>0</formula>
    </cfRule>
  </conditionalFormatting>
  <conditionalFormatting sqref="AQ67">
    <cfRule type="cellIs" dxfId="3808" priority="1129" operator="lessThan">
      <formula>0</formula>
    </cfRule>
  </conditionalFormatting>
  <conditionalFormatting sqref="AQ67">
    <cfRule type="cellIs" dxfId="3807" priority="1128" operator="lessThan">
      <formula>0</formula>
    </cfRule>
  </conditionalFormatting>
  <conditionalFormatting sqref="AQ67">
    <cfRule type="cellIs" dxfId="3806" priority="1127" operator="lessThan">
      <formula>0</formula>
    </cfRule>
  </conditionalFormatting>
  <conditionalFormatting sqref="AQ67">
    <cfRule type="cellIs" dxfId="3805" priority="1126" operator="lessThan">
      <formula>0</formula>
    </cfRule>
  </conditionalFormatting>
  <conditionalFormatting sqref="AQ67">
    <cfRule type="cellIs" dxfId="3804" priority="1125" operator="lessThan">
      <formula>0</formula>
    </cfRule>
  </conditionalFormatting>
  <conditionalFormatting sqref="AQ67">
    <cfRule type="cellIs" dxfId="3803" priority="1124" operator="lessThan">
      <formula>0</formula>
    </cfRule>
  </conditionalFormatting>
  <conditionalFormatting sqref="AQ67">
    <cfRule type="cellIs" dxfId="3802" priority="1123" operator="lessThan">
      <formula>0</formula>
    </cfRule>
  </conditionalFormatting>
  <conditionalFormatting sqref="AQ67">
    <cfRule type="cellIs" dxfId="3801" priority="1122" operator="lessThan">
      <formula>0</formula>
    </cfRule>
  </conditionalFormatting>
  <conditionalFormatting sqref="AQ67">
    <cfRule type="cellIs" dxfId="3800" priority="1121" operator="lessThan">
      <formula>0</formula>
    </cfRule>
  </conditionalFormatting>
  <conditionalFormatting sqref="AQ67">
    <cfRule type="cellIs" dxfId="3799" priority="1120" operator="lessThan">
      <formula>0</formula>
    </cfRule>
  </conditionalFormatting>
  <conditionalFormatting sqref="AQ67">
    <cfRule type="cellIs" dxfId="3798" priority="1119" operator="lessThan">
      <formula>0</formula>
    </cfRule>
  </conditionalFormatting>
  <conditionalFormatting sqref="AQ67">
    <cfRule type="cellIs" dxfId="3797" priority="1118" operator="lessThan">
      <formula>0</formula>
    </cfRule>
  </conditionalFormatting>
  <conditionalFormatting sqref="AQ67">
    <cfRule type="cellIs" dxfId="3796" priority="1117" operator="lessThan">
      <formula>0</formula>
    </cfRule>
  </conditionalFormatting>
  <conditionalFormatting sqref="AQ67">
    <cfRule type="cellIs" dxfId="3795" priority="1116" operator="lessThan">
      <formula>0</formula>
    </cfRule>
  </conditionalFormatting>
  <conditionalFormatting sqref="AQ67">
    <cfRule type="cellIs" dxfId="3794" priority="1115" operator="lessThan">
      <formula>0</formula>
    </cfRule>
  </conditionalFormatting>
  <conditionalFormatting sqref="AQ67">
    <cfRule type="cellIs" dxfId="3793" priority="1114" operator="lessThan">
      <formula>0</formula>
    </cfRule>
  </conditionalFormatting>
  <conditionalFormatting sqref="AQ67">
    <cfRule type="cellIs" dxfId="3792" priority="1113" operator="lessThan">
      <formula>0</formula>
    </cfRule>
  </conditionalFormatting>
  <conditionalFormatting sqref="AQ67">
    <cfRule type="cellIs" dxfId="3791" priority="1112" operator="lessThan">
      <formula>0</formula>
    </cfRule>
  </conditionalFormatting>
  <conditionalFormatting sqref="AQ67">
    <cfRule type="cellIs" dxfId="3790" priority="1111" operator="lessThan">
      <formula>0</formula>
    </cfRule>
  </conditionalFormatting>
  <conditionalFormatting sqref="AQ67">
    <cfRule type="cellIs" dxfId="3789" priority="1110" operator="lessThan">
      <formula>0</formula>
    </cfRule>
  </conditionalFormatting>
  <conditionalFormatting sqref="AQ67">
    <cfRule type="cellIs" dxfId="3788" priority="1109" operator="lessThan">
      <formula>0</formula>
    </cfRule>
  </conditionalFormatting>
  <conditionalFormatting sqref="AQ67">
    <cfRule type="cellIs" dxfId="3787" priority="1108" operator="lessThan">
      <formula>0</formula>
    </cfRule>
  </conditionalFormatting>
  <conditionalFormatting sqref="AQ67">
    <cfRule type="cellIs" dxfId="3786" priority="1107" operator="lessThan">
      <formula>0</formula>
    </cfRule>
  </conditionalFormatting>
  <conditionalFormatting sqref="AQ67">
    <cfRule type="cellIs" dxfId="3785" priority="1106" operator="lessThan">
      <formula>0</formula>
    </cfRule>
  </conditionalFormatting>
  <conditionalFormatting sqref="AQ67">
    <cfRule type="cellIs" dxfId="3784" priority="1105" operator="lessThan">
      <formula>0</formula>
    </cfRule>
  </conditionalFormatting>
  <conditionalFormatting sqref="AQ67">
    <cfRule type="cellIs" dxfId="3783" priority="1104" operator="lessThan">
      <formula>0</formula>
    </cfRule>
  </conditionalFormatting>
  <conditionalFormatting sqref="AQ67">
    <cfRule type="cellIs" dxfId="3782" priority="1103" operator="lessThan">
      <formula>0</formula>
    </cfRule>
  </conditionalFormatting>
  <conditionalFormatting sqref="AQ67">
    <cfRule type="cellIs" dxfId="3781" priority="1102" operator="lessThan">
      <formula>0</formula>
    </cfRule>
  </conditionalFormatting>
  <conditionalFormatting sqref="AQ67">
    <cfRule type="cellIs" dxfId="3780" priority="1101" operator="lessThan">
      <formula>0</formula>
    </cfRule>
  </conditionalFormatting>
  <conditionalFormatting sqref="AQ67">
    <cfRule type="cellIs" dxfId="3779" priority="1100" operator="lessThan">
      <formula>0</formula>
    </cfRule>
  </conditionalFormatting>
  <conditionalFormatting sqref="AQ67">
    <cfRule type="cellIs" dxfId="3778" priority="1099" operator="lessThan">
      <formula>0</formula>
    </cfRule>
  </conditionalFormatting>
  <conditionalFormatting sqref="AQ67">
    <cfRule type="cellIs" dxfId="3777" priority="1098" operator="lessThan">
      <formula>0</formula>
    </cfRule>
  </conditionalFormatting>
  <conditionalFormatting sqref="AQ67">
    <cfRule type="cellIs" dxfId="3776" priority="1097" operator="lessThan">
      <formula>0</formula>
    </cfRule>
  </conditionalFormatting>
  <conditionalFormatting sqref="AQ67">
    <cfRule type="cellIs" dxfId="3775" priority="1096" operator="lessThan">
      <formula>0</formula>
    </cfRule>
  </conditionalFormatting>
  <conditionalFormatting sqref="AQ67">
    <cfRule type="cellIs" dxfId="3774" priority="1095" operator="lessThan">
      <formula>0</formula>
    </cfRule>
  </conditionalFormatting>
  <conditionalFormatting sqref="AQ67">
    <cfRule type="cellIs" dxfId="3773" priority="1094" operator="lessThan">
      <formula>0</formula>
    </cfRule>
  </conditionalFormatting>
  <conditionalFormatting sqref="AQ67">
    <cfRule type="cellIs" dxfId="3772" priority="1093" operator="lessThan">
      <formula>0</formula>
    </cfRule>
  </conditionalFormatting>
  <conditionalFormatting sqref="AQ67">
    <cfRule type="cellIs" dxfId="3771" priority="1092" operator="lessThan">
      <formula>0</formula>
    </cfRule>
  </conditionalFormatting>
  <conditionalFormatting sqref="AQ67">
    <cfRule type="cellIs" dxfId="3770" priority="1091" operator="lessThan">
      <formula>0</formula>
    </cfRule>
  </conditionalFormatting>
  <conditionalFormatting sqref="AQ67">
    <cfRule type="cellIs" dxfId="3769" priority="1090" operator="lessThan">
      <formula>0</formula>
    </cfRule>
  </conditionalFormatting>
  <conditionalFormatting sqref="AQ67">
    <cfRule type="cellIs" dxfId="3768" priority="1089" operator="lessThan">
      <formula>0</formula>
    </cfRule>
  </conditionalFormatting>
  <conditionalFormatting sqref="AQ67">
    <cfRule type="cellIs" dxfId="3767" priority="1088" operator="lessThan">
      <formula>0</formula>
    </cfRule>
  </conditionalFormatting>
  <conditionalFormatting sqref="AQ67">
    <cfRule type="cellIs" dxfId="3766" priority="1087" operator="lessThan">
      <formula>0</formula>
    </cfRule>
  </conditionalFormatting>
  <conditionalFormatting sqref="AQ67">
    <cfRule type="cellIs" dxfId="3765" priority="1086" operator="lessThan">
      <formula>0</formula>
    </cfRule>
  </conditionalFormatting>
  <conditionalFormatting sqref="AQ67">
    <cfRule type="cellIs" dxfId="3764" priority="1085" operator="lessThan">
      <formula>0</formula>
    </cfRule>
  </conditionalFormatting>
  <conditionalFormatting sqref="AQ67">
    <cfRule type="cellIs" dxfId="3763" priority="1069" operator="lessThan">
      <formula>0</formula>
    </cfRule>
  </conditionalFormatting>
  <conditionalFormatting sqref="AQ67">
    <cfRule type="cellIs" dxfId="3762" priority="1084" operator="lessThan">
      <formula>0</formula>
    </cfRule>
  </conditionalFormatting>
  <conditionalFormatting sqref="AQ67">
    <cfRule type="cellIs" dxfId="3761" priority="1083" operator="lessThan">
      <formula>0</formula>
    </cfRule>
  </conditionalFormatting>
  <conditionalFormatting sqref="AQ67">
    <cfRule type="cellIs" dxfId="3760" priority="1082" operator="lessThan">
      <formula>0</formula>
    </cfRule>
  </conditionalFormatting>
  <conditionalFormatting sqref="AQ67">
    <cfRule type="cellIs" dxfId="3759" priority="1081" operator="lessThan">
      <formula>0</formula>
    </cfRule>
  </conditionalFormatting>
  <conditionalFormatting sqref="AQ67">
    <cfRule type="cellIs" dxfId="3758" priority="1080" operator="lessThan">
      <formula>0</formula>
    </cfRule>
  </conditionalFormatting>
  <conditionalFormatting sqref="AQ67">
    <cfRule type="cellIs" dxfId="3757" priority="1079" operator="lessThan">
      <formula>0</formula>
    </cfRule>
  </conditionalFormatting>
  <conditionalFormatting sqref="AQ67">
    <cfRule type="cellIs" dxfId="3756" priority="1078" operator="lessThan">
      <formula>0</formula>
    </cfRule>
  </conditionalFormatting>
  <conditionalFormatting sqref="AQ67">
    <cfRule type="cellIs" dxfId="3755" priority="1077" operator="lessThan">
      <formula>0</formula>
    </cfRule>
  </conditionalFormatting>
  <conditionalFormatting sqref="AQ67">
    <cfRule type="cellIs" dxfId="3754" priority="1076" operator="lessThan">
      <formula>0</formula>
    </cfRule>
  </conditionalFormatting>
  <conditionalFormatting sqref="AQ67">
    <cfRule type="cellIs" dxfId="3753" priority="1075" operator="lessThan">
      <formula>0</formula>
    </cfRule>
  </conditionalFormatting>
  <conditionalFormatting sqref="AQ67">
    <cfRule type="cellIs" dxfId="3752" priority="1074" operator="lessThan">
      <formula>0</formula>
    </cfRule>
  </conditionalFormatting>
  <conditionalFormatting sqref="AQ67">
    <cfRule type="cellIs" dxfId="3751" priority="1073" operator="lessThan">
      <formula>0</formula>
    </cfRule>
  </conditionalFormatting>
  <conditionalFormatting sqref="AQ67">
    <cfRule type="cellIs" dxfId="3750" priority="1072" operator="lessThan">
      <formula>0</formula>
    </cfRule>
  </conditionalFormatting>
  <conditionalFormatting sqref="AQ67">
    <cfRule type="cellIs" dxfId="3749" priority="1071" operator="lessThan">
      <formula>0</formula>
    </cfRule>
  </conditionalFormatting>
  <conditionalFormatting sqref="AQ67">
    <cfRule type="cellIs" dxfId="3748" priority="1070" operator="lessThan">
      <formula>0</formula>
    </cfRule>
  </conditionalFormatting>
  <conditionalFormatting sqref="AM74:AM77">
    <cfRule type="cellIs" dxfId="3747" priority="1066" operator="notEqual">
      <formula>0</formula>
    </cfRule>
  </conditionalFormatting>
  <conditionalFormatting sqref="I76">
    <cfRule type="cellIs" dxfId="3746" priority="1065" operator="greaterThan">
      <formula>0</formula>
    </cfRule>
  </conditionalFormatting>
  <conditionalFormatting sqref="Y76">
    <cfRule type="cellIs" dxfId="3745" priority="1064" operator="lessThan">
      <formula>0</formula>
    </cfRule>
  </conditionalFormatting>
  <conditionalFormatting sqref="Y74:Y76">
    <cfRule type="cellIs" dxfId="3744" priority="1063" operator="lessThan">
      <formula>0</formula>
    </cfRule>
  </conditionalFormatting>
  <conditionalFormatting sqref="Y77">
    <cfRule type="cellIs" dxfId="3743" priority="1062" operator="lessThan">
      <formula>0</formula>
    </cfRule>
  </conditionalFormatting>
  <conditionalFormatting sqref="Y75">
    <cfRule type="iconSet" priority="1068">
      <iconSet>
        <cfvo type="percent" val="0"/>
        <cfvo type="percent" val="&quot;$I$6&quot;"/>
        <cfvo type="percent" val="#REF!"/>
      </iconSet>
    </cfRule>
  </conditionalFormatting>
  <conditionalFormatting sqref="AQ74">
    <cfRule type="cellIs" dxfId="3742" priority="1058" operator="lessThan">
      <formula>0</formula>
    </cfRule>
  </conditionalFormatting>
  <conditionalFormatting sqref="AQ74">
    <cfRule type="cellIs" dxfId="3741" priority="1057" operator="lessThan">
      <formula>0</formula>
    </cfRule>
  </conditionalFormatting>
  <conditionalFormatting sqref="AQ74">
    <cfRule type="cellIs" dxfId="3740" priority="1056" operator="lessThan">
      <formula>0</formula>
    </cfRule>
  </conditionalFormatting>
  <conditionalFormatting sqref="AQ76:AQ77">
    <cfRule type="cellIs" dxfId="3739" priority="1055" operator="lessThan">
      <formula>0</formula>
    </cfRule>
  </conditionalFormatting>
  <conditionalFormatting sqref="AQ76:AQ77">
    <cfRule type="cellIs" dxfId="3738" priority="1054" operator="lessThan">
      <formula>0</formula>
    </cfRule>
  </conditionalFormatting>
  <conditionalFormatting sqref="AQ76:AQ77">
    <cfRule type="cellIs" dxfId="3737" priority="1053" operator="lessThan">
      <formula>0</formula>
    </cfRule>
  </conditionalFormatting>
  <conditionalFormatting sqref="AQ76:AQ77">
    <cfRule type="cellIs" dxfId="3736" priority="1052" operator="lessThan">
      <formula>0</formula>
    </cfRule>
  </conditionalFormatting>
  <conditionalFormatting sqref="AQ76:AQ77">
    <cfRule type="cellIs" dxfId="3735" priority="1051" operator="lessThan">
      <formula>0</formula>
    </cfRule>
  </conditionalFormatting>
  <conditionalFormatting sqref="AQ76:AQ77">
    <cfRule type="cellIs" dxfId="3734" priority="1050" operator="lessThan">
      <formula>0</formula>
    </cfRule>
  </conditionalFormatting>
  <conditionalFormatting sqref="AQ76:AQ77">
    <cfRule type="cellIs" dxfId="3733" priority="1049" operator="lessThan">
      <formula>0</formula>
    </cfRule>
  </conditionalFormatting>
  <conditionalFormatting sqref="AQ76:AQ77">
    <cfRule type="cellIs" dxfId="3732" priority="1048" operator="lessThan">
      <formula>0</formula>
    </cfRule>
  </conditionalFormatting>
  <conditionalFormatting sqref="AQ74">
    <cfRule type="cellIs" dxfId="3731" priority="1047" operator="lessThan">
      <formula>0</formula>
    </cfRule>
  </conditionalFormatting>
  <conditionalFormatting sqref="AQ76:AQ77">
    <cfRule type="cellIs" dxfId="3730" priority="1046" operator="lessThan">
      <formula>0</formula>
    </cfRule>
  </conditionalFormatting>
  <conditionalFormatting sqref="AQ76:AQ77">
    <cfRule type="cellIs" dxfId="3729" priority="1045" operator="lessThan">
      <formula>0</formula>
    </cfRule>
  </conditionalFormatting>
  <conditionalFormatting sqref="AQ76:AQ77">
    <cfRule type="cellIs" dxfId="3728" priority="1044" operator="lessThan">
      <formula>0</formula>
    </cfRule>
  </conditionalFormatting>
  <conditionalFormatting sqref="AQ76:AQ77">
    <cfRule type="cellIs" dxfId="3727" priority="1043" operator="lessThan">
      <formula>0</formula>
    </cfRule>
  </conditionalFormatting>
  <conditionalFormatting sqref="AQ76:AQ77">
    <cfRule type="cellIs" dxfId="3726" priority="1042" operator="lessThan">
      <formula>0</formula>
    </cfRule>
  </conditionalFormatting>
  <conditionalFormatting sqref="AQ76:AQ77">
    <cfRule type="cellIs" dxfId="3725" priority="1041" operator="lessThan">
      <formula>0</formula>
    </cfRule>
  </conditionalFormatting>
  <conditionalFormatting sqref="AQ76:AQ77">
    <cfRule type="cellIs" dxfId="3724" priority="1040" operator="lessThan">
      <formula>0</formula>
    </cfRule>
  </conditionalFormatting>
  <conditionalFormatting sqref="AQ76:AQ77">
    <cfRule type="cellIs" dxfId="3723" priority="1039" operator="lessThan">
      <formula>0</formula>
    </cfRule>
  </conditionalFormatting>
  <conditionalFormatting sqref="AQ74">
    <cfRule type="cellIs" dxfId="3722" priority="1038" operator="lessThan">
      <formula>0</formula>
    </cfRule>
  </conditionalFormatting>
  <conditionalFormatting sqref="AQ74">
    <cfRule type="cellIs" dxfId="3721" priority="1037" operator="lessThan">
      <formula>0</formula>
    </cfRule>
  </conditionalFormatting>
  <conditionalFormatting sqref="AQ76:AQ77">
    <cfRule type="cellIs" dxfId="3720" priority="1036" operator="lessThan">
      <formula>0</formula>
    </cfRule>
  </conditionalFormatting>
  <conditionalFormatting sqref="AQ76:AQ77">
    <cfRule type="cellIs" dxfId="3719" priority="1035" operator="lessThan">
      <formula>0</formula>
    </cfRule>
  </conditionalFormatting>
  <conditionalFormatting sqref="AQ76:AQ77">
    <cfRule type="cellIs" dxfId="3718" priority="1034" operator="lessThan">
      <formula>0</formula>
    </cfRule>
  </conditionalFormatting>
  <conditionalFormatting sqref="AQ76:AQ77">
    <cfRule type="cellIs" dxfId="3717" priority="1033" operator="lessThan">
      <formula>0</formula>
    </cfRule>
  </conditionalFormatting>
  <conditionalFormatting sqref="AQ76:AQ77">
    <cfRule type="cellIs" dxfId="3716" priority="1032" operator="lessThan">
      <formula>0</formula>
    </cfRule>
  </conditionalFormatting>
  <conditionalFormatting sqref="AQ76:AQ77">
    <cfRule type="cellIs" dxfId="3715" priority="1031" operator="lessThan">
      <formula>0</formula>
    </cfRule>
  </conditionalFormatting>
  <conditionalFormatting sqref="AQ76:AQ77">
    <cfRule type="cellIs" dxfId="3714" priority="1030" operator="lessThan">
      <formula>0</formula>
    </cfRule>
  </conditionalFormatting>
  <conditionalFormatting sqref="AQ76:AQ77">
    <cfRule type="cellIs" dxfId="3713" priority="1029" operator="lessThan">
      <formula>0</formula>
    </cfRule>
  </conditionalFormatting>
  <conditionalFormatting sqref="AQ74">
    <cfRule type="cellIs" dxfId="3712" priority="1028" operator="lessThan">
      <formula>0</formula>
    </cfRule>
  </conditionalFormatting>
  <conditionalFormatting sqref="AQ76:AQ77 AQ74">
    <cfRule type="cellIs" dxfId="3711" priority="1027" operator="lessThan">
      <formula>0</formula>
    </cfRule>
  </conditionalFormatting>
  <conditionalFormatting sqref="AQ76:AQ77 AQ74">
    <cfRule type="cellIs" dxfId="3710" priority="1026" operator="lessThan">
      <formula>0</formula>
    </cfRule>
  </conditionalFormatting>
  <conditionalFormatting sqref="AQ76:AQ77 AQ74">
    <cfRule type="cellIs" dxfId="3709" priority="1025" operator="lessThan">
      <formula>0</formula>
    </cfRule>
  </conditionalFormatting>
  <conditionalFormatting sqref="AQ76:AQ77 AQ74">
    <cfRule type="cellIs" dxfId="3708" priority="1024" operator="lessThan">
      <formula>0</formula>
    </cfRule>
  </conditionalFormatting>
  <conditionalFormatting sqref="AQ76:AQ77">
    <cfRule type="cellIs" dxfId="3707" priority="1023" operator="lessThan">
      <formula>0</formula>
    </cfRule>
  </conditionalFormatting>
  <conditionalFormatting sqref="AQ76:AQ77">
    <cfRule type="cellIs" dxfId="3706" priority="1022" operator="lessThan">
      <formula>0</formula>
    </cfRule>
  </conditionalFormatting>
  <conditionalFormatting sqref="AQ76:AQ77">
    <cfRule type="cellIs" dxfId="3705" priority="1021" operator="lessThan">
      <formula>0</formula>
    </cfRule>
  </conditionalFormatting>
  <conditionalFormatting sqref="AQ76:AQ77">
    <cfRule type="cellIs" dxfId="3704" priority="1020" operator="lessThan">
      <formula>0</formula>
    </cfRule>
  </conditionalFormatting>
  <conditionalFormatting sqref="AQ75">
    <cfRule type="cellIs" dxfId="3703" priority="1019" operator="lessThan">
      <formula>0</formula>
    </cfRule>
  </conditionalFormatting>
  <conditionalFormatting sqref="AQ75">
    <cfRule type="cellIs" dxfId="3702" priority="1018" operator="lessThan">
      <formula>0</formula>
    </cfRule>
  </conditionalFormatting>
  <conditionalFormatting sqref="AQ75">
    <cfRule type="cellIs" dxfId="3701" priority="1017" operator="lessThan">
      <formula>0</formula>
    </cfRule>
  </conditionalFormatting>
  <conditionalFormatting sqref="AQ75">
    <cfRule type="cellIs" dxfId="3700" priority="1016" operator="lessThan">
      <formula>0</formula>
    </cfRule>
  </conditionalFormatting>
  <conditionalFormatting sqref="AQ75">
    <cfRule type="cellIs" dxfId="3699" priority="1015" operator="lessThan">
      <formula>0</formula>
    </cfRule>
  </conditionalFormatting>
  <conditionalFormatting sqref="AQ75">
    <cfRule type="cellIs" dxfId="3698" priority="1014" operator="lessThan">
      <formula>0</formula>
    </cfRule>
  </conditionalFormatting>
  <conditionalFormatting sqref="AQ75">
    <cfRule type="cellIs" dxfId="3697" priority="1013" operator="lessThan">
      <formula>0</formula>
    </cfRule>
  </conditionalFormatting>
  <conditionalFormatting sqref="AQ75">
    <cfRule type="cellIs" dxfId="3696" priority="1012" operator="lessThan">
      <formula>0</formula>
    </cfRule>
  </conditionalFormatting>
  <conditionalFormatting sqref="AQ75">
    <cfRule type="cellIs" dxfId="3695" priority="1011" operator="lessThan">
      <formula>0</formula>
    </cfRule>
  </conditionalFormatting>
  <conditionalFormatting sqref="AQ75">
    <cfRule type="cellIs" dxfId="3694" priority="1010" operator="lessThan">
      <formula>0</formula>
    </cfRule>
  </conditionalFormatting>
  <conditionalFormatting sqref="AQ75">
    <cfRule type="cellIs" dxfId="3693" priority="1009" operator="lessThan">
      <formula>0</formula>
    </cfRule>
  </conditionalFormatting>
  <conditionalFormatting sqref="AQ75">
    <cfRule type="cellIs" dxfId="3692" priority="1008" operator="lessThan">
      <formula>0</formula>
    </cfRule>
  </conditionalFormatting>
  <conditionalFormatting sqref="AQ75">
    <cfRule type="cellIs" dxfId="3691" priority="1007" operator="lessThan">
      <formula>0</formula>
    </cfRule>
  </conditionalFormatting>
  <conditionalFormatting sqref="AQ75">
    <cfRule type="cellIs" dxfId="3690" priority="1006" operator="lessThan">
      <formula>0</formula>
    </cfRule>
  </conditionalFormatting>
  <conditionalFormatting sqref="AQ75">
    <cfRule type="cellIs" dxfId="3689" priority="1005" operator="lessThan">
      <formula>0</formula>
    </cfRule>
  </conditionalFormatting>
  <conditionalFormatting sqref="AQ75">
    <cfRule type="cellIs" dxfId="3688" priority="1004" operator="lessThan">
      <formula>0</formula>
    </cfRule>
  </conditionalFormatting>
  <conditionalFormatting sqref="AQ75">
    <cfRule type="cellIs" dxfId="3687" priority="1003" operator="lessThan">
      <formula>0</formula>
    </cfRule>
  </conditionalFormatting>
  <conditionalFormatting sqref="AQ75">
    <cfRule type="cellIs" dxfId="3686" priority="1002" operator="lessThan">
      <formula>0</formula>
    </cfRule>
  </conditionalFormatting>
  <conditionalFormatting sqref="AQ75">
    <cfRule type="cellIs" dxfId="3685" priority="1001" operator="lessThan">
      <formula>0</formula>
    </cfRule>
  </conditionalFormatting>
  <conditionalFormatting sqref="AQ75">
    <cfRule type="cellIs" dxfId="3684" priority="1000" operator="lessThan">
      <formula>0</formula>
    </cfRule>
  </conditionalFormatting>
  <conditionalFormatting sqref="AQ75">
    <cfRule type="cellIs" dxfId="3683" priority="999" operator="lessThan">
      <formula>0</formula>
    </cfRule>
  </conditionalFormatting>
  <conditionalFormatting sqref="AQ75">
    <cfRule type="cellIs" dxfId="3682" priority="998" operator="lessThan">
      <formula>0</formula>
    </cfRule>
  </conditionalFormatting>
  <conditionalFormatting sqref="AQ75">
    <cfRule type="cellIs" dxfId="3681" priority="997" operator="lessThan">
      <formula>0</formula>
    </cfRule>
  </conditionalFormatting>
  <conditionalFormatting sqref="AQ75">
    <cfRule type="cellIs" dxfId="3680" priority="996" operator="lessThan">
      <formula>0</formula>
    </cfRule>
  </conditionalFormatting>
  <conditionalFormatting sqref="AQ75">
    <cfRule type="cellIs" dxfId="3679" priority="995" operator="lessThan">
      <formula>0</formula>
    </cfRule>
  </conditionalFormatting>
  <conditionalFormatting sqref="AQ75">
    <cfRule type="cellIs" dxfId="3678" priority="994" operator="lessThan">
      <formula>0</formula>
    </cfRule>
  </conditionalFormatting>
  <conditionalFormatting sqref="AQ75">
    <cfRule type="cellIs" dxfId="3677" priority="993" operator="lessThan">
      <formula>0</formula>
    </cfRule>
  </conditionalFormatting>
  <conditionalFormatting sqref="AQ75">
    <cfRule type="cellIs" dxfId="3676" priority="992" operator="lessThan">
      <formula>0</formula>
    </cfRule>
  </conditionalFormatting>
  <conditionalFormatting sqref="AQ75">
    <cfRule type="cellIs" dxfId="3675" priority="991" operator="lessThan">
      <formula>0</formula>
    </cfRule>
  </conditionalFormatting>
  <conditionalFormatting sqref="AQ75">
    <cfRule type="cellIs" dxfId="3674" priority="990" operator="lessThan">
      <formula>0</formula>
    </cfRule>
  </conditionalFormatting>
  <conditionalFormatting sqref="AQ75">
    <cfRule type="cellIs" dxfId="3673" priority="989" operator="lessThan">
      <formula>0</formula>
    </cfRule>
  </conditionalFormatting>
  <conditionalFormatting sqref="AQ75">
    <cfRule type="cellIs" dxfId="3672" priority="988" operator="lessThan">
      <formula>0</formula>
    </cfRule>
  </conditionalFormatting>
  <conditionalFormatting sqref="AQ75">
    <cfRule type="cellIs" dxfId="3671" priority="987" operator="lessThan">
      <formula>0</formula>
    </cfRule>
  </conditionalFormatting>
  <conditionalFormatting sqref="AQ75">
    <cfRule type="cellIs" dxfId="3670" priority="986" operator="lessThan">
      <formula>0</formula>
    </cfRule>
  </conditionalFormatting>
  <conditionalFormatting sqref="AQ75">
    <cfRule type="cellIs" dxfId="3669" priority="985" operator="lessThan">
      <formula>0</formula>
    </cfRule>
  </conditionalFormatting>
  <conditionalFormatting sqref="AQ75">
    <cfRule type="cellIs" dxfId="3668" priority="984" operator="lessThan">
      <formula>0</formula>
    </cfRule>
  </conditionalFormatting>
  <conditionalFormatting sqref="AQ75">
    <cfRule type="cellIs" dxfId="3667" priority="983" operator="lessThan">
      <formula>0</formula>
    </cfRule>
  </conditionalFormatting>
  <conditionalFormatting sqref="AQ75">
    <cfRule type="cellIs" dxfId="3666" priority="982" operator="lessThan">
      <formula>0</formula>
    </cfRule>
  </conditionalFormatting>
  <conditionalFormatting sqref="AQ75">
    <cfRule type="cellIs" dxfId="3665" priority="981" operator="lessThan">
      <formula>0</formula>
    </cfRule>
  </conditionalFormatting>
  <conditionalFormatting sqref="AQ75">
    <cfRule type="cellIs" dxfId="3664" priority="980" operator="lessThan">
      <formula>0</formula>
    </cfRule>
  </conditionalFormatting>
  <conditionalFormatting sqref="AQ75">
    <cfRule type="cellIs" dxfId="3663" priority="979" operator="lessThan">
      <formula>0</formula>
    </cfRule>
  </conditionalFormatting>
  <conditionalFormatting sqref="AQ75">
    <cfRule type="cellIs" dxfId="3662" priority="978" operator="lessThan">
      <formula>0</formula>
    </cfRule>
  </conditionalFormatting>
  <conditionalFormatting sqref="AQ75">
    <cfRule type="cellIs" dxfId="3661" priority="977" operator="lessThan">
      <formula>0</formula>
    </cfRule>
  </conditionalFormatting>
  <conditionalFormatting sqref="AQ75">
    <cfRule type="cellIs" dxfId="3660" priority="976" operator="lessThan">
      <formula>0</formula>
    </cfRule>
  </conditionalFormatting>
  <conditionalFormatting sqref="AQ75">
    <cfRule type="cellIs" dxfId="3659" priority="975" operator="lessThan">
      <formula>0</formula>
    </cfRule>
  </conditionalFormatting>
  <conditionalFormatting sqref="AQ75">
    <cfRule type="cellIs" dxfId="3658" priority="974" operator="lessThan">
      <formula>0</formula>
    </cfRule>
  </conditionalFormatting>
  <conditionalFormatting sqref="AQ75">
    <cfRule type="cellIs" dxfId="3657" priority="973" operator="lessThan">
      <formula>0</formula>
    </cfRule>
  </conditionalFormatting>
  <conditionalFormatting sqref="AQ75">
    <cfRule type="cellIs" dxfId="3656" priority="972" operator="lessThan">
      <formula>0</formula>
    </cfRule>
  </conditionalFormatting>
  <conditionalFormatting sqref="AQ75">
    <cfRule type="cellIs" dxfId="3655" priority="971" operator="lessThan">
      <formula>0</formula>
    </cfRule>
  </conditionalFormatting>
  <conditionalFormatting sqref="AQ75">
    <cfRule type="cellIs" dxfId="3654" priority="970" operator="lessThan">
      <formula>0</formula>
    </cfRule>
  </conditionalFormatting>
  <conditionalFormatting sqref="AQ75">
    <cfRule type="cellIs" dxfId="3653" priority="969" operator="lessThan">
      <formula>0</formula>
    </cfRule>
  </conditionalFormatting>
  <conditionalFormatting sqref="AQ75">
    <cfRule type="cellIs" dxfId="3652" priority="968" operator="lessThan">
      <formula>0</formula>
    </cfRule>
  </conditionalFormatting>
  <conditionalFormatting sqref="AQ75">
    <cfRule type="cellIs" dxfId="3651" priority="967" operator="lessThan">
      <formula>0</formula>
    </cfRule>
  </conditionalFormatting>
  <conditionalFormatting sqref="AQ75">
    <cfRule type="cellIs" dxfId="3650" priority="966" operator="lessThan">
      <formula>0</formula>
    </cfRule>
  </conditionalFormatting>
  <conditionalFormatting sqref="AQ75">
    <cfRule type="cellIs" dxfId="3649" priority="965" operator="lessThan">
      <formula>0</formula>
    </cfRule>
  </conditionalFormatting>
  <conditionalFormatting sqref="AQ75">
    <cfRule type="cellIs" dxfId="3648" priority="964" operator="lessThan">
      <formula>0</formula>
    </cfRule>
  </conditionalFormatting>
  <conditionalFormatting sqref="AQ75">
    <cfRule type="cellIs" dxfId="3647" priority="963" operator="lessThan">
      <formula>0</formula>
    </cfRule>
  </conditionalFormatting>
  <conditionalFormatting sqref="AQ75">
    <cfRule type="cellIs" dxfId="3646" priority="962" operator="lessThan">
      <formula>0</formula>
    </cfRule>
  </conditionalFormatting>
  <conditionalFormatting sqref="AQ75">
    <cfRule type="cellIs" dxfId="3645" priority="961" operator="lessThan">
      <formula>0</formula>
    </cfRule>
  </conditionalFormatting>
  <conditionalFormatting sqref="AQ75">
    <cfRule type="cellIs" dxfId="3644" priority="960" operator="lessThan">
      <formula>0</formula>
    </cfRule>
  </conditionalFormatting>
  <conditionalFormatting sqref="AQ75">
    <cfRule type="cellIs" dxfId="3643" priority="959" operator="lessThan">
      <formula>0</formula>
    </cfRule>
  </conditionalFormatting>
  <conditionalFormatting sqref="AQ75">
    <cfRule type="cellIs" dxfId="3642" priority="958" operator="lessThan">
      <formula>0</formula>
    </cfRule>
  </conditionalFormatting>
  <conditionalFormatting sqref="AQ75">
    <cfRule type="cellIs" dxfId="3641" priority="957" operator="lessThan">
      <formula>0</formula>
    </cfRule>
  </conditionalFormatting>
  <conditionalFormatting sqref="AQ75">
    <cfRule type="cellIs" dxfId="3640" priority="956" operator="lessThan">
      <formula>0</formula>
    </cfRule>
  </conditionalFormatting>
  <conditionalFormatting sqref="AQ75">
    <cfRule type="cellIs" dxfId="3639" priority="955" operator="lessThan">
      <formula>0</formula>
    </cfRule>
  </conditionalFormatting>
  <conditionalFormatting sqref="AQ75">
    <cfRule type="cellIs" dxfId="3638" priority="954" operator="lessThan">
      <formula>0</formula>
    </cfRule>
  </conditionalFormatting>
  <conditionalFormatting sqref="AQ75">
    <cfRule type="cellIs" dxfId="3637" priority="953" operator="lessThan">
      <formula>0</formula>
    </cfRule>
  </conditionalFormatting>
  <conditionalFormatting sqref="AQ75">
    <cfRule type="cellIs" dxfId="3636" priority="952" operator="lessThan">
      <formula>0</formula>
    </cfRule>
  </conditionalFormatting>
  <conditionalFormatting sqref="AQ75">
    <cfRule type="cellIs" dxfId="3635" priority="951" operator="lessThan">
      <formula>0</formula>
    </cfRule>
  </conditionalFormatting>
  <conditionalFormatting sqref="AQ75">
    <cfRule type="cellIs" dxfId="3634" priority="950" operator="lessThan">
      <formula>0</formula>
    </cfRule>
  </conditionalFormatting>
  <conditionalFormatting sqref="AQ75">
    <cfRule type="cellIs" dxfId="3633" priority="949" operator="lessThan">
      <formula>0</formula>
    </cfRule>
  </conditionalFormatting>
  <conditionalFormatting sqref="AQ75">
    <cfRule type="cellIs" dxfId="3632" priority="948" operator="lessThan">
      <formula>0</formula>
    </cfRule>
  </conditionalFormatting>
  <conditionalFormatting sqref="AQ75">
    <cfRule type="cellIs" dxfId="3631" priority="947" operator="lessThan">
      <formula>0</formula>
    </cfRule>
  </conditionalFormatting>
  <conditionalFormatting sqref="AQ75">
    <cfRule type="cellIs" dxfId="3630" priority="946" operator="lessThan">
      <formula>0</formula>
    </cfRule>
  </conditionalFormatting>
  <conditionalFormatting sqref="AQ75">
    <cfRule type="cellIs" dxfId="3629" priority="945" operator="lessThan">
      <formula>0</formula>
    </cfRule>
  </conditionalFormatting>
  <conditionalFormatting sqref="AQ75">
    <cfRule type="cellIs" dxfId="3628" priority="944" operator="lessThan">
      <formula>0</formula>
    </cfRule>
  </conditionalFormatting>
  <conditionalFormatting sqref="AQ75">
    <cfRule type="cellIs" dxfId="3627" priority="943" operator="lessThan">
      <formula>0</formula>
    </cfRule>
  </conditionalFormatting>
  <conditionalFormatting sqref="AQ75">
    <cfRule type="cellIs" dxfId="3626" priority="942" operator="lessThan">
      <formula>0</formula>
    </cfRule>
  </conditionalFormatting>
  <conditionalFormatting sqref="AQ75">
    <cfRule type="cellIs" dxfId="3625" priority="941" operator="lessThan">
      <formula>0</formula>
    </cfRule>
  </conditionalFormatting>
  <conditionalFormatting sqref="AQ75">
    <cfRule type="cellIs" dxfId="3624" priority="940" operator="lessThan">
      <formula>0</formula>
    </cfRule>
  </conditionalFormatting>
  <conditionalFormatting sqref="AQ75">
    <cfRule type="cellIs" dxfId="3623" priority="924" operator="lessThan">
      <formula>0</formula>
    </cfRule>
  </conditionalFormatting>
  <conditionalFormatting sqref="AQ75">
    <cfRule type="cellIs" dxfId="3622" priority="939" operator="lessThan">
      <formula>0</formula>
    </cfRule>
  </conditionalFormatting>
  <conditionalFormatting sqref="AQ75">
    <cfRule type="cellIs" dxfId="3621" priority="938" operator="lessThan">
      <formula>0</formula>
    </cfRule>
  </conditionalFormatting>
  <conditionalFormatting sqref="AQ75">
    <cfRule type="cellIs" dxfId="3620" priority="937" operator="lessThan">
      <formula>0</formula>
    </cfRule>
  </conditionalFormatting>
  <conditionalFormatting sqref="AQ75">
    <cfRule type="cellIs" dxfId="3619" priority="936" operator="lessThan">
      <formula>0</formula>
    </cfRule>
  </conditionalFormatting>
  <conditionalFormatting sqref="AQ75">
    <cfRule type="cellIs" dxfId="3618" priority="935" operator="lessThan">
      <formula>0</formula>
    </cfRule>
  </conditionalFormatting>
  <conditionalFormatting sqref="AQ75">
    <cfRule type="cellIs" dxfId="3617" priority="934" operator="lessThan">
      <formula>0</formula>
    </cfRule>
  </conditionalFormatting>
  <conditionalFormatting sqref="AQ75">
    <cfRule type="cellIs" dxfId="3616" priority="933" operator="lessThan">
      <formula>0</formula>
    </cfRule>
  </conditionalFormatting>
  <conditionalFormatting sqref="AQ75">
    <cfRule type="cellIs" dxfId="3615" priority="932" operator="lessThan">
      <formula>0</formula>
    </cfRule>
  </conditionalFormatting>
  <conditionalFormatting sqref="AQ75">
    <cfRule type="cellIs" dxfId="3614" priority="931" operator="lessThan">
      <formula>0</formula>
    </cfRule>
  </conditionalFormatting>
  <conditionalFormatting sqref="AQ75">
    <cfRule type="cellIs" dxfId="3613" priority="930" operator="lessThan">
      <formula>0</formula>
    </cfRule>
  </conditionalFormatting>
  <conditionalFormatting sqref="AQ75">
    <cfRule type="cellIs" dxfId="3612" priority="929" operator="lessThan">
      <formula>0</formula>
    </cfRule>
  </conditionalFormatting>
  <conditionalFormatting sqref="AQ75">
    <cfRule type="cellIs" dxfId="3611" priority="928" operator="lessThan">
      <formula>0</formula>
    </cfRule>
  </conditionalFormatting>
  <conditionalFormatting sqref="AQ75">
    <cfRule type="cellIs" dxfId="3610" priority="927" operator="lessThan">
      <formula>0</formula>
    </cfRule>
  </conditionalFormatting>
  <conditionalFormatting sqref="AQ75">
    <cfRule type="cellIs" dxfId="3609" priority="926" operator="lessThan">
      <formula>0</formula>
    </cfRule>
  </conditionalFormatting>
  <conditionalFormatting sqref="AQ75">
    <cfRule type="cellIs" dxfId="3608" priority="925" operator="lessThan">
      <formula>0</formula>
    </cfRule>
  </conditionalFormatting>
  <conditionalFormatting sqref="AQ75">
    <cfRule type="cellIs" dxfId="3607" priority="923" operator="lessThan">
      <formula>0</formula>
    </cfRule>
  </conditionalFormatting>
  <conditionalFormatting sqref="AQ75">
    <cfRule type="cellIs" dxfId="3606" priority="922" operator="lessThan">
      <formula>0</formula>
    </cfRule>
  </conditionalFormatting>
  <conditionalFormatting sqref="AQ75">
    <cfRule type="cellIs" dxfId="3605" priority="921" operator="lessThan">
      <formula>0</formula>
    </cfRule>
  </conditionalFormatting>
  <conditionalFormatting sqref="AQ75">
    <cfRule type="cellIs" dxfId="3604" priority="920" operator="lessThan">
      <formula>0</formula>
    </cfRule>
  </conditionalFormatting>
  <conditionalFormatting sqref="AQ75">
    <cfRule type="cellIs" dxfId="3603" priority="919" operator="lessThan">
      <formula>0</formula>
    </cfRule>
  </conditionalFormatting>
  <conditionalFormatting sqref="AQ75">
    <cfRule type="cellIs" dxfId="3602" priority="918" operator="lessThan">
      <formula>0</formula>
    </cfRule>
  </conditionalFormatting>
  <conditionalFormatting sqref="AQ75">
    <cfRule type="cellIs" dxfId="3601" priority="917" operator="lessThan">
      <formula>0</formula>
    </cfRule>
  </conditionalFormatting>
  <conditionalFormatting sqref="AQ75">
    <cfRule type="cellIs" dxfId="3600" priority="916" operator="lessThan">
      <formula>0</formula>
    </cfRule>
  </conditionalFormatting>
  <conditionalFormatting sqref="AQ75">
    <cfRule type="cellIs" dxfId="3599" priority="915" operator="lessThan">
      <formula>0</formula>
    </cfRule>
  </conditionalFormatting>
  <conditionalFormatting sqref="AQ75">
    <cfRule type="cellIs" dxfId="3598" priority="914" operator="lessThan">
      <formula>0</formula>
    </cfRule>
  </conditionalFormatting>
  <conditionalFormatting sqref="AQ75">
    <cfRule type="cellIs" dxfId="3597" priority="913" operator="lessThan">
      <formula>0</formula>
    </cfRule>
  </conditionalFormatting>
  <conditionalFormatting sqref="AQ75">
    <cfRule type="cellIs" dxfId="3596" priority="912" operator="lessThan">
      <formula>0</formula>
    </cfRule>
  </conditionalFormatting>
  <conditionalFormatting sqref="AQ75">
    <cfRule type="cellIs" dxfId="3595" priority="911" operator="lessThan">
      <formula>0</formula>
    </cfRule>
  </conditionalFormatting>
  <conditionalFormatting sqref="AQ75">
    <cfRule type="cellIs" dxfId="3594" priority="910" operator="lessThan">
      <formula>0</formula>
    </cfRule>
  </conditionalFormatting>
  <conditionalFormatting sqref="AQ75">
    <cfRule type="cellIs" dxfId="3593" priority="909" operator="lessThan">
      <formula>0</formula>
    </cfRule>
  </conditionalFormatting>
  <conditionalFormatting sqref="AQ75">
    <cfRule type="cellIs" dxfId="3592" priority="908" operator="lessThan">
      <formula>0</formula>
    </cfRule>
  </conditionalFormatting>
  <conditionalFormatting sqref="AQ75">
    <cfRule type="cellIs" dxfId="3591" priority="907" operator="lessThan">
      <formula>0</formula>
    </cfRule>
  </conditionalFormatting>
  <conditionalFormatting sqref="AQ75">
    <cfRule type="cellIs" dxfId="3590" priority="906" operator="lessThan">
      <formula>0</formula>
    </cfRule>
  </conditionalFormatting>
  <conditionalFormatting sqref="AQ75">
    <cfRule type="cellIs" dxfId="3589" priority="905" operator="lessThan">
      <formula>0</formula>
    </cfRule>
  </conditionalFormatting>
  <conditionalFormatting sqref="AQ75">
    <cfRule type="cellIs" dxfId="3588" priority="904" operator="lessThan">
      <formula>0</formula>
    </cfRule>
  </conditionalFormatting>
  <conditionalFormatting sqref="AQ75">
    <cfRule type="cellIs" dxfId="3587" priority="903" operator="lessThan">
      <formula>0</formula>
    </cfRule>
  </conditionalFormatting>
  <conditionalFormatting sqref="AQ75">
    <cfRule type="cellIs" dxfId="3586" priority="902" operator="lessThan">
      <formula>0</formula>
    </cfRule>
  </conditionalFormatting>
  <conditionalFormatting sqref="AQ75">
    <cfRule type="cellIs" dxfId="3585" priority="901" operator="lessThan">
      <formula>0</formula>
    </cfRule>
  </conditionalFormatting>
  <conditionalFormatting sqref="AQ75">
    <cfRule type="cellIs" dxfId="3584" priority="900" operator="lessThan">
      <formula>0</formula>
    </cfRule>
  </conditionalFormatting>
  <conditionalFormatting sqref="AQ75">
    <cfRule type="cellIs" dxfId="3583" priority="899" operator="lessThan">
      <formula>0</formula>
    </cfRule>
  </conditionalFormatting>
  <conditionalFormatting sqref="AQ75">
    <cfRule type="cellIs" dxfId="3582" priority="898" operator="lessThan">
      <formula>0</formula>
    </cfRule>
  </conditionalFormatting>
  <conditionalFormatting sqref="AQ75">
    <cfRule type="cellIs" dxfId="3581" priority="897" operator="lessThan">
      <formula>0</formula>
    </cfRule>
  </conditionalFormatting>
  <conditionalFormatting sqref="AQ75">
    <cfRule type="cellIs" dxfId="3580" priority="896" operator="lessThan">
      <formula>0</formula>
    </cfRule>
  </conditionalFormatting>
  <conditionalFormatting sqref="AQ75">
    <cfRule type="cellIs" dxfId="3579" priority="895" operator="lessThan">
      <formula>0</formula>
    </cfRule>
  </conditionalFormatting>
  <conditionalFormatting sqref="AQ75">
    <cfRule type="cellIs" dxfId="3578" priority="894" operator="lessThan">
      <formula>0</formula>
    </cfRule>
  </conditionalFormatting>
  <conditionalFormatting sqref="AQ75">
    <cfRule type="cellIs" dxfId="3577" priority="893" operator="lessThan">
      <formula>0</formula>
    </cfRule>
  </conditionalFormatting>
  <conditionalFormatting sqref="AQ75">
    <cfRule type="cellIs" dxfId="3576" priority="892" operator="lessThan">
      <formula>0</formula>
    </cfRule>
  </conditionalFormatting>
  <conditionalFormatting sqref="AQ75">
    <cfRule type="cellIs" dxfId="3575" priority="891" operator="lessThan">
      <formula>0</formula>
    </cfRule>
  </conditionalFormatting>
  <conditionalFormatting sqref="AQ75">
    <cfRule type="cellIs" dxfId="3574" priority="890" operator="lessThan">
      <formula>0</formula>
    </cfRule>
  </conditionalFormatting>
  <conditionalFormatting sqref="AQ75">
    <cfRule type="cellIs" dxfId="3573" priority="889" operator="lessThan">
      <formula>0</formula>
    </cfRule>
  </conditionalFormatting>
  <conditionalFormatting sqref="AQ75">
    <cfRule type="cellIs" dxfId="3572" priority="888" operator="lessThan">
      <formula>0</formula>
    </cfRule>
  </conditionalFormatting>
  <conditionalFormatting sqref="AQ75">
    <cfRule type="cellIs" dxfId="3571" priority="887" operator="lessThan">
      <formula>0</formula>
    </cfRule>
  </conditionalFormatting>
  <conditionalFormatting sqref="AQ75">
    <cfRule type="cellIs" dxfId="3570" priority="886" operator="lessThan">
      <formula>0</formula>
    </cfRule>
  </conditionalFormatting>
  <conditionalFormatting sqref="AQ75">
    <cfRule type="cellIs" dxfId="3569" priority="885" operator="lessThan">
      <formula>0</formula>
    </cfRule>
  </conditionalFormatting>
  <conditionalFormatting sqref="AQ75">
    <cfRule type="cellIs" dxfId="3568" priority="884" operator="lessThan">
      <formula>0</formula>
    </cfRule>
  </conditionalFormatting>
  <conditionalFormatting sqref="AQ75">
    <cfRule type="cellIs" dxfId="3567" priority="883" operator="lessThan">
      <formula>0</formula>
    </cfRule>
  </conditionalFormatting>
  <conditionalFormatting sqref="AQ75">
    <cfRule type="cellIs" dxfId="3566" priority="882" operator="lessThan">
      <formula>0</formula>
    </cfRule>
  </conditionalFormatting>
  <conditionalFormatting sqref="AQ75">
    <cfRule type="cellIs" dxfId="3565" priority="881" operator="lessThan">
      <formula>0</formula>
    </cfRule>
  </conditionalFormatting>
  <conditionalFormatting sqref="AQ75">
    <cfRule type="cellIs" dxfId="3564" priority="880" operator="lessThan">
      <formula>0</formula>
    </cfRule>
  </conditionalFormatting>
  <conditionalFormatting sqref="AQ75">
    <cfRule type="cellIs" dxfId="3563" priority="879" operator="lessThan">
      <formula>0</formula>
    </cfRule>
  </conditionalFormatting>
  <conditionalFormatting sqref="AQ75">
    <cfRule type="cellIs" dxfId="3562" priority="878" operator="lessThan">
      <formula>0</formula>
    </cfRule>
  </conditionalFormatting>
  <conditionalFormatting sqref="AQ75">
    <cfRule type="cellIs" dxfId="3561" priority="877" operator="lessThan">
      <formula>0</formula>
    </cfRule>
  </conditionalFormatting>
  <conditionalFormatting sqref="AQ75">
    <cfRule type="cellIs" dxfId="3560" priority="876" operator="lessThan">
      <formula>0</formula>
    </cfRule>
  </conditionalFormatting>
  <conditionalFormatting sqref="AQ75">
    <cfRule type="cellIs" dxfId="3559" priority="875" operator="lessThan">
      <formula>0</formula>
    </cfRule>
  </conditionalFormatting>
  <conditionalFormatting sqref="AQ75">
    <cfRule type="cellIs" dxfId="3558" priority="874" operator="lessThan">
      <formula>0</formula>
    </cfRule>
  </conditionalFormatting>
  <conditionalFormatting sqref="AQ75">
    <cfRule type="cellIs" dxfId="3557" priority="873" operator="lessThan">
      <formula>0</formula>
    </cfRule>
  </conditionalFormatting>
  <conditionalFormatting sqref="AQ75">
    <cfRule type="cellIs" dxfId="3556" priority="872" operator="lessThan">
      <formula>0</formula>
    </cfRule>
  </conditionalFormatting>
  <conditionalFormatting sqref="AQ75">
    <cfRule type="cellIs" dxfId="3555" priority="871" operator="lessThan">
      <formula>0</formula>
    </cfRule>
  </conditionalFormatting>
  <conditionalFormatting sqref="AQ75">
    <cfRule type="cellIs" dxfId="3554" priority="870" operator="lessThan">
      <formula>0</formula>
    </cfRule>
  </conditionalFormatting>
  <conditionalFormatting sqref="AQ75">
    <cfRule type="cellIs" dxfId="3553" priority="869" operator="lessThan">
      <formula>0</formula>
    </cfRule>
  </conditionalFormatting>
  <conditionalFormatting sqref="AQ75">
    <cfRule type="cellIs" dxfId="3552" priority="868" operator="lessThan">
      <formula>0</formula>
    </cfRule>
  </conditionalFormatting>
  <conditionalFormatting sqref="AQ75">
    <cfRule type="cellIs" dxfId="3551" priority="867" operator="lessThan">
      <formula>0</formula>
    </cfRule>
  </conditionalFormatting>
  <conditionalFormatting sqref="AQ75">
    <cfRule type="cellIs" dxfId="3550" priority="866" operator="lessThan">
      <formula>0</formula>
    </cfRule>
  </conditionalFormatting>
  <conditionalFormatting sqref="AQ75">
    <cfRule type="cellIs" dxfId="3549" priority="865" operator="lessThan">
      <formula>0</formula>
    </cfRule>
  </conditionalFormatting>
  <conditionalFormatting sqref="AQ75">
    <cfRule type="cellIs" dxfId="3548" priority="864" operator="lessThan">
      <formula>0</formula>
    </cfRule>
  </conditionalFormatting>
  <conditionalFormatting sqref="AQ75">
    <cfRule type="cellIs" dxfId="3547" priority="863" operator="lessThan">
      <formula>0</formula>
    </cfRule>
  </conditionalFormatting>
  <conditionalFormatting sqref="AQ75">
    <cfRule type="cellIs" dxfId="3546" priority="862" operator="lessThan">
      <formula>0</formula>
    </cfRule>
  </conditionalFormatting>
  <conditionalFormatting sqref="AQ75">
    <cfRule type="cellIs" dxfId="3545" priority="861" operator="lessThan">
      <formula>0</formula>
    </cfRule>
  </conditionalFormatting>
  <conditionalFormatting sqref="AQ75">
    <cfRule type="cellIs" dxfId="3544" priority="860" operator="lessThan">
      <formula>0</formula>
    </cfRule>
  </conditionalFormatting>
  <conditionalFormatting sqref="AQ75">
    <cfRule type="cellIs" dxfId="3543" priority="859" operator="lessThan">
      <formula>0</formula>
    </cfRule>
  </conditionalFormatting>
  <conditionalFormatting sqref="AQ75">
    <cfRule type="cellIs" dxfId="3542" priority="858" operator="lessThan">
      <formula>0</formula>
    </cfRule>
  </conditionalFormatting>
  <conditionalFormatting sqref="AQ75">
    <cfRule type="cellIs" dxfId="3541" priority="857" operator="lessThan">
      <formula>0</formula>
    </cfRule>
  </conditionalFormatting>
  <conditionalFormatting sqref="AQ75">
    <cfRule type="cellIs" dxfId="3540" priority="856" operator="lessThan">
      <formula>0</formula>
    </cfRule>
  </conditionalFormatting>
  <conditionalFormatting sqref="AQ75">
    <cfRule type="cellIs" dxfId="3539" priority="855" operator="lessThan">
      <formula>0</formula>
    </cfRule>
  </conditionalFormatting>
  <conditionalFormatting sqref="AQ75">
    <cfRule type="cellIs" dxfId="3538" priority="854" operator="lessThan">
      <formula>0</formula>
    </cfRule>
  </conditionalFormatting>
  <conditionalFormatting sqref="AQ75">
    <cfRule type="cellIs" dxfId="3537" priority="853" operator="lessThan">
      <formula>0</formula>
    </cfRule>
  </conditionalFormatting>
  <conditionalFormatting sqref="AQ75">
    <cfRule type="cellIs" dxfId="3536" priority="852" operator="lessThan">
      <formula>0</formula>
    </cfRule>
  </conditionalFormatting>
  <conditionalFormatting sqref="AQ75">
    <cfRule type="cellIs" dxfId="3535" priority="851" operator="lessThan">
      <formula>0</formula>
    </cfRule>
  </conditionalFormatting>
  <conditionalFormatting sqref="AQ75">
    <cfRule type="cellIs" dxfId="3534" priority="850" operator="lessThan">
      <formula>0</formula>
    </cfRule>
  </conditionalFormatting>
  <conditionalFormatting sqref="AQ75">
    <cfRule type="cellIs" dxfId="3533" priority="849" operator="lessThan">
      <formula>0</formula>
    </cfRule>
  </conditionalFormatting>
  <conditionalFormatting sqref="AQ75">
    <cfRule type="cellIs" dxfId="3532" priority="848" operator="lessThan">
      <formula>0</formula>
    </cfRule>
  </conditionalFormatting>
  <conditionalFormatting sqref="AQ75">
    <cfRule type="cellIs" dxfId="3531" priority="847" operator="lessThan">
      <formula>0</formula>
    </cfRule>
  </conditionalFormatting>
  <conditionalFormatting sqref="AQ75">
    <cfRule type="cellIs" dxfId="3530" priority="846" operator="lessThan">
      <formula>0</formula>
    </cfRule>
  </conditionalFormatting>
  <conditionalFormatting sqref="AQ75">
    <cfRule type="cellIs" dxfId="3529" priority="845" operator="lessThan">
      <formula>0</formula>
    </cfRule>
  </conditionalFormatting>
  <conditionalFormatting sqref="AQ75">
    <cfRule type="cellIs" dxfId="3528" priority="844" operator="lessThan">
      <formula>0</formula>
    </cfRule>
  </conditionalFormatting>
  <conditionalFormatting sqref="AQ75">
    <cfRule type="cellIs" dxfId="3527" priority="828" operator="lessThan">
      <formula>0</formula>
    </cfRule>
  </conditionalFormatting>
  <conditionalFormatting sqref="AQ75">
    <cfRule type="cellIs" dxfId="3526" priority="843" operator="lessThan">
      <formula>0</formula>
    </cfRule>
  </conditionalFormatting>
  <conditionalFormatting sqref="AQ75">
    <cfRule type="cellIs" dxfId="3525" priority="842" operator="lessThan">
      <formula>0</formula>
    </cfRule>
  </conditionalFormatting>
  <conditionalFormatting sqref="AQ75">
    <cfRule type="cellIs" dxfId="3524" priority="841" operator="lessThan">
      <formula>0</formula>
    </cfRule>
  </conditionalFormatting>
  <conditionalFormatting sqref="AQ75">
    <cfRule type="cellIs" dxfId="3523" priority="840" operator="lessThan">
      <formula>0</formula>
    </cfRule>
  </conditionalFormatting>
  <conditionalFormatting sqref="AQ75">
    <cfRule type="cellIs" dxfId="3522" priority="839" operator="lessThan">
      <formula>0</formula>
    </cfRule>
  </conditionalFormatting>
  <conditionalFormatting sqref="AQ75">
    <cfRule type="cellIs" dxfId="3521" priority="838" operator="lessThan">
      <formula>0</formula>
    </cfRule>
  </conditionalFormatting>
  <conditionalFormatting sqref="AQ75">
    <cfRule type="cellIs" dxfId="3520" priority="837" operator="lessThan">
      <formula>0</formula>
    </cfRule>
  </conditionalFormatting>
  <conditionalFormatting sqref="AQ75">
    <cfRule type="cellIs" dxfId="3519" priority="836" operator="lessThan">
      <formula>0</formula>
    </cfRule>
  </conditionalFormatting>
  <conditionalFormatting sqref="AQ75">
    <cfRule type="cellIs" dxfId="3518" priority="835" operator="lessThan">
      <formula>0</formula>
    </cfRule>
  </conditionalFormatting>
  <conditionalFormatting sqref="AQ75">
    <cfRule type="cellIs" dxfId="3517" priority="834" operator="lessThan">
      <formula>0</formula>
    </cfRule>
  </conditionalFormatting>
  <conditionalFormatting sqref="AQ75">
    <cfRule type="cellIs" dxfId="3516" priority="833" operator="lessThan">
      <formula>0</formula>
    </cfRule>
  </conditionalFormatting>
  <conditionalFormatting sqref="AQ75">
    <cfRule type="cellIs" dxfId="3515" priority="832" operator="lessThan">
      <formula>0</formula>
    </cfRule>
  </conditionalFormatting>
  <conditionalFormatting sqref="AQ75">
    <cfRule type="cellIs" dxfId="3514" priority="831" operator="lessThan">
      <formula>0</formula>
    </cfRule>
  </conditionalFormatting>
  <conditionalFormatting sqref="AQ75">
    <cfRule type="cellIs" dxfId="3513" priority="830" operator="lessThan">
      <formula>0</formula>
    </cfRule>
  </conditionalFormatting>
  <conditionalFormatting sqref="AQ75">
    <cfRule type="cellIs" dxfId="3512" priority="829" operator="lessThan">
      <formula>0</formula>
    </cfRule>
  </conditionalFormatting>
  <conditionalFormatting sqref="J20">
    <cfRule type="cellIs" dxfId="3511" priority="827" operator="greaterThan">
      <formula>0</formula>
    </cfRule>
  </conditionalFormatting>
  <conditionalFormatting sqref="J76">
    <cfRule type="cellIs" dxfId="3510" priority="826" operator="greaterThan">
      <formula>0</formula>
    </cfRule>
  </conditionalFormatting>
  <conditionalFormatting sqref="AQ38">
    <cfRule type="cellIs" dxfId="3509" priority="824" operator="lessThan">
      <formula>0</formula>
    </cfRule>
  </conditionalFormatting>
  <conditionalFormatting sqref="AM38:AM41">
    <cfRule type="cellIs" dxfId="3508" priority="821" operator="notEqual">
      <formula>0</formula>
    </cfRule>
  </conditionalFormatting>
  <conditionalFormatting sqref="I40">
    <cfRule type="cellIs" dxfId="3507" priority="820" operator="greaterThan">
      <formula>0</formula>
    </cfRule>
  </conditionalFormatting>
  <conditionalFormatting sqref="J40">
    <cfRule type="cellIs" dxfId="3506" priority="819" operator="greaterThan">
      <formula>0</formula>
    </cfRule>
  </conditionalFormatting>
  <conditionalFormatting sqref="Y40">
    <cfRule type="cellIs" dxfId="3505" priority="818" operator="lessThan">
      <formula>0</formula>
    </cfRule>
  </conditionalFormatting>
  <conditionalFormatting sqref="Y38:Y40">
    <cfRule type="cellIs" dxfId="3504" priority="817" operator="lessThan">
      <formula>0</formula>
    </cfRule>
  </conditionalFormatting>
  <conditionalFormatting sqref="Y41">
    <cfRule type="cellIs" dxfId="3503" priority="816" operator="lessThan">
      <formula>0</formula>
    </cfRule>
  </conditionalFormatting>
  <conditionalFormatting sqref="Y39">
    <cfRule type="iconSet" priority="825">
      <iconSet>
        <cfvo type="percent" val="0"/>
        <cfvo type="percent" val="&quot;$I$6&quot;"/>
        <cfvo type="percent" val="#REF!"/>
      </iconSet>
    </cfRule>
  </conditionalFormatting>
  <conditionalFormatting sqref="AQ38">
    <cfRule type="cellIs" dxfId="3502" priority="815" operator="lessThan">
      <formula>0</formula>
    </cfRule>
  </conditionalFormatting>
  <conditionalFormatting sqref="AQ38">
    <cfRule type="cellIs" dxfId="3501" priority="814" operator="lessThan">
      <formula>0</formula>
    </cfRule>
  </conditionalFormatting>
  <conditionalFormatting sqref="AQ40:AQ41">
    <cfRule type="cellIs" dxfId="3500" priority="813" operator="lessThan">
      <formula>0</formula>
    </cfRule>
  </conditionalFormatting>
  <conditionalFormatting sqref="AQ40:AQ41">
    <cfRule type="cellIs" dxfId="3499" priority="812" operator="lessThan">
      <formula>0</formula>
    </cfRule>
  </conditionalFormatting>
  <conditionalFormatting sqref="AQ40:AQ41">
    <cfRule type="cellIs" dxfId="3498" priority="811" operator="lessThan">
      <formula>0</formula>
    </cfRule>
  </conditionalFormatting>
  <conditionalFormatting sqref="AQ40:AQ41">
    <cfRule type="cellIs" dxfId="3497" priority="810" operator="lessThan">
      <formula>0</formula>
    </cfRule>
  </conditionalFormatting>
  <conditionalFormatting sqref="AQ40:AQ41">
    <cfRule type="cellIs" dxfId="3496" priority="809" operator="lessThan">
      <formula>0</formula>
    </cfRule>
  </conditionalFormatting>
  <conditionalFormatting sqref="AQ40:AQ41">
    <cfRule type="cellIs" dxfId="3495" priority="808" operator="lessThan">
      <formula>0</formula>
    </cfRule>
  </conditionalFormatting>
  <conditionalFormatting sqref="AQ40:AQ41">
    <cfRule type="cellIs" dxfId="3494" priority="807" operator="lessThan">
      <formula>0</formula>
    </cfRule>
  </conditionalFormatting>
  <conditionalFormatting sqref="AQ40:AQ41">
    <cfRule type="cellIs" dxfId="3493" priority="806" operator="lessThan">
      <formula>0</formula>
    </cfRule>
  </conditionalFormatting>
  <conditionalFormatting sqref="AQ38">
    <cfRule type="cellIs" dxfId="3492" priority="805" operator="lessThan">
      <formula>0</formula>
    </cfRule>
  </conditionalFormatting>
  <conditionalFormatting sqref="AQ40:AQ41">
    <cfRule type="cellIs" dxfId="3491" priority="804" operator="lessThan">
      <formula>0</formula>
    </cfRule>
  </conditionalFormatting>
  <conditionalFormatting sqref="AQ40:AQ41">
    <cfRule type="cellIs" dxfId="3490" priority="803" operator="lessThan">
      <formula>0</formula>
    </cfRule>
  </conditionalFormatting>
  <conditionalFormatting sqref="AQ40:AQ41">
    <cfRule type="cellIs" dxfId="3489" priority="802" operator="lessThan">
      <formula>0</formula>
    </cfRule>
  </conditionalFormatting>
  <conditionalFormatting sqref="AQ40:AQ41">
    <cfRule type="cellIs" dxfId="3488" priority="801" operator="lessThan">
      <formula>0</formula>
    </cfRule>
  </conditionalFormatting>
  <conditionalFormatting sqref="AQ40:AQ41">
    <cfRule type="cellIs" dxfId="3487" priority="800" operator="lessThan">
      <formula>0</formula>
    </cfRule>
  </conditionalFormatting>
  <conditionalFormatting sqref="AQ40:AQ41">
    <cfRule type="cellIs" dxfId="3486" priority="799" operator="lessThan">
      <formula>0</formula>
    </cfRule>
  </conditionalFormatting>
  <conditionalFormatting sqref="AQ40:AQ41">
    <cfRule type="cellIs" dxfId="3485" priority="798" operator="lessThan">
      <formula>0</formula>
    </cfRule>
  </conditionalFormatting>
  <conditionalFormatting sqref="AQ40:AQ41">
    <cfRule type="cellIs" dxfId="3484" priority="797" operator="lessThan">
      <formula>0</formula>
    </cfRule>
  </conditionalFormatting>
  <conditionalFormatting sqref="AQ39">
    <cfRule type="cellIs" dxfId="3483" priority="796" operator="lessThan">
      <formula>0</formula>
    </cfRule>
  </conditionalFormatting>
  <conditionalFormatting sqref="AQ39">
    <cfRule type="cellIs" dxfId="3482" priority="795" operator="lessThan">
      <formula>0</formula>
    </cfRule>
  </conditionalFormatting>
  <conditionalFormatting sqref="AQ39">
    <cfRule type="cellIs" dxfId="3481" priority="794" operator="lessThan">
      <formula>0</formula>
    </cfRule>
  </conditionalFormatting>
  <conditionalFormatting sqref="AQ39">
    <cfRule type="cellIs" dxfId="3480" priority="793" operator="lessThan">
      <formula>0</formula>
    </cfRule>
  </conditionalFormatting>
  <conditionalFormatting sqref="AQ39">
    <cfRule type="cellIs" dxfId="3479" priority="792" operator="lessThan">
      <formula>0</formula>
    </cfRule>
  </conditionalFormatting>
  <conditionalFormatting sqref="AQ39">
    <cfRule type="cellIs" dxfId="3478" priority="791" operator="lessThan">
      <formula>0</formula>
    </cfRule>
  </conditionalFormatting>
  <conditionalFormatting sqref="AQ39">
    <cfRule type="cellIs" dxfId="3477" priority="790" operator="lessThan">
      <formula>0</formula>
    </cfRule>
  </conditionalFormatting>
  <conditionalFormatting sqref="AQ39">
    <cfRule type="cellIs" dxfId="3476" priority="789" operator="lessThan">
      <formula>0</formula>
    </cfRule>
  </conditionalFormatting>
  <conditionalFormatting sqref="AQ39">
    <cfRule type="cellIs" dxfId="3475" priority="788" operator="lessThan">
      <formula>0</formula>
    </cfRule>
  </conditionalFormatting>
  <conditionalFormatting sqref="AQ39">
    <cfRule type="cellIs" dxfId="3474" priority="787" operator="lessThan">
      <formula>0</formula>
    </cfRule>
  </conditionalFormatting>
  <conditionalFormatting sqref="AQ39">
    <cfRule type="cellIs" dxfId="3473" priority="786" operator="lessThan">
      <formula>0</formula>
    </cfRule>
  </conditionalFormatting>
  <conditionalFormatting sqref="AQ39">
    <cfRule type="cellIs" dxfId="3472" priority="785" operator="lessThan">
      <formula>0</formula>
    </cfRule>
  </conditionalFormatting>
  <conditionalFormatting sqref="AQ39">
    <cfRule type="cellIs" dxfId="3471" priority="784" operator="lessThan">
      <formula>0</formula>
    </cfRule>
  </conditionalFormatting>
  <conditionalFormatting sqref="AQ39">
    <cfRule type="cellIs" dxfId="3470" priority="783" operator="lessThan">
      <formula>0</formula>
    </cfRule>
  </conditionalFormatting>
  <conditionalFormatting sqref="AQ39">
    <cfRule type="cellIs" dxfId="3469" priority="782" operator="lessThan">
      <formula>0</formula>
    </cfRule>
  </conditionalFormatting>
  <conditionalFormatting sqref="AQ39">
    <cfRule type="cellIs" dxfId="3468" priority="781" operator="lessThan">
      <formula>0</formula>
    </cfRule>
  </conditionalFormatting>
  <conditionalFormatting sqref="AQ39">
    <cfRule type="cellIs" dxfId="3467" priority="780" operator="lessThan">
      <formula>0</formula>
    </cfRule>
  </conditionalFormatting>
  <conditionalFormatting sqref="AQ39">
    <cfRule type="cellIs" dxfId="3466" priority="779" operator="lessThan">
      <formula>0</formula>
    </cfRule>
  </conditionalFormatting>
  <conditionalFormatting sqref="AQ39">
    <cfRule type="cellIs" dxfId="3465" priority="778" operator="lessThan">
      <formula>0</formula>
    </cfRule>
  </conditionalFormatting>
  <conditionalFormatting sqref="AQ39">
    <cfRule type="cellIs" dxfId="3464" priority="777" operator="lessThan">
      <formula>0</formula>
    </cfRule>
  </conditionalFormatting>
  <conditionalFormatting sqref="AQ39">
    <cfRule type="cellIs" dxfId="3463" priority="776" operator="lessThan">
      <formula>0</formula>
    </cfRule>
  </conditionalFormatting>
  <conditionalFormatting sqref="AQ39">
    <cfRule type="cellIs" dxfId="3462" priority="775" operator="lessThan">
      <formula>0</formula>
    </cfRule>
  </conditionalFormatting>
  <conditionalFormatting sqref="AQ39">
    <cfRule type="cellIs" dxfId="3461" priority="774" operator="lessThan">
      <formula>0</formula>
    </cfRule>
  </conditionalFormatting>
  <conditionalFormatting sqref="AQ39">
    <cfRule type="cellIs" dxfId="3460" priority="773" operator="lessThan">
      <formula>0</formula>
    </cfRule>
  </conditionalFormatting>
  <conditionalFormatting sqref="AQ39">
    <cfRule type="cellIs" dxfId="3459" priority="772" operator="lessThan">
      <formula>0</formula>
    </cfRule>
  </conditionalFormatting>
  <conditionalFormatting sqref="AQ39">
    <cfRule type="cellIs" dxfId="3458" priority="771" operator="lessThan">
      <formula>0</formula>
    </cfRule>
  </conditionalFormatting>
  <conditionalFormatting sqref="AQ39">
    <cfRule type="cellIs" dxfId="3457" priority="770" operator="lessThan">
      <formula>0</formula>
    </cfRule>
  </conditionalFormatting>
  <conditionalFormatting sqref="AQ39">
    <cfRule type="cellIs" dxfId="3456" priority="769" operator="lessThan">
      <formula>0</formula>
    </cfRule>
  </conditionalFormatting>
  <conditionalFormatting sqref="AQ39">
    <cfRule type="cellIs" dxfId="3455" priority="768" operator="lessThan">
      <formula>0</formula>
    </cfRule>
  </conditionalFormatting>
  <conditionalFormatting sqref="AQ39">
    <cfRule type="cellIs" dxfId="3454" priority="767" operator="lessThan">
      <formula>0</formula>
    </cfRule>
  </conditionalFormatting>
  <conditionalFormatting sqref="AQ39">
    <cfRule type="cellIs" dxfId="3453" priority="766" operator="lessThan">
      <formula>0</formula>
    </cfRule>
  </conditionalFormatting>
  <conditionalFormatting sqref="AQ39">
    <cfRule type="cellIs" dxfId="3452" priority="765" operator="lessThan">
      <formula>0</formula>
    </cfRule>
  </conditionalFormatting>
  <conditionalFormatting sqref="AQ39">
    <cfRule type="cellIs" dxfId="3451" priority="764" operator="lessThan">
      <formula>0</formula>
    </cfRule>
  </conditionalFormatting>
  <conditionalFormatting sqref="AQ39">
    <cfRule type="cellIs" dxfId="3450" priority="763" operator="lessThan">
      <formula>0</formula>
    </cfRule>
  </conditionalFormatting>
  <conditionalFormatting sqref="AQ39">
    <cfRule type="cellIs" dxfId="3449" priority="762" operator="lessThan">
      <formula>0</formula>
    </cfRule>
  </conditionalFormatting>
  <conditionalFormatting sqref="AQ39">
    <cfRule type="cellIs" dxfId="3448" priority="761" operator="lessThan">
      <formula>0</formula>
    </cfRule>
  </conditionalFormatting>
  <conditionalFormatting sqref="AQ39">
    <cfRule type="cellIs" dxfId="3447" priority="760" operator="lessThan">
      <formula>0</formula>
    </cfRule>
  </conditionalFormatting>
  <conditionalFormatting sqref="AQ39">
    <cfRule type="cellIs" dxfId="3446" priority="759" operator="lessThan">
      <formula>0</formula>
    </cfRule>
  </conditionalFormatting>
  <conditionalFormatting sqref="AQ39">
    <cfRule type="cellIs" dxfId="3445" priority="758" operator="lessThan">
      <formula>0</formula>
    </cfRule>
  </conditionalFormatting>
  <conditionalFormatting sqref="AQ39">
    <cfRule type="cellIs" dxfId="3444" priority="757" operator="lessThan">
      <formula>0</formula>
    </cfRule>
  </conditionalFormatting>
  <conditionalFormatting sqref="AQ39">
    <cfRule type="cellIs" dxfId="3443" priority="756" operator="lessThan">
      <formula>0</formula>
    </cfRule>
  </conditionalFormatting>
  <conditionalFormatting sqref="AQ39">
    <cfRule type="cellIs" dxfId="3442" priority="755" operator="lessThan">
      <formula>0</formula>
    </cfRule>
  </conditionalFormatting>
  <conditionalFormatting sqref="AQ39">
    <cfRule type="cellIs" dxfId="3441" priority="754" operator="lessThan">
      <formula>0</formula>
    </cfRule>
  </conditionalFormatting>
  <conditionalFormatting sqref="AQ39">
    <cfRule type="cellIs" dxfId="3440" priority="753" operator="lessThan">
      <formula>0</formula>
    </cfRule>
  </conditionalFormatting>
  <conditionalFormatting sqref="AQ39">
    <cfRule type="cellIs" dxfId="3439" priority="752" operator="lessThan">
      <formula>0</formula>
    </cfRule>
  </conditionalFormatting>
  <conditionalFormatting sqref="AQ39">
    <cfRule type="cellIs" dxfId="3438" priority="751" operator="lessThan">
      <formula>0</formula>
    </cfRule>
  </conditionalFormatting>
  <conditionalFormatting sqref="AQ39">
    <cfRule type="cellIs" dxfId="3437" priority="750" operator="lessThan">
      <formula>0</formula>
    </cfRule>
  </conditionalFormatting>
  <conditionalFormatting sqref="AQ39">
    <cfRule type="cellIs" dxfId="3436" priority="749" operator="lessThan">
      <formula>0</formula>
    </cfRule>
  </conditionalFormatting>
  <conditionalFormatting sqref="AQ39">
    <cfRule type="cellIs" dxfId="3435" priority="748" operator="lessThan">
      <formula>0</formula>
    </cfRule>
  </conditionalFormatting>
  <conditionalFormatting sqref="AQ39">
    <cfRule type="cellIs" dxfId="3434" priority="747" operator="lessThan">
      <formula>0</formula>
    </cfRule>
  </conditionalFormatting>
  <conditionalFormatting sqref="AQ39">
    <cfRule type="cellIs" dxfId="3433" priority="746" operator="lessThan">
      <formula>0</formula>
    </cfRule>
  </conditionalFormatting>
  <conditionalFormatting sqref="AQ39">
    <cfRule type="cellIs" dxfId="3432" priority="745" operator="lessThan">
      <formula>0</formula>
    </cfRule>
  </conditionalFormatting>
  <conditionalFormatting sqref="AQ39">
    <cfRule type="cellIs" dxfId="3431" priority="744" operator="lessThan">
      <formula>0</formula>
    </cfRule>
  </conditionalFormatting>
  <conditionalFormatting sqref="AQ39">
    <cfRule type="cellIs" dxfId="3430" priority="743" operator="lessThan">
      <formula>0</formula>
    </cfRule>
  </conditionalFormatting>
  <conditionalFormatting sqref="AQ39">
    <cfRule type="cellIs" dxfId="3429" priority="742" operator="lessThan">
      <formula>0</formula>
    </cfRule>
  </conditionalFormatting>
  <conditionalFormatting sqref="AQ39">
    <cfRule type="cellIs" dxfId="3428" priority="741" operator="lessThan">
      <formula>0</formula>
    </cfRule>
  </conditionalFormatting>
  <conditionalFormatting sqref="AQ39">
    <cfRule type="cellIs" dxfId="3427" priority="740" operator="lessThan">
      <formula>0</formula>
    </cfRule>
  </conditionalFormatting>
  <conditionalFormatting sqref="AQ39">
    <cfRule type="cellIs" dxfId="3426" priority="739" operator="lessThan">
      <formula>0</formula>
    </cfRule>
  </conditionalFormatting>
  <conditionalFormatting sqref="AQ39">
    <cfRule type="cellIs" dxfId="3425" priority="738" operator="lessThan">
      <formula>0</formula>
    </cfRule>
  </conditionalFormatting>
  <conditionalFormatting sqref="AQ39">
    <cfRule type="cellIs" dxfId="3424" priority="737" operator="lessThan">
      <formula>0</formula>
    </cfRule>
  </conditionalFormatting>
  <conditionalFormatting sqref="AQ39">
    <cfRule type="cellIs" dxfId="3423" priority="736" operator="lessThan">
      <formula>0</formula>
    </cfRule>
  </conditionalFormatting>
  <conditionalFormatting sqref="AQ39">
    <cfRule type="cellIs" dxfId="3422" priority="735" operator="lessThan">
      <formula>0</formula>
    </cfRule>
  </conditionalFormatting>
  <conditionalFormatting sqref="AQ39">
    <cfRule type="cellIs" dxfId="3421" priority="734" operator="lessThan">
      <formula>0</formula>
    </cfRule>
  </conditionalFormatting>
  <conditionalFormatting sqref="AQ39">
    <cfRule type="cellIs" dxfId="3420" priority="733" operator="lessThan">
      <formula>0</formula>
    </cfRule>
  </conditionalFormatting>
  <conditionalFormatting sqref="AQ39">
    <cfRule type="cellIs" dxfId="3419" priority="732" operator="lessThan">
      <formula>0</formula>
    </cfRule>
  </conditionalFormatting>
  <conditionalFormatting sqref="AQ39">
    <cfRule type="cellIs" dxfId="3418" priority="731" operator="lessThan">
      <formula>0</formula>
    </cfRule>
  </conditionalFormatting>
  <conditionalFormatting sqref="AQ39">
    <cfRule type="cellIs" dxfId="3417" priority="730" operator="lessThan">
      <formula>0</formula>
    </cfRule>
  </conditionalFormatting>
  <conditionalFormatting sqref="AQ39">
    <cfRule type="cellIs" dxfId="3416" priority="729" operator="lessThan">
      <formula>0</formula>
    </cfRule>
  </conditionalFormatting>
  <conditionalFormatting sqref="AQ39">
    <cfRule type="cellIs" dxfId="3415" priority="728" operator="lessThan">
      <formula>0</formula>
    </cfRule>
  </conditionalFormatting>
  <conditionalFormatting sqref="AQ39">
    <cfRule type="cellIs" dxfId="3414" priority="727" operator="lessThan">
      <formula>0</formula>
    </cfRule>
  </conditionalFormatting>
  <conditionalFormatting sqref="AQ39">
    <cfRule type="cellIs" dxfId="3413" priority="726" operator="lessThan">
      <formula>0</formula>
    </cfRule>
  </conditionalFormatting>
  <conditionalFormatting sqref="AQ39">
    <cfRule type="cellIs" dxfId="3412" priority="725" operator="lessThan">
      <formula>0</formula>
    </cfRule>
  </conditionalFormatting>
  <conditionalFormatting sqref="AQ39">
    <cfRule type="cellIs" dxfId="3411" priority="724" operator="lessThan">
      <formula>0</formula>
    </cfRule>
  </conditionalFormatting>
  <conditionalFormatting sqref="AQ39">
    <cfRule type="cellIs" dxfId="3410" priority="723" operator="lessThan">
      <formula>0</formula>
    </cfRule>
  </conditionalFormatting>
  <conditionalFormatting sqref="AQ39">
    <cfRule type="cellIs" dxfId="3409" priority="722" operator="lessThan">
      <formula>0</formula>
    </cfRule>
  </conditionalFormatting>
  <conditionalFormatting sqref="AQ39">
    <cfRule type="cellIs" dxfId="3408" priority="721" operator="lessThan">
      <formula>0</formula>
    </cfRule>
  </conditionalFormatting>
  <conditionalFormatting sqref="AQ39">
    <cfRule type="cellIs" dxfId="3407" priority="720" operator="lessThan">
      <formula>0</formula>
    </cfRule>
  </conditionalFormatting>
  <conditionalFormatting sqref="AQ39">
    <cfRule type="cellIs" dxfId="3406" priority="719" operator="lessThan">
      <formula>0</formula>
    </cfRule>
  </conditionalFormatting>
  <conditionalFormatting sqref="AQ39">
    <cfRule type="cellIs" dxfId="3405" priority="718" operator="lessThan">
      <formula>0</formula>
    </cfRule>
  </conditionalFormatting>
  <conditionalFormatting sqref="AQ39">
    <cfRule type="cellIs" dxfId="3404" priority="717" operator="lessThan">
      <formula>0</formula>
    </cfRule>
  </conditionalFormatting>
  <conditionalFormatting sqref="AQ39">
    <cfRule type="cellIs" dxfId="3403" priority="701" operator="lessThan">
      <formula>0</formula>
    </cfRule>
  </conditionalFormatting>
  <conditionalFormatting sqref="AQ39">
    <cfRule type="cellIs" dxfId="3402" priority="716" operator="lessThan">
      <formula>0</formula>
    </cfRule>
  </conditionalFormatting>
  <conditionalFormatting sqref="AQ39">
    <cfRule type="cellIs" dxfId="3401" priority="715" operator="lessThan">
      <formula>0</formula>
    </cfRule>
  </conditionalFormatting>
  <conditionalFormatting sqref="AQ39">
    <cfRule type="cellIs" dxfId="3400" priority="714" operator="lessThan">
      <formula>0</formula>
    </cfRule>
  </conditionalFormatting>
  <conditionalFormatting sqref="AQ39">
    <cfRule type="cellIs" dxfId="3399" priority="713" operator="lessThan">
      <formula>0</formula>
    </cfRule>
  </conditionalFormatting>
  <conditionalFormatting sqref="AQ39">
    <cfRule type="cellIs" dxfId="3398" priority="712" operator="lessThan">
      <formula>0</formula>
    </cfRule>
  </conditionalFormatting>
  <conditionalFormatting sqref="AQ39">
    <cfRule type="cellIs" dxfId="3397" priority="711" operator="lessThan">
      <formula>0</formula>
    </cfRule>
  </conditionalFormatting>
  <conditionalFormatting sqref="AQ39">
    <cfRule type="cellIs" dxfId="3396" priority="710" operator="lessThan">
      <formula>0</formula>
    </cfRule>
  </conditionalFormatting>
  <conditionalFormatting sqref="AQ39">
    <cfRule type="cellIs" dxfId="3395" priority="709" operator="lessThan">
      <formula>0</formula>
    </cfRule>
  </conditionalFormatting>
  <conditionalFormatting sqref="AQ39">
    <cfRule type="cellIs" dxfId="3394" priority="708" operator="lessThan">
      <formula>0</formula>
    </cfRule>
  </conditionalFormatting>
  <conditionalFormatting sqref="AQ39">
    <cfRule type="cellIs" dxfId="3393" priority="707" operator="lessThan">
      <formula>0</formula>
    </cfRule>
  </conditionalFormatting>
  <conditionalFormatting sqref="AQ39">
    <cfRule type="cellIs" dxfId="3392" priority="706" operator="lessThan">
      <formula>0</formula>
    </cfRule>
  </conditionalFormatting>
  <conditionalFormatting sqref="AQ39">
    <cfRule type="cellIs" dxfId="3391" priority="705" operator="lessThan">
      <formula>0</formula>
    </cfRule>
  </conditionalFormatting>
  <conditionalFormatting sqref="AQ39">
    <cfRule type="cellIs" dxfId="3390" priority="704" operator="lessThan">
      <formula>0</formula>
    </cfRule>
  </conditionalFormatting>
  <conditionalFormatting sqref="AQ39">
    <cfRule type="cellIs" dxfId="3389" priority="703" operator="lessThan">
      <formula>0</formula>
    </cfRule>
  </conditionalFormatting>
  <conditionalFormatting sqref="AQ39">
    <cfRule type="cellIs" dxfId="3388" priority="702" operator="lessThan">
      <formula>0</formula>
    </cfRule>
  </conditionalFormatting>
  <conditionalFormatting sqref="AQ38">
    <cfRule type="cellIs" dxfId="3387" priority="700" operator="lessThan">
      <formula>0</formula>
    </cfRule>
  </conditionalFormatting>
  <conditionalFormatting sqref="AQ38">
    <cfRule type="cellIs" dxfId="3386" priority="699" operator="lessThan">
      <formula>0</formula>
    </cfRule>
  </conditionalFormatting>
  <conditionalFormatting sqref="AQ40:AQ41">
    <cfRule type="cellIs" dxfId="3385" priority="698" operator="lessThan">
      <formula>0</formula>
    </cfRule>
  </conditionalFormatting>
  <conditionalFormatting sqref="AQ40:AQ41">
    <cfRule type="cellIs" dxfId="3384" priority="697" operator="lessThan">
      <formula>0</formula>
    </cfRule>
  </conditionalFormatting>
  <conditionalFormatting sqref="AQ40:AQ41">
    <cfRule type="cellIs" dxfId="3383" priority="696" operator="lessThan">
      <formula>0</formula>
    </cfRule>
  </conditionalFormatting>
  <conditionalFormatting sqref="AQ40:AQ41">
    <cfRule type="cellIs" dxfId="3382" priority="695" operator="lessThan">
      <formula>0</formula>
    </cfRule>
  </conditionalFormatting>
  <conditionalFormatting sqref="AQ40:AQ41">
    <cfRule type="cellIs" dxfId="3381" priority="694" operator="lessThan">
      <formula>0</formula>
    </cfRule>
  </conditionalFormatting>
  <conditionalFormatting sqref="AQ40:AQ41">
    <cfRule type="cellIs" dxfId="3380" priority="693" operator="lessThan">
      <formula>0</formula>
    </cfRule>
  </conditionalFormatting>
  <conditionalFormatting sqref="AQ40:AQ41">
    <cfRule type="cellIs" dxfId="3379" priority="692" operator="lessThan">
      <formula>0</formula>
    </cfRule>
  </conditionalFormatting>
  <conditionalFormatting sqref="AQ40:AQ41">
    <cfRule type="cellIs" dxfId="3378" priority="691" operator="lessThan">
      <formula>0</formula>
    </cfRule>
  </conditionalFormatting>
  <conditionalFormatting sqref="AQ38">
    <cfRule type="cellIs" dxfId="3377" priority="690" operator="lessThan">
      <formula>0</formula>
    </cfRule>
  </conditionalFormatting>
  <conditionalFormatting sqref="AQ38 AQ40:AQ41">
    <cfRule type="cellIs" dxfId="3376" priority="689" operator="lessThan">
      <formula>0</formula>
    </cfRule>
  </conditionalFormatting>
  <conditionalFormatting sqref="AQ38 AQ40:AQ41">
    <cfRule type="cellIs" dxfId="3375" priority="688" operator="lessThan">
      <formula>0</formula>
    </cfRule>
  </conditionalFormatting>
  <conditionalFormatting sqref="AQ38 AQ40:AQ41">
    <cfRule type="cellIs" dxfId="3374" priority="687" operator="lessThan">
      <formula>0</formula>
    </cfRule>
  </conditionalFormatting>
  <conditionalFormatting sqref="AQ38 AQ40:AQ41">
    <cfRule type="cellIs" dxfId="3373" priority="686" operator="lessThan">
      <formula>0</formula>
    </cfRule>
  </conditionalFormatting>
  <conditionalFormatting sqref="AQ40:AQ41">
    <cfRule type="cellIs" dxfId="3372" priority="685" operator="lessThan">
      <formula>0</formula>
    </cfRule>
  </conditionalFormatting>
  <conditionalFormatting sqref="AQ40:AQ41">
    <cfRule type="cellIs" dxfId="3371" priority="684" operator="lessThan">
      <formula>0</formula>
    </cfRule>
  </conditionalFormatting>
  <conditionalFormatting sqref="AQ40:AQ41">
    <cfRule type="cellIs" dxfId="3370" priority="683" operator="lessThan">
      <formula>0</formula>
    </cfRule>
  </conditionalFormatting>
  <conditionalFormatting sqref="AQ40:AQ41">
    <cfRule type="cellIs" dxfId="3369" priority="682" operator="lessThan">
      <formula>0</formula>
    </cfRule>
  </conditionalFormatting>
  <conditionalFormatting sqref="AQ39">
    <cfRule type="cellIs" dxfId="3368" priority="681" operator="lessThan">
      <formula>0</formula>
    </cfRule>
  </conditionalFormatting>
  <conditionalFormatting sqref="AQ39">
    <cfRule type="cellIs" dxfId="3367" priority="680" operator="lessThan">
      <formula>0</formula>
    </cfRule>
  </conditionalFormatting>
  <conditionalFormatting sqref="AQ39">
    <cfRule type="cellIs" dxfId="3366" priority="679" operator="lessThan">
      <formula>0</formula>
    </cfRule>
  </conditionalFormatting>
  <conditionalFormatting sqref="AQ39">
    <cfRule type="cellIs" dxfId="3365" priority="678" operator="lessThan">
      <formula>0</formula>
    </cfRule>
  </conditionalFormatting>
  <conditionalFormatting sqref="AQ39">
    <cfRule type="cellIs" dxfId="3364" priority="677" operator="lessThan">
      <formula>0</formula>
    </cfRule>
  </conditionalFormatting>
  <conditionalFormatting sqref="AQ39">
    <cfRule type="cellIs" dxfId="3363" priority="676" operator="lessThan">
      <formula>0</formula>
    </cfRule>
  </conditionalFormatting>
  <conditionalFormatting sqref="AQ39">
    <cfRule type="cellIs" dxfId="3362" priority="675" operator="lessThan">
      <formula>0</formula>
    </cfRule>
  </conditionalFormatting>
  <conditionalFormatting sqref="AQ39">
    <cfRule type="cellIs" dxfId="3361" priority="674" operator="lessThan">
      <formula>0</formula>
    </cfRule>
  </conditionalFormatting>
  <conditionalFormatting sqref="AQ39">
    <cfRule type="cellIs" dxfId="3360" priority="673" operator="lessThan">
      <formula>0</formula>
    </cfRule>
  </conditionalFormatting>
  <conditionalFormatting sqref="AQ39">
    <cfRule type="cellIs" dxfId="3359" priority="672" operator="lessThan">
      <formula>0</formula>
    </cfRule>
  </conditionalFormatting>
  <conditionalFormatting sqref="AQ39">
    <cfRule type="cellIs" dxfId="3358" priority="671" operator="lessThan">
      <formula>0</formula>
    </cfRule>
  </conditionalFormatting>
  <conditionalFormatting sqref="AQ39">
    <cfRule type="cellIs" dxfId="3357" priority="670" operator="lessThan">
      <formula>0</formula>
    </cfRule>
  </conditionalFormatting>
  <conditionalFormatting sqref="AQ39">
    <cfRule type="cellIs" dxfId="3356" priority="669" operator="lessThan">
      <formula>0</formula>
    </cfRule>
  </conditionalFormatting>
  <conditionalFormatting sqref="AQ39">
    <cfRule type="cellIs" dxfId="3355" priority="668" operator="lessThan">
      <formula>0</formula>
    </cfRule>
  </conditionalFormatting>
  <conditionalFormatting sqref="AQ39">
    <cfRule type="cellIs" dxfId="3354" priority="667" operator="lessThan">
      <formula>0</formula>
    </cfRule>
  </conditionalFormatting>
  <conditionalFormatting sqref="AQ39">
    <cfRule type="cellIs" dxfId="3353" priority="666" operator="lessThan">
      <formula>0</formula>
    </cfRule>
  </conditionalFormatting>
  <conditionalFormatting sqref="AQ39">
    <cfRule type="cellIs" dxfId="3352" priority="665" operator="lessThan">
      <formula>0</formula>
    </cfRule>
  </conditionalFormatting>
  <conditionalFormatting sqref="AQ39">
    <cfRule type="cellIs" dxfId="3351" priority="664" operator="lessThan">
      <formula>0</formula>
    </cfRule>
  </conditionalFormatting>
  <conditionalFormatting sqref="AQ39">
    <cfRule type="cellIs" dxfId="3350" priority="663" operator="lessThan">
      <formula>0</formula>
    </cfRule>
  </conditionalFormatting>
  <conditionalFormatting sqref="AQ39">
    <cfRule type="cellIs" dxfId="3349" priority="662" operator="lessThan">
      <formula>0</formula>
    </cfRule>
  </conditionalFormatting>
  <conditionalFormatting sqref="AQ39">
    <cfRule type="cellIs" dxfId="3348" priority="661" operator="lessThan">
      <formula>0</formula>
    </cfRule>
  </conditionalFormatting>
  <conditionalFormatting sqref="AQ39">
    <cfRule type="cellIs" dxfId="3347" priority="660" operator="lessThan">
      <formula>0</formula>
    </cfRule>
  </conditionalFormatting>
  <conditionalFormatting sqref="AQ39">
    <cfRule type="cellIs" dxfId="3346" priority="659" operator="lessThan">
      <formula>0</formula>
    </cfRule>
  </conditionalFormatting>
  <conditionalFormatting sqref="AQ39">
    <cfRule type="cellIs" dxfId="3345" priority="658" operator="lessThan">
      <formula>0</formula>
    </cfRule>
  </conditionalFormatting>
  <conditionalFormatting sqref="AQ39">
    <cfRule type="cellIs" dxfId="3344" priority="657" operator="lessThan">
      <formula>0</formula>
    </cfRule>
  </conditionalFormatting>
  <conditionalFormatting sqref="AQ39">
    <cfRule type="cellIs" dxfId="3343" priority="656" operator="lessThan">
      <formula>0</formula>
    </cfRule>
  </conditionalFormatting>
  <conditionalFormatting sqref="AQ39">
    <cfRule type="cellIs" dxfId="3342" priority="655" operator="lessThan">
      <formula>0</formula>
    </cfRule>
  </conditionalFormatting>
  <conditionalFormatting sqref="AQ39">
    <cfRule type="cellIs" dxfId="3341" priority="654" operator="lessThan">
      <formula>0</formula>
    </cfRule>
  </conditionalFormatting>
  <conditionalFormatting sqref="AQ39">
    <cfRule type="cellIs" dxfId="3340" priority="653" operator="lessThan">
      <formula>0</formula>
    </cfRule>
  </conditionalFormatting>
  <conditionalFormatting sqref="AQ39">
    <cfRule type="cellIs" dxfId="3339" priority="652" operator="lessThan">
      <formula>0</formula>
    </cfRule>
  </conditionalFormatting>
  <conditionalFormatting sqref="AQ39">
    <cfRule type="cellIs" dxfId="3338" priority="651" operator="lessThan">
      <formula>0</formula>
    </cfRule>
  </conditionalFormatting>
  <conditionalFormatting sqref="AQ39">
    <cfRule type="cellIs" dxfId="3337" priority="650" operator="lessThan">
      <formula>0</formula>
    </cfRule>
  </conditionalFormatting>
  <conditionalFormatting sqref="AQ39">
    <cfRule type="cellIs" dxfId="3336" priority="649" operator="lessThan">
      <formula>0</formula>
    </cfRule>
  </conditionalFormatting>
  <conditionalFormatting sqref="AQ39">
    <cfRule type="cellIs" dxfId="3335" priority="648" operator="lessThan">
      <formula>0</formula>
    </cfRule>
  </conditionalFormatting>
  <conditionalFormatting sqref="AQ39">
    <cfRule type="cellIs" dxfId="3334" priority="647" operator="lessThan">
      <formula>0</formula>
    </cfRule>
  </conditionalFormatting>
  <conditionalFormatting sqref="AQ39">
    <cfRule type="cellIs" dxfId="3333" priority="646" operator="lessThan">
      <formula>0</formula>
    </cfRule>
  </conditionalFormatting>
  <conditionalFormatting sqref="AQ39">
    <cfRule type="cellIs" dxfId="3332" priority="645" operator="lessThan">
      <formula>0</formula>
    </cfRule>
  </conditionalFormatting>
  <conditionalFormatting sqref="AQ39">
    <cfRule type="cellIs" dxfId="3331" priority="644" operator="lessThan">
      <formula>0</formula>
    </cfRule>
  </conditionalFormatting>
  <conditionalFormatting sqref="AQ39">
    <cfRule type="cellIs" dxfId="3330" priority="643" operator="lessThan">
      <formula>0</formula>
    </cfRule>
  </conditionalFormatting>
  <conditionalFormatting sqref="AQ39">
    <cfRule type="cellIs" dxfId="3329" priority="642" operator="lessThan">
      <formula>0</formula>
    </cfRule>
  </conditionalFormatting>
  <conditionalFormatting sqref="AQ39">
    <cfRule type="cellIs" dxfId="3328" priority="641" operator="lessThan">
      <formula>0</formula>
    </cfRule>
  </conditionalFormatting>
  <conditionalFormatting sqref="AQ39">
    <cfRule type="cellIs" dxfId="3327" priority="640" operator="lessThan">
      <formula>0</formula>
    </cfRule>
  </conditionalFormatting>
  <conditionalFormatting sqref="AQ39">
    <cfRule type="cellIs" dxfId="3326" priority="639" operator="lessThan">
      <formula>0</formula>
    </cfRule>
  </conditionalFormatting>
  <conditionalFormatting sqref="AQ39">
    <cfRule type="cellIs" dxfId="3325" priority="638" operator="lessThan">
      <formula>0</formula>
    </cfRule>
  </conditionalFormatting>
  <conditionalFormatting sqref="AQ39">
    <cfRule type="cellIs" dxfId="3324" priority="637" operator="lessThan">
      <formula>0</formula>
    </cfRule>
  </conditionalFormatting>
  <conditionalFormatting sqref="AQ39">
    <cfRule type="cellIs" dxfId="3323" priority="636" operator="lessThan">
      <formula>0</formula>
    </cfRule>
  </conditionalFormatting>
  <conditionalFormatting sqref="AQ39">
    <cfRule type="cellIs" dxfId="3322" priority="635" operator="lessThan">
      <formula>0</formula>
    </cfRule>
  </conditionalFormatting>
  <conditionalFormatting sqref="AQ39">
    <cfRule type="cellIs" dxfId="3321" priority="634" operator="lessThan">
      <formula>0</formula>
    </cfRule>
  </conditionalFormatting>
  <conditionalFormatting sqref="AQ39">
    <cfRule type="cellIs" dxfId="3320" priority="633" operator="lessThan">
      <formula>0</formula>
    </cfRule>
  </conditionalFormatting>
  <conditionalFormatting sqref="AQ39">
    <cfRule type="cellIs" dxfId="3319" priority="632" operator="lessThan">
      <formula>0</formula>
    </cfRule>
  </conditionalFormatting>
  <conditionalFormatting sqref="AQ39">
    <cfRule type="cellIs" dxfId="3318" priority="631" operator="lessThan">
      <formula>0</formula>
    </cfRule>
  </conditionalFormatting>
  <conditionalFormatting sqref="AQ39">
    <cfRule type="cellIs" dxfId="3317" priority="630" operator="lessThan">
      <formula>0</formula>
    </cfRule>
  </conditionalFormatting>
  <conditionalFormatting sqref="AQ39">
    <cfRule type="cellIs" dxfId="3316" priority="629" operator="lessThan">
      <formula>0</formula>
    </cfRule>
  </conditionalFormatting>
  <conditionalFormatting sqref="AQ39">
    <cfRule type="cellIs" dxfId="3315" priority="628" operator="lessThan">
      <formula>0</formula>
    </cfRule>
  </conditionalFormatting>
  <conditionalFormatting sqref="AQ39">
    <cfRule type="cellIs" dxfId="3314" priority="627" operator="lessThan">
      <formula>0</formula>
    </cfRule>
  </conditionalFormatting>
  <conditionalFormatting sqref="AQ39">
    <cfRule type="cellIs" dxfId="3313" priority="626" operator="lessThan">
      <formula>0</formula>
    </cfRule>
  </conditionalFormatting>
  <conditionalFormatting sqref="AQ39">
    <cfRule type="cellIs" dxfId="3312" priority="625" operator="lessThan">
      <formula>0</formula>
    </cfRule>
  </conditionalFormatting>
  <conditionalFormatting sqref="AQ39">
    <cfRule type="cellIs" dxfId="3311" priority="624" operator="lessThan">
      <formula>0</formula>
    </cfRule>
  </conditionalFormatting>
  <conditionalFormatting sqref="AQ39">
    <cfRule type="cellIs" dxfId="3310" priority="623" operator="lessThan">
      <formula>0</formula>
    </cfRule>
  </conditionalFormatting>
  <conditionalFormatting sqref="AQ39">
    <cfRule type="cellIs" dxfId="3309" priority="622" operator="lessThan">
      <formula>0</formula>
    </cfRule>
  </conditionalFormatting>
  <conditionalFormatting sqref="AQ39">
    <cfRule type="cellIs" dxfId="3308" priority="621" operator="lessThan">
      <formula>0</formula>
    </cfRule>
  </conditionalFormatting>
  <conditionalFormatting sqref="AQ39">
    <cfRule type="cellIs" dxfId="3307" priority="620" operator="lessThan">
      <formula>0</formula>
    </cfRule>
  </conditionalFormatting>
  <conditionalFormatting sqref="AQ39">
    <cfRule type="cellIs" dxfId="3306" priority="619" operator="lessThan">
      <formula>0</formula>
    </cfRule>
  </conditionalFormatting>
  <conditionalFormatting sqref="AQ39">
    <cfRule type="cellIs" dxfId="3305" priority="618" operator="lessThan">
      <formula>0</formula>
    </cfRule>
  </conditionalFormatting>
  <conditionalFormatting sqref="AQ39">
    <cfRule type="cellIs" dxfId="3304" priority="617" operator="lessThan">
      <formula>0</formula>
    </cfRule>
  </conditionalFormatting>
  <conditionalFormatting sqref="AQ39">
    <cfRule type="cellIs" dxfId="3303" priority="616" operator="lessThan">
      <formula>0</formula>
    </cfRule>
  </conditionalFormatting>
  <conditionalFormatting sqref="AQ39">
    <cfRule type="cellIs" dxfId="3302" priority="615" operator="lessThan">
      <formula>0</formula>
    </cfRule>
  </conditionalFormatting>
  <conditionalFormatting sqref="AQ39">
    <cfRule type="cellIs" dxfId="3301" priority="614" operator="lessThan">
      <formula>0</formula>
    </cfRule>
  </conditionalFormatting>
  <conditionalFormatting sqref="AQ39">
    <cfRule type="cellIs" dxfId="3300" priority="613" operator="lessThan">
      <formula>0</formula>
    </cfRule>
  </conditionalFormatting>
  <conditionalFormatting sqref="AQ39">
    <cfRule type="cellIs" dxfId="3299" priority="612" operator="lessThan">
      <formula>0</formula>
    </cfRule>
  </conditionalFormatting>
  <conditionalFormatting sqref="AQ39">
    <cfRule type="cellIs" dxfId="3298" priority="611" operator="lessThan">
      <formula>0</formula>
    </cfRule>
  </conditionalFormatting>
  <conditionalFormatting sqref="AQ39">
    <cfRule type="cellIs" dxfId="3297" priority="610" operator="lessThan">
      <formula>0</formula>
    </cfRule>
  </conditionalFormatting>
  <conditionalFormatting sqref="AQ39">
    <cfRule type="cellIs" dxfId="3296" priority="609" operator="lessThan">
      <formula>0</formula>
    </cfRule>
  </conditionalFormatting>
  <conditionalFormatting sqref="AQ39">
    <cfRule type="cellIs" dxfId="3295" priority="608" operator="lessThan">
      <formula>0</formula>
    </cfRule>
  </conditionalFormatting>
  <conditionalFormatting sqref="AQ39">
    <cfRule type="cellIs" dxfId="3294" priority="607" operator="lessThan">
      <formula>0</formula>
    </cfRule>
  </conditionalFormatting>
  <conditionalFormatting sqref="AQ39">
    <cfRule type="cellIs" dxfId="3293" priority="606" operator="lessThan">
      <formula>0</formula>
    </cfRule>
  </conditionalFormatting>
  <conditionalFormatting sqref="AQ39">
    <cfRule type="cellIs" dxfId="3292" priority="605" operator="lessThan">
      <formula>0</formula>
    </cfRule>
  </conditionalFormatting>
  <conditionalFormatting sqref="AQ39">
    <cfRule type="cellIs" dxfId="3291" priority="604" operator="lessThan">
      <formula>0</formula>
    </cfRule>
  </conditionalFormatting>
  <conditionalFormatting sqref="AQ39">
    <cfRule type="cellIs" dxfId="3290" priority="603" operator="lessThan">
      <formula>0</formula>
    </cfRule>
  </conditionalFormatting>
  <conditionalFormatting sqref="AQ39">
    <cfRule type="cellIs" dxfId="3289" priority="602" operator="lessThan">
      <formula>0</formula>
    </cfRule>
  </conditionalFormatting>
  <conditionalFormatting sqref="AQ39">
    <cfRule type="cellIs" dxfId="3288" priority="586" operator="lessThan">
      <formula>0</formula>
    </cfRule>
  </conditionalFormatting>
  <conditionalFormatting sqref="AQ39">
    <cfRule type="cellIs" dxfId="3287" priority="601" operator="lessThan">
      <formula>0</formula>
    </cfRule>
  </conditionalFormatting>
  <conditionalFormatting sqref="AQ39">
    <cfRule type="cellIs" dxfId="3286" priority="600" operator="lessThan">
      <formula>0</formula>
    </cfRule>
  </conditionalFormatting>
  <conditionalFormatting sqref="AQ39">
    <cfRule type="cellIs" dxfId="3285" priority="599" operator="lessThan">
      <formula>0</formula>
    </cfRule>
  </conditionalFormatting>
  <conditionalFormatting sqref="AQ39">
    <cfRule type="cellIs" dxfId="3284" priority="598" operator="lessThan">
      <formula>0</formula>
    </cfRule>
  </conditionalFormatting>
  <conditionalFormatting sqref="AQ39">
    <cfRule type="cellIs" dxfId="3283" priority="597" operator="lessThan">
      <formula>0</formula>
    </cfRule>
  </conditionalFormatting>
  <conditionalFormatting sqref="AQ39">
    <cfRule type="cellIs" dxfId="3282" priority="596" operator="lessThan">
      <formula>0</formula>
    </cfRule>
  </conditionalFormatting>
  <conditionalFormatting sqref="AQ39">
    <cfRule type="cellIs" dxfId="3281" priority="595" operator="lessThan">
      <formula>0</formula>
    </cfRule>
  </conditionalFormatting>
  <conditionalFormatting sqref="AQ39">
    <cfRule type="cellIs" dxfId="3280" priority="594" operator="lessThan">
      <formula>0</formula>
    </cfRule>
  </conditionalFormatting>
  <conditionalFormatting sqref="AQ39">
    <cfRule type="cellIs" dxfId="3279" priority="593" operator="lessThan">
      <formula>0</formula>
    </cfRule>
  </conditionalFormatting>
  <conditionalFormatting sqref="AQ39">
    <cfRule type="cellIs" dxfId="3278" priority="592" operator="lessThan">
      <formula>0</formula>
    </cfRule>
  </conditionalFormatting>
  <conditionalFormatting sqref="AQ39">
    <cfRule type="cellIs" dxfId="3277" priority="591" operator="lessThan">
      <formula>0</formula>
    </cfRule>
  </conditionalFormatting>
  <conditionalFormatting sqref="AQ39">
    <cfRule type="cellIs" dxfId="3276" priority="590" operator="lessThan">
      <formula>0</formula>
    </cfRule>
  </conditionalFormatting>
  <conditionalFormatting sqref="AQ39">
    <cfRule type="cellIs" dxfId="3275" priority="589" operator="lessThan">
      <formula>0</formula>
    </cfRule>
  </conditionalFormatting>
  <conditionalFormatting sqref="AQ39">
    <cfRule type="cellIs" dxfId="3274" priority="588" operator="lessThan">
      <formula>0</formula>
    </cfRule>
  </conditionalFormatting>
  <conditionalFormatting sqref="AQ39">
    <cfRule type="cellIs" dxfId="3273" priority="587" operator="lessThan">
      <formula>0</formula>
    </cfRule>
  </conditionalFormatting>
  <conditionalFormatting sqref="X7">
    <cfRule type="iconSet" priority="583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3272" priority="582" operator="lessThan">
      <formula>0</formula>
    </cfRule>
  </conditionalFormatting>
  <conditionalFormatting sqref="X6:X9">
    <cfRule type="cellIs" dxfId="3271" priority="581" operator="lessThan">
      <formula>0</formula>
    </cfRule>
  </conditionalFormatting>
  <conditionalFormatting sqref="X11 X15 X19 X23 X27 X31 X35 X39 X43 X47 X51 X55 X59 X63 X67 X71 X75 X79">
    <cfRule type="iconSet" priority="580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4 X68 X72 X76 X80">
    <cfRule type="cellIs" dxfId="3270" priority="579" operator="lessThan">
      <formula>0</formula>
    </cfRule>
  </conditionalFormatting>
  <conditionalFormatting sqref="X10:X81">
    <cfRule type="cellIs" dxfId="3269" priority="578" operator="lessThan">
      <formula>0</formula>
    </cfRule>
  </conditionalFormatting>
  <conditionalFormatting sqref="AQ11">
    <cfRule type="cellIs" dxfId="3268" priority="577" operator="lessThan">
      <formula>0</formula>
    </cfRule>
  </conditionalFormatting>
  <conditionalFormatting sqref="AQ11">
    <cfRule type="cellIs" dxfId="3267" priority="576" operator="lessThan">
      <formula>0</formula>
    </cfRule>
  </conditionalFormatting>
  <conditionalFormatting sqref="AQ11">
    <cfRule type="cellIs" dxfId="3266" priority="575" operator="lessThan">
      <formula>0</formula>
    </cfRule>
  </conditionalFormatting>
  <conditionalFormatting sqref="AQ11">
    <cfRule type="cellIs" dxfId="3265" priority="574" operator="lessThan">
      <formula>0</formula>
    </cfRule>
  </conditionalFormatting>
  <conditionalFormatting sqref="AQ11">
    <cfRule type="cellIs" dxfId="3264" priority="573" operator="lessThan">
      <formula>0</formula>
    </cfRule>
  </conditionalFormatting>
  <conditionalFormatting sqref="AQ11">
    <cfRule type="cellIs" dxfId="3263" priority="572" operator="lessThan">
      <formula>0</formula>
    </cfRule>
  </conditionalFormatting>
  <conditionalFormatting sqref="AQ11">
    <cfRule type="cellIs" dxfId="3262" priority="571" operator="lessThan">
      <formula>0</formula>
    </cfRule>
  </conditionalFormatting>
  <conditionalFormatting sqref="AQ11">
    <cfRule type="cellIs" dxfId="3261" priority="570" operator="lessThan">
      <formula>0</formula>
    </cfRule>
  </conditionalFormatting>
  <conditionalFormatting sqref="AQ11">
    <cfRule type="cellIs" dxfId="3260" priority="569" operator="lessThan">
      <formula>0</formula>
    </cfRule>
  </conditionalFormatting>
  <conditionalFormatting sqref="AQ11">
    <cfRule type="cellIs" dxfId="3259" priority="568" operator="lessThan">
      <formula>0</formula>
    </cfRule>
  </conditionalFormatting>
  <conditionalFormatting sqref="AQ11">
    <cfRule type="cellIs" dxfId="3258" priority="567" operator="lessThan">
      <formula>0</formula>
    </cfRule>
  </conditionalFormatting>
  <conditionalFormatting sqref="AQ11">
    <cfRule type="cellIs" dxfId="3257" priority="566" operator="lessThan">
      <formula>0</formula>
    </cfRule>
  </conditionalFormatting>
  <conditionalFormatting sqref="AQ11">
    <cfRule type="cellIs" dxfId="3256" priority="565" operator="lessThan">
      <formula>0</formula>
    </cfRule>
  </conditionalFormatting>
  <conditionalFormatting sqref="AQ11">
    <cfRule type="cellIs" dxfId="3255" priority="564" operator="lessThan">
      <formula>0</formula>
    </cfRule>
  </conditionalFormatting>
  <conditionalFormatting sqref="AQ11">
    <cfRule type="cellIs" dxfId="3254" priority="563" operator="lessThan">
      <formula>0</formula>
    </cfRule>
  </conditionalFormatting>
  <conditionalFormatting sqref="AQ11">
    <cfRule type="cellIs" dxfId="3253" priority="562" operator="lessThan">
      <formula>0</formula>
    </cfRule>
  </conditionalFormatting>
  <conditionalFormatting sqref="AQ11">
    <cfRule type="cellIs" dxfId="3252" priority="561" operator="lessThan">
      <formula>0</formula>
    </cfRule>
  </conditionalFormatting>
  <conditionalFormatting sqref="AQ11">
    <cfRule type="cellIs" dxfId="3251" priority="560" operator="lessThan">
      <formula>0</formula>
    </cfRule>
  </conditionalFormatting>
  <conditionalFormatting sqref="AQ11">
    <cfRule type="cellIs" dxfId="3250" priority="559" operator="lessThan">
      <formula>0</formula>
    </cfRule>
  </conditionalFormatting>
  <conditionalFormatting sqref="AQ11">
    <cfRule type="cellIs" dxfId="3249" priority="558" operator="lessThan">
      <formula>0</formula>
    </cfRule>
  </conditionalFormatting>
  <conditionalFormatting sqref="AQ11">
    <cfRule type="cellIs" dxfId="3248" priority="557" operator="lessThan">
      <formula>0</formula>
    </cfRule>
  </conditionalFormatting>
  <conditionalFormatting sqref="AQ11">
    <cfRule type="cellIs" dxfId="3247" priority="556" operator="lessThan">
      <formula>0</formula>
    </cfRule>
  </conditionalFormatting>
  <conditionalFormatting sqref="AQ11">
    <cfRule type="cellIs" dxfId="3246" priority="555" operator="lessThan">
      <formula>0</formula>
    </cfRule>
  </conditionalFormatting>
  <conditionalFormatting sqref="AQ11">
    <cfRule type="cellIs" dxfId="3245" priority="554" operator="lessThan">
      <formula>0</formula>
    </cfRule>
  </conditionalFormatting>
  <conditionalFormatting sqref="AQ11">
    <cfRule type="cellIs" dxfId="3244" priority="553" operator="lessThan">
      <formula>0</formula>
    </cfRule>
  </conditionalFormatting>
  <conditionalFormatting sqref="AQ11">
    <cfRule type="cellIs" dxfId="3243" priority="552" operator="lessThan">
      <formula>0</formula>
    </cfRule>
  </conditionalFormatting>
  <conditionalFormatting sqref="AQ11">
    <cfRule type="cellIs" dxfId="3242" priority="551" operator="lessThan">
      <formula>0</formula>
    </cfRule>
  </conditionalFormatting>
  <conditionalFormatting sqref="AQ11">
    <cfRule type="cellIs" dxfId="3241" priority="550" operator="lessThan">
      <formula>0</formula>
    </cfRule>
  </conditionalFormatting>
  <conditionalFormatting sqref="AQ11">
    <cfRule type="cellIs" dxfId="3240" priority="549" operator="lessThan">
      <formula>0</formula>
    </cfRule>
  </conditionalFormatting>
  <conditionalFormatting sqref="AQ11">
    <cfRule type="cellIs" dxfId="3239" priority="548" operator="lessThan">
      <formula>0</formula>
    </cfRule>
  </conditionalFormatting>
  <conditionalFormatting sqref="AQ11">
    <cfRule type="cellIs" dxfId="3238" priority="547" operator="lessThan">
      <formula>0</formula>
    </cfRule>
  </conditionalFormatting>
  <conditionalFormatting sqref="AQ11">
    <cfRule type="cellIs" dxfId="3237" priority="546" operator="lessThan">
      <formula>0</formula>
    </cfRule>
  </conditionalFormatting>
  <conditionalFormatting sqref="AQ11">
    <cfRule type="cellIs" dxfId="3236" priority="545" operator="lessThan">
      <formula>0</formula>
    </cfRule>
  </conditionalFormatting>
  <conditionalFormatting sqref="AQ11">
    <cfRule type="cellIs" dxfId="3235" priority="544" operator="lessThan">
      <formula>0</formula>
    </cfRule>
  </conditionalFormatting>
  <conditionalFormatting sqref="AQ11">
    <cfRule type="cellIs" dxfId="3234" priority="543" operator="lessThan">
      <formula>0</formula>
    </cfRule>
  </conditionalFormatting>
  <conditionalFormatting sqref="AQ11">
    <cfRule type="cellIs" dxfId="3233" priority="542" operator="lessThan">
      <formula>0</formula>
    </cfRule>
  </conditionalFormatting>
  <conditionalFormatting sqref="AQ11">
    <cfRule type="cellIs" dxfId="3232" priority="541" operator="lessThan">
      <formula>0</formula>
    </cfRule>
  </conditionalFormatting>
  <conditionalFormatting sqref="AQ11">
    <cfRule type="cellIs" dxfId="3231" priority="540" operator="lessThan">
      <formula>0</formula>
    </cfRule>
  </conditionalFormatting>
  <conditionalFormatting sqref="AQ11">
    <cfRule type="cellIs" dxfId="3230" priority="539" operator="lessThan">
      <formula>0</formula>
    </cfRule>
  </conditionalFormatting>
  <conditionalFormatting sqref="AQ11">
    <cfRule type="cellIs" dxfId="3229" priority="538" operator="lessThan">
      <formula>0</formula>
    </cfRule>
  </conditionalFormatting>
  <conditionalFormatting sqref="AQ11">
    <cfRule type="cellIs" dxfId="3228" priority="537" operator="lessThan">
      <formula>0</formula>
    </cfRule>
  </conditionalFormatting>
  <conditionalFormatting sqref="AQ11">
    <cfRule type="cellIs" dxfId="3227" priority="536" operator="lessThan">
      <formula>0</formula>
    </cfRule>
  </conditionalFormatting>
  <conditionalFormatting sqref="AQ11">
    <cfRule type="cellIs" dxfId="3226" priority="535" operator="lessThan">
      <formula>0</formula>
    </cfRule>
  </conditionalFormatting>
  <conditionalFormatting sqref="AQ11">
    <cfRule type="cellIs" dxfId="3225" priority="534" operator="lessThan">
      <formula>0</formula>
    </cfRule>
  </conditionalFormatting>
  <conditionalFormatting sqref="AQ11">
    <cfRule type="cellIs" dxfId="3224" priority="533" operator="lessThan">
      <formula>0</formula>
    </cfRule>
  </conditionalFormatting>
  <conditionalFormatting sqref="AQ11">
    <cfRule type="cellIs" dxfId="3223" priority="532" operator="lessThan">
      <formula>0</formula>
    </cfRule>
  </conditionalFormatting>
  <conditionalFormatting sqref="AQ11">
    <cfRule type="cellIs" dxfId="3222" priority="531" operator="lessThan">
      <formula>0</formula>
    </cfRule>
  </conditionalFormatting>
  <conditionalFormatting sqref="AQ11">
    <cfRule type="cellIs" dxfId="3221" priority="530" operator="lessThan">
      <formula>0</formula>
    </cfRule>
  </conditionalFormatting>
  <conditionalFormatting sqref="AQ11">
    <cfRule type="cellIs" dxfId="3220" priority="529" operator="lessThan">
      <formula>0</formula>
    </cfRule>
  </conditionalFormatting>
  <conditionalFormatting sqref="AQ11">
    <cfRule type="cellIs" dxfId="3219" priority="528" operator="lessThan">
      <formula>0</formula>
    </cfRule>
  </conditionalFormatting>
  <conditionalFormatting sqref="AQ11">
    <cfRule type="cellIs" dxfId="3218" priority="527" operator="lessThan">
      <formula>0</formula>
    </cfRule>
  </conditionalFormatting>
  <conditionalFormatting sqref="AQ11">
    <cfRule type="cellIs" dxfId="3217" priority="526" operator="lessThan">
      <formula>0</formula>
    </cfRule>
  </conditionalFormatting>
  <conditionalFormatting sqref="AQ11">
    <cfRule type="cellIs" dxfId="3216" priority="525" operator="lessThan">
      <formula>0</formula>
    </cfRule>
  </conditionalFormatting>
  <conditionalFormatting sqref="AQ11">
    <cfRule type="cellIs" dxfId="3215" priority="524" operator="lessThan">
      <formula>0</formula>
    </cfRule>
  </conditionalFormatting>
  <conditionalFormatting sqref="AQ11">
    <cfRule type="cellIs" dxfId="3214" priority="523" operator="lessThan">
      <formula>0</formula>
    </cfRule>
  </conditionalFormatting>
  <conditionalFormatting sqref="AQ11">
    <cfRule type="cellIs" dxfId="3213" priority="522" operator="lessThan">
      <formula>0</formula>
    </cfRule>
  </conditionalFormatting>
  <conditionalFormatting sqref="AQ11">
    <cfRule type="cellIs" dxfId="3212" priority="521" operator="lessThan">
      <formula>0</formula>
    </cfRule>
  </conditionalFormatting>
  <conditionalFormatting sqref="AQ11">
    <cfRule type="cellIs" dxfId="3211" priority="520" operator="lessThan">
      <formula>0</formula>
    </cfRule>
  </conditionalFormatting>
  <conditionalFormatting sqref="AQ11">
    <cfRule type="cellIs" dxfId="3210" priority="519" operator="lessThan">
      <formula>0</formula>
    </cfRule>
  </conditionalFormatting>
  <conditionalFormatting sqref="AQ11">
    <cfRule type="cellIs" dxfId="3209" priority="518" operator="lessThan">
      <formula>0</formula>
    </cfRule>
  </conditionalFormatting>
  <conditionalFormatting sqref="AQ11">
    <cfRule type="cellIs" dxfId="3208" priority="517" operator="lessThan">
      <formula>0</formula>
    </cfRule>
  </conditionalFormatting>
  <conditionalFormatting sqref="AQ11">
    <cfRule type="cellIs" dxfId="3207" priority="516" operator="lessThan">
      <formula>0</formula>
    </cfRule>
  </conditionalFormatting>
  <conditionalFormatting sqref="AQ11">
    <cfRule type="cellIs" dxfId="3206" priority="515" operator="lessThan">
      <formula>0</formula>
    </cfRule>
  </conditionalFormatting>
  <conditionalFormatting sqref="AQ11">
    <cfRule type="cellIs" dxfId="3205" priority="514" operator="lessThan">
      <formula>0</formula>
    </cfRule>
  </conditionalFormatting>
  <conditionalFormatting sqref="AQ11">
    <cfRule type="cellIs" dxfId="3204" priority="513" operator="lessThan">
      <formula>0</formula>
    </cfRule>
  </conditionalFormatting>
  <conditionalFormatting sqref="AQ11">
    <cfRule type="cellIs" dxfId="3203" priority="512" operator="lessThan">
      <formula>0</formula>
    </cfRule>
  </conditionalFormatting>
  <conditionalFormatting sqref="AQ11">
    <cfRule type="cellIs" dxfId="3202" priority="511" operator="lessThan">
      <formula>0</formula>
    </cfRule>
  </conditionalFormatting>
  <conditionalFormatting sqref="AQ11">
    <cfRule type="cellIs" dxfId="3201" priority="510" operator="lessThan">
      <formula>0</formula>
    </cfRule>
  </conditionalFormatting>
  <conditionalFormatting sqref="AQ11">
    <cfRule type="cellIs" dxfId="3200" priority="509" operator="lessThan">
      <formula>0</formula>
    </cfRule>
  </conditionalFormatting>
  <conditionalFormatting sqref="AQ11">
    <cfRule type="cellIs" dxfId="3199" priority="508" operator="lessThan">
      <formula>0</formula>
    </cfRule>
  </conditionalFormatting>
  <conditionalFormatting sqref="AQ11">
    <cfRule type="cellIs" dxfId="3198" priority="507" operator="lessThan">
      <formula>0</formula>
    </cfRule>
  </conditionalFormatting>
  <conditionalFormatting sqref="AQ11">
    <cfRule type="cellIs" dxfId="3197" priority="506" operator="lessThan">
      <formula>0</formula>
    </cfRule>
  </conditionalFormatting>
  <conditionalFormatting sqref="AQ11">
    <cfRule type="cellIs" dxfId="3196" priority="505" operator="lessThan">
      <formula>0</formula>
    </cfRule>
  </conditionalFormatting>
  <conditionalFormatting sqref="AQ11">
    <cfRule type="cellIs" dxfId="3195" priority="504" operator="lessThan">
      <formula>0</formula>
    </cfRule>
  </conditionalFormatting>
  <conditionalFormatting sqref="AQ11">
    <cfRule type="cellIs" dxfId="3194" priority="503" operator="lessThan">
      <formula>0</formula>
    </cfRule>
  </conditionalFormatting>
  <conditionalFormatting sqref="AQ11">
    <cfRule type="cellIs" dxfId="3193" priority="502" operator="lessThan">
      <formula>0</formula>
    </cfRule>
  </conditionalFormatting>
  <conditionalFormatting sqref="AQ11">
    <cfRule type="cellIs" dxfId="3192" priority="501" operator="lessThan">
      <formula>0</formula>
    </cfRule>
  </conditionalFormatting>
  <conditionalFormatting sqref="AQ11">
    <cfRule type="cellIs" dxfId="3191" priority="500" operator="lessThan">
      <formula>0</formula>
    </cfRule>
  </conditionalFormatting>
  <conditionalFormatting sqref="AQ11">
    <cfRule type="cellIs" dxfId="3190" priority="499" operator="lessThan">
      <formula>0</formula>
    </cfRule>
  </conditionalFormatting>
  <conditionalFormatting sqref="AQ11">
    <cfRule type="cellIs" dxfId="3189" priority="498" operator="lessThan">
      <formula>0</formula>
    </cfRule>
  </conditionalFormatting>
  <conditionalFormatting sqref="AQ11">
    <cfRule type="cellIs" dxfId="3188" priority="482" operator="lessThan">
      <formula>0</formula>
    </cfRule>
  </conditionalFormatting>
  <conditionalFormatting sqref="AQ11">
    <cfRule type="cellIs" dxfId="3187" priority="497" operator="lessThan">
      <formula>0</formula>
    </cfRule>
  </conditionalFormatting>
  <conditionalFormatting sqref="AQ11">
    <cfRule type="cellIs" dxfId="3186" priority="496" operator="lessThan">
      <formula>0</formula>
    </cfRule>
  </conditionalFormatting>
  <conditionalFormatting sqref="AQ11">
    <cfRule type="cellIs" dxfId="3185" priority="495" operator="lessThan">
      <formula>0</formula>
    </cfRule>
  </conditionalFormatting>
  <conditionalFormatting sqref="AQ11">
    <cfRule type="cellIs" dxfId="3184" priority="494" operator="lessThan">
      <formula>0</formula>
    </cfRule>
  </conditionalFormatting>
  <conditionalFormatting sqref="AQ11">
    <cfRule type="cellIs" dxfId="3183" priority="493" operator="lessThan">
      <formula>0</formula>
    </cfRule>
  </conditionalFormatting>
  <conditionalFormatting sqref="AQ11">
    <cfRule type="cellIs" dxfId="3182" priority="492" operator="lessThan">
      <formula>0</formula>
    </cfRule>
  </conditionalFormatting>
  <conditionalFormatting sqref="AQ11">
    <cfRule type="cellIs" dxfId="3181" priority="491" operator="lessThan">
      <formula>0</formula>
    </cfRule>
  </conditionalFormatting>
  <conditionalFormatting sqref="AQ11">
    <cfRule type="cellIs" dxfId="3180" priority="490" operator="lessThan">
      <formula>0</formula>
    </cfRule>
  </conditionalFormatting>
  <conditionalFormatting sqref="AQ11">
    <cfRule type="cellIs" dxfId="3179" priority="489" operator="lessThan">
      <formula>0</formula>
    </cfRule>
  </conditionalFormatting>
  <conditionalFormatting sqref="AQ11">
    <cfRule type="cellIs" dxfId="3178" priority="488" operator="lessThan">
      <formula>0</formula>
    </cfRule>
  </conditionalFormatting>
  <conditionalFormatting sqref="AQ11">
    <cfRule type="cellIs" dxfId="3177" priority="487" operator="lessThan">
      <formula>0</formula>
    </cfRule>
  </conditionalFormatting>
  <conditionalFormatting sqref="AQ11">
    <cfRule type="cellIs" dxfId="3176" priority="486" operator="lessThan">
      <formula>0</formula>
    </cfRule>
  </conditionalFormatting>
  <conditionalFormatting sqref="AQ11">
    <cfRule type="cellIs" dxfId="3175" priority="485" operator="lessThan">
      <formula>0</formula>
    </cfRule>
  </conditionalFormatting>
  <conditionalFormatting sqref="AQ11">
    <cfRule type="cellIs" dxfId="3174" priority="484" operator="lessThan">
      <formula>0</formula>
    </cfRule>
  </conditionalFormatting>
  <conditionalFormatting sqref="AQ11">
    <cfRule type="cellIs" dxfId="3173" priority="483" operator="lessThan">
      <formula>0</formula>
    </cfRule>
  </conditionalFormatting>
  <conditionalFormatting sqref="AQ23">
    <cfRule type="cellIs" dxfId="3172" priority="481" operator="lessThan">
      <formula>0</formula>
    </cfRule>
  </conditionalFormatting>
  <conditionalFormatting sqref="AQ23">
    <cfRule type="cellIs" dxfId="3171" priority="480" operator="lessThan">
      <formula>0</formula>
    </cfRule>
  </conditionalFormatting>
  <conditionalFormatting sqref="AQ23">
    <cfRule type="cellIs" dxfId="3170" priority="479" operator="lessThan">
      <formula>0</formula>
    </cfRule>
  </conditionalFormatting>
  <conditionalFormatting sqref="AQ23">
    <cfRule type="cellIs" dxfId="3169" priority="478" operator="lessThan">
      <formula>0</formula>
    </cfRule>
  </conditionalFormatting>
  <conditionalFormatting sqref="AQ23">
    <cfRule type="cellIs" dxfId="3168" priority="477" operator="lessThan">
      <formula>0</formula>
    </cfRule>
  </conditionalFormatting>
  <conditionalFormatting sqref="AQ23">
    <cfRule type="cellIs" dxfId="3167" priority="476" operator="lessThan">
      <formula>0</formula>
    </cfRule>
  </conditionalFormatting>
  <conditionalFormatting sqref="AQ23">
    <cfRule type="cellIs" dxfId="3166" priority="475" operator="lessThan">
      <formula>0</formula>
    </cfRule>
  </conditionalFormatting>
  <conditionalFormatting sqref="AQ23">
    <cfRule type="cellIs" dxfId="3165" priority="474" operator="lessThan">
      <formula>0</formula>
    </cfRule>
  </conditionalFormatting>
  <conditionalFormatting sqref="AQ23">
    <cfRule type="cellIs" dxfId="3164" priority="473" operator="lessThan">
      <formula>0</formula>
    </cfRule>
  </conditionalFormatting>
  <conditionalFormatting sqref="AQ23">
    <cfRule type="cellIs" dxfId="3163" priority="472" operator="lessThan">
      <formula>0</formula>
    </cfRule>
  </conditionalFormatting>
  <conditionalFormatting sqref="AQ23">
    <cfRule type="cellIs" dxfId="3162" priority="471" operator="lessThan">
      <formula>0</formula>
    </cfRule>
  </conditionalFormatting>
  <conditionalFormatting sqref="AQ23">
    <cfRule type="cellIs" dxfId="3161" priority="470" operator="lessThan">
      <formula>0</formula>
    </cfRule>
  </conditionalFormatting>
  <conditionalFormatting sqref="AQ23">
    <cfRule type="cellIs" dxfId="3160" priority="469" operator="lessThan">
      <formula>0</formula>
    </cfRule>
  </conditionalFormatting>
  <conditionalFormatting sqref="AQ23">
    <cfRule type="cellIs" dxfId="3159" priority="468" operator="lessThan">
      <formula>0</formula>
    </cfRule>
  </conditionalFormatting>
  <conditionalFormatting sqref="AQ23">
    <cfRule type="cellIs" dxfId="3158" priority="467" operator="lessThan">
      <formula>0</formula>
    </cfRule>
  </conditionalFormatting>
  <conditionalFormatting sqref="AQ23">
    <cfRule type="cellIs" dxfId="3157" priority="466" operator="lessThan">
      <formula>0</formula>
    </cfRule>
  </conditionalFormatting>
  <conditionalFormatting sqref="AQ23">
    <cfRule type="cellIs" dxfId="3156" priority="465" operator="lessThan">
      <formula>0</formula>
    </cfRule>
  </conditionalFormatting>
  <conditionalFormatting sqref="AQ23">
    <cfRule type="cellIs" dxfId="3155" priority="464" operator="lessThan">
      <formula>0</formula>
    </cfRule>
  </conditionalFormatting>
  <conditionalFormatting sqref="AQ23">
    <cfRule type="cellIs" dxfId="3154" priority="463" operator="lessThan">
      <formula>0</formula>
    </cfRule>
  </conditionalFormatting>
  <conditionalFormatting sqref="AQ23">
    <cfRule type="cellIs" dxfId="3153" priority="462" operator="lessThan">
      <formula>0</formula>
    </cfRule>
  </conditionalFormatting>
  <conditionalFormatting sqref="AQ23">
    <cfRule type="cellIs" dxfId="3152" priority="461" operator="lessThan">
      <formula>0</formula>
    </cfRule>
  </conditionalFormatting>
  <conditionalFormatting sqref="AQ23">
    <cfRule type="cellIs" dxfId="3151" priority="460" operator="lessThan">
      <formula>0</formula>
    </cfRule>
  </conditionalFormatting>
  <conditionalFormatting sqref="AQ23">
    <cfRule type="cellIs" dxfId="3150" priority="459" operator="lessThan">
      <formula>0</formula>
    </cfRule>
  </conditionalFormatting>
  <conditionalFormatting sqref="AQ23">
    <cfRule type="cellIs" dxfId="3149" priority="458" operator="lessThan">
      <formula>0</formula>
    </cfRule>
  </conditionalFormatting>
  <conditionalFormatting sqref="AQ23">
    <cfRule type="cellIs" dxfId="3148" priority="457" operator="lessThan">
      <formula>0</formula>
    </cfRule>
  </conditionalFormatting>
  <conditionalFormatting sqref="AQ23">
    <cfRule type="cellIs" dxfId="3147" priority="456" operator="lessThan">
      <formula>0</formula>
    </cfRule>
  </conditionalFormatting>
  <conditionalFormatting sqref="AQ23">
    <cfRule type="cellIs" dxfId="3146" priority="455" operator="lessThan">
      <formula>0</formula>
    </cfRule>
  </conditionalFormatting>
  <conditionalFormatting sqref="AQ23">
    <cfRule type="cellIs" dxfId="3145" priority="454" operator="lessThan">
      <formula>0</formula>
    </cfRule>
  </conditionalFormatting>
  <conditionalFormatting sqref="AQ23">
    <cfRule type="cellIs" dxfId="3144" priority="453" operator="lessThan">
      <formula>0</formula>
    </cfRule>
  </conditionalFormatting>
  <conditionalFormatting sqref="AQ23">
    <cfRule type="cellIs" dxfId="3143" priority="452" operator="lessThan">
      <formula>0</formula>
    </cfRule>
  </conditionalFormatting>
  <conditionalFormatting sqref="AQ23">
    <cfRule type="cellIs" dxfId="3142" priority="451" operator="lessThan">
      <formula>0</formula>
    </cfRule>
  </conditionalFormatting>
  <conditionalFormatting sqref="AQ23">
    <cfRule type="cellIs" dxfId="3141" priority="450" operator="lessThan">
      <formula>0</formula>
    </cfRule>
  </conditionalFormatting>
  <conditionalFormatting sqref="AQ23">
    <cfRule type="cellIs" dxfId="3140" priority="449" operator="lessThan">
      <formula>0</formula>
    </cfRule>
  </conditionalFormatting>
  <conditionalFormatting sqref="AQ23">
    <cfRule type="cellIs" dxfId="3139" priority="448" operator="lessThan">
      <formula>0</formula>
    </cfRule>
  </conditionalFormatting>
  <conditionalFormatting sqref="AQ23">
    <cfRule type="cellIs" dxfId="3138" priority="447" operator="lessThan">
      <formula>0</formula>
    </cfRule>
  </conditionalFormatting>
  <conditionalFormatting sqref="AQ23">
    <cfRule type="cellIs" dxfId="3137" priority="446" operator="lessThan">
      <formula>0</formula>
    </cfRule>
  </conditionalFormatting>
  <conditionalFormatting sqref="AQ23">
    <cfRule type="cellIs" dxfId="3136" priority="445" operator="lessThan">
      <formula>0</formula>
    </cfRule>
  </conditionalFormatting>
  <conditionalFormatting sqref="AQ23">
    <cfRule type="cellIs" dxfId="3135" priority="444" operator="lessThan">
      <formula>0</formula>
    </cfRule>
  </conditionalFormatting>
  <conditionalFormatting sqref="AQ23">
    <cfRule type="cellIs" dxfId="3134" priority="443" operator="lessThan">
      <formula>0</formula>
    </cfRule>
  </conditionalFormatting>
  <conditionalFormatting sqref="AQ23">
    <cfRule type="cellIs" dxfId="3133" priority="442" operator="lessThan">
      <formula>0</formula>
    </cfRule>
  </conditionalFormatting>
  <conditionalFormatting sqref="AQ23">
    <cfRule type="cellIs" dxfId="3132" priority="441" operator="lessThan">
      <formula>0</formula>
    </cfRule>
  </conditionalFormatting>
  <conditionalFormatting sqref="AQ23">
    <cfRule type="cellIs" dxfId="3131" priority="440" operator="lessThan">
      <formula>0</formula>
    </cfRule>
  </conditionalFormatting>
  <conditionalFormatting sqref="AQ23">
    <cfRule type="cellIs" dxfId="3130" priority="439" operator="lessThan">
      <formula>0</formula>
    </cfRule>
  </conditionalFormatting>
  <conditionalFormatting sqref="AQ23">
    <cfRule type="cellIs" dxfId="3129" priority="438" operator="lessThan">
      <formula>0</formula>
    </cfRule>
  </conditionalFormatting>
  <conditionalFormatting sqref="AQ23">
    <cfRule type="cellIs" dxfId="3128" priority="437" operator="lessThan">
      <formula>0</formula>
    </cfRule>
  </conditionalFormatting>
  <conditionalFormatting sqref="AQ23">
    <cfRule type="cellIs" dxfId="3127" priority="436" operator="lessThan">
      <formula>0</formula>
    </cfRule>
  </conditionalFormatting>
  <conditionalFormatting sqref="AQ23">
    <cfRule type="cellIs" dxfId="3126" priority="435" operator="lessThan">
      <formula>0</formula>
    </cfRule>
  </conditionalFormatting>
  <conditionalFormatting sqref="AQ23">
    <cfRule type="cellIs" dxfId="3125" priority="434" operator="lessThan">
      <formula>0</formula>
    </cfRule>
  </conditionalFormatting>
  <conditionalFormatting sqref="AQ23">
    <cfRule type="cellIs" dxfId="3124" priority="433" operator="lessThan">
      <formula>0</formula>
    </cfRule>
  </conditionalFormatting>
  <conditionalFormatting sqref="AQ23">
    <cfRule type="cellIs" dxfId="3123" priority="432" operator="lessThan">
      <formula>0</formula>
    </cfRule>
  </conditionalFormatting>
  <conditionalFormatting sqref="AQ23">
    <cfRule type="cellIs" dxfId="3122" priority="431" operator="lessThan">
      <formula>0</formula>
    </cfRule>
  </conditionalFormatting>
  <conditionalFormatting sqref="AQ23">
    <cfRule type="cellIs" dxfId="3121" priority="430" operator="lessThan">
      <formula>0</formula>
    </cfRule>
  </conditionalFormatting>
  <conditionalFormatting sqref="AQ23">
    <cfRule type="cellIs" dxfId="3120" priority="429" operator="lessThan">
      <formula>0</formula>
    </cfRule>
  </conditionalFormatting>
  <conditionalFormatting sqref="AQ23">
    <cfRule type="cellIs" dxfId="3119" priority="428" operator="lessThan">
      <formula>0</formula>
    </cfRule>
  </conditionalFormatting>
  <conditionalFormatting sqref="AQ23">
    <cfRule type="cellIs" dxfId="3118" priority="427" operator="lessThan">
      <formula>0</formula>
    </cfRule>
  </conditionalFormatting>
  <conditionalFormatting sqref="AQ23">
    <cfRule type="cellIs" dxfId="3117" priority="426" operator="lessThan">
      <formula>0</formula>
    </cfRule>
  </conditionalFormatting>
  <conditionalFormatting sqref="AQ23">
    <cfRule type="cellIs" dxfId="3116" priority="425" operator="lessThan">
      <formula>0</formula>
    </cfRule>
  </conditionalFormatting>
  <conditionalFormatting sqref="AQ23">
    <cfRule type="cellIs" dxfId="3115" priority="424" operator="lessThan">
      <formula>0</formula>
    </cfRule>
  </conditionalFormatting>
  <conditionalFormatting sqref="AQ23">
    <cfRule type="cellIs" dxfId="3114" priority="423" operator="lessThan">
      <formula>0</formula>
    </cfRule>
  </conditionalFormatting>
  <conditionalFormatting sqref="AQ23">
    <cfRule type="cellIs" dxfId="3113" priority="422" operator="lessThan">
      <formula>0</formula>
    </cfRule>
  </conditionalFormatting>
  <conditionalFormatting sqref="AQ23">
    <cfRule type="cellIs" dxfId="3112" priority="421" operator="lessThan">
      <formula>0</formula>
    </cfRule>
  </conditionalFormatting>
  <conditionalFormatting sqref="AQ23">
    <cfRule type="cellIs" dxfId="3111" priority="420" operator="lessThan">
      <formula>0</formula>
    </cfRule>
  </conditionalFormatting>
  <conditionalFormatting sqref="AQ23">
    <cfRule type="cellIs" dxfId="3110" priority="419" operator="lessThan">
      <formula>0</formula>
    </cfRule>
  </conditionalFormatting>
  <conditionalFormatting sqref="AQ23">
    <cfRule type="cellIs" dxfId="3109" priority="418" operator="lessThan">
      <formula>0</formula>
    </cfRule>
  </conditionalFormatting>
  <conditionalFormatting sqref="AQ23">
    <cfRule type="cellIs" dxfId="3108" priority="417" operator="lessThan">
      <formula>0</formula>
    </cfRule>
  </conditionalFormatting>
  <conditionalFormatting sqref="AQ23">
    <cfRule type="cellIs" dxfId="3107" priority="416" operator="lessThan">
      <formula>0</formula>
    </cfRule>
  </conditionalFormatting>
  <conditionalFormatting sqref="AQ23">
    <cfRule type="cellIs" dxfId="3106" priority="415" operator="lessThan">
      <formula>0</formula>
    </cfRule>
  </conditionalFormatting>
  <conditionalFormatting sqref="AQ23">
    <cfRule type="cellIs" dxfId="3105" priority="414" operator="lessThan">
      <formula>0</formula>
    </cfRule>
  </conditionalFormatting>
  <conditionalFormatting sqref="AQ23">
    <cfRule type="cellIs" dxfId="3104" priority="413" operator="lessThan">
      <formula>0</formula>
    </cfRule>
  </conditionalFormatting>
  <conditionalFormatting sqref="AQ23">
    <cfRule type="cellIs" dxfId="3103" priority="412" operator="lessThan">
      <formula>0</formula>
    </cfRule>
  </conditionalFormatting>
  <conditionalFormatting sqref="AQ23">
    <cfRule type="cellIs" dxfId="3102" priority="411" operator="lessThan">
      <formula>0</formula>
    </cfRule>
  </conditionalFormatting>
  <conditionalFormatting sqref="AQ23">
    <cfRule type="cellIs" dxfId="3101" priority="410" operator="lessThan">
      <formula>0</formula>
    </cfRule>
  </conditionalFormatting>
  <conditionalFormatting sqref="AQ23">
    <cfRule type="cellIs" dxfId="3100" priority="409" operator="lessThan">
      <formula>0</formula>
    </cfRule>
  </conditionalFormatting>
  <conditionalFormatting sqref="AQ23">
    <cfRule type="cellIs" dxfId="3099" priority="408" operator="lessThan">
      <formula>0</formula>
    </cfRule>
  </conditionalFormatting>
  <conditionalFormatting sqref="AQ23">
    <cfRule type="cellIs" dxfId="3098" priority="407" operator="lessThan">
      <formula>0</formula>
    </cfRule>
  </conditionalFormatting>
  <conditionalFormatting sqref="AQ23">
    <cfRule type="cellIs" dxfId="3097" priority="406" operator="lessThan">
      <formula>0</formula>
    </cfRule>
  </conditionalFormatting>
  <conditionalFormatting sqref="AQ23">
    <cfRule type="cellIs" dxfId="3096" priority="405" operator="lessThan">
      <formula>0</formula>
    </cfRule>
  </conditionalFormatting>
  <conditionalFormatting sqref="AQ23">
    <cfRule type="cellIs" dxfId="3095" priority="404" operator="lessThan">
      <formula>0</formula>
    </cfRule>
  </conditionalFormatting>
  <conditionalFormatting sqref="AQ23">
    <cfRule type="cellIs" dxfId="3094" priority="403" operator="lessThan">
      <formula>0</formula>
    </cfRule>
  </conditionalFormatting>
  <conditionalFormatting sqref="AQ23">
    <cfRule type="cellIs" dxfId="3093" priority="402" operator="lessThan">
      <formula>0</formula>
    </cfRule>
  </conditionalFormatting>
  <conditionalFormatting sqref="AQ23">
    <cfRule type="cellIs" dxfId="3092" priority="386" operator="lessThan">
      <formula>0</formula>
    </cfRule>
  </conditionalFormatting>
  <conditionalFormatting sqref="AQ23">
    <cfRule type="cellIs" dxfId="3091" priority="401" operator="lessThan">
      <formula>0</formula>
    </cfRule>
  </conditionalFormatting>
  <conditionalFormatting sqref="AQ23">
    <cfRule type="cellIs" dxfId="3090" priority="400" operator="lessThan">
      <formula>0</formula>
    </cfRule>
  </conditionalFormatting>
  <conditionalFormatting sqref="AQ23">
    <cfRule type="cellIs" dxfId="3089" priority="399" operator="lessThan">
      <formula>0</formula>
    </cfRule>
  </conditionalFormatting>
  <conditionalFormatting sqref="AQ23">
    <cfRule type="cellIs" dxfId="3088" priority="398" operator="lessThan">
      <formula>0</formula>
    </cfRule>
  </conditionalFormatting>
  <conditionalFormatting sqref="AQ23">
    <cfRule type="cellIs" dxfId="3087" priority="397" operator="lessThan">
      <formula>0</formula>
    </cfRule>
  </conditionalFormatting>
  <conditionalFormatting sqref="AQ23">
    <cfRule type="cellIs" dxfId="3086" priority="396" operator="lessThan">
      <formula>0</formula>
    </cfRule>
  </conditionalFormatting>
  <conditionalFormatting sqref="AQ23">
    <cfRule type="cellIs" dxfId="3085" priority="395" operator="lessThan">
      <formula>0</formula>
    </cfRule>
  </conditionalFormatting>
  <conditionalFormatting sqref="AQ23">
    <cfRule type="cellIs" dxfId="3084" priority="394" operator="lessThan">
      <formula>0</formula>
    </cfRule>
  </conditionalFormatting>
  <conditionalFormatting sqref="AQ23">
    <cfRule type="cellIs" dxfId="3083" priority="393" operator="lessThan">
      <formula>0</formula>
    </cfRule>
  </conditionalFormatting>
  <conditionalFormatting sqref="AQ23">
    <cfRule type="cellIs" dxfId="3082" priority="392" operator="lessThan">
      <formula>0</formula>
    </cfRule>
  </conditionalFormatting>
  <conditionalFormatting sqref="AQ23">
    <cfRule type="cellIs" dxfId="3081" priority="391" operator="lessThan">
      <formula>0</formula>
    </cfRule>
  </conditionalFormatting>
  <conditionalFormatting sqref="AQ23">
    <cfRule type="cellIs" dxfId="3080" priority="390" operator="lessThan">
      <formula>0</formula>
    </cfRule>
  </conditionalFormatting>
  <conditionalFormatting sqref="AQ23">
    <cfRule type="cellIs" dxfId="3079" priority="389" operator="lessThan">
      <formula>0</formula>
    </cfRule>
  </conditionalFormatting>
  <conditionalFormatting sqref="AQ23">
    <cfRule type="cellIs" dxfId="3078" priority="388" operator="lessThan">
      <formula>0</formula>
    </cfRule>
  </conditionalFormatting>
  <conditionalFormatting sqref="AQ23">
    <cfRule type="cellIs" dxfId="3077" priority="387" operator="lessThan">
      <formula>0</formula>
    </cfRule>
  </conditionalFormatting>
  <conditionalFormatting sqref="AQ27">
    <cfRule type="cellIs" dxfId="3076" priority="385" operator="lessThan">
      <formula>0</formula>
    </cfRule>
  </conditionalFormatting>
  <conditionalFormatting sqref="AQ27">
    <cfRule type="cellIs" dxfId="3075" priority="384" operator="lessThan">
      <formula>0</formula>
    </cfRule>
  </conditionalFormatting>
  <conditionalFormatting sqref="AQ27">
    <cfRule type="cellIs" dxfId="3074" priority="383" operator="lessThan">
      <formula>0</formula>
    </cfRule>
  </conditionalFormatting>
  <conditionalFormatting sqref="AQ27">
    <cfRule type="cellIs" dxfId="3073" priority="382" operator="lessThan">
      <formula>0</formula>
    </cfRule>
  </conditionalFormatting>
  <conditionalFormatting sqref="AQ27">
    <cfRule type="cellIs" dxfId="3072" priority="381" operator="lessThan">
      <formula>0</formula>
    </cfRule>
  </conditionalFormatting>
  <conditionalFormatting sqref="AQ27">
    <cfRule type="cellIs" dxfId="3071" priority="380" operator="lessThan">
      <formula>0</formula>
    </cfRule>
  </conditionalFormatting>
  <conditionalFormatting sqref="AQ27">
    <cfRule type="cellIs" dxfId="3070" priority="379" operator="lessThan">
      <formula>0</formula>
    </cfRule>
  </conditionalFormatting>
  <conditionalFormatting sqref="AQ27">
    <cfRule type="cellIs" dxfId="3069" priority="378" operator="lessThan">
      <formula>0</formula>
    </cfRule>
  </conditionalFormatting>
  <conditionalFormatting sqref="AQ27">
    <cfRule type="cellIs" dxfId="3068" priority="377" operator="lessThan">
      <formula>0</formula>
    </cfRule>
  </conditionalFormatting>
  <conditionalFormatting sqref="AQ27">
    <cfRule type="cellIs" dxfId="3067" priority="376" operator="lessThan">
      <formula>0</formula>
    </cfRule>
  </conditionalFormatting>
  <conditionalFormatting sqref="AQ27">
    <cfRule type="cellIs" dxfId="3066" priority="375" operator="lessThan">
      <formula>0</formula>
    </cfRule>
  </conditionalFormatting>
  <conditionalFormatting sqref="AQ27">
    <cfRule type="cellIs" dxfId="3065" priority="374" operator="lessThan">
      <formula>0</formula>
    </cfRule>
  </conditionalFormatting>
  <conditionalFormatting sqref="AQ27">
    <cfRule type="cellIs" dxfId="3064" priority="373" operator="lessThan">
      <formula>0</formula>
    </cfRule>
  </conditionalFormatting>
  <conditionalFormatting sqref="AQ27">
    <cfRule type="cellIs" dxfId="3063" priority="372" operator="lessThan">
      <formula>0</formula>
    </cfRule>
  </conditionalFormatting>
  <conditionalFormatting sqref="AQ27">
    <cfRule type="cellIs" dxfId="3062" priority="371" operator="lessThan">
      <formula>0</formula>
    </cfRule>
  </conditionalFormatting>
  <conditionalFormatting sqref="AQ27">
    <cfRule type="cellIs" dxfId="3061" priority="370" operator="lessThan">
      <formula>0</formula>
    </cfRule>
  </conditionalFormatting>
  <conditionalFormatting sqref="AQ27">
    <cfRule type="cellIs" dxfId="3060" priority="369" operator="lessThan">
      <formula>0</formula>
    </cfRule>
  </conditionalFormatting>
  <conditionalFormatting sqref="AQ27">
    <cfRule type="cellIs" dxfId="3059" priority="368" operator="lessThan">
      <formula>0</formula>
    </cfRule>
  </conditionalFormatting>
  <conditionalFormatting sqref="AQ27">
    <cfRule type="cellIs" dxfId="3058" priority="367" operator="lessThan">
      <formula>0</formula>
    </cfRule>
  </conditionalFormatting>
  <conditionalFormatting sqref="AQ27">
    <cfRule type="cellIs" dxfId="3057" priority="366" operator="lessThan">
      <formula>0</formula>
    </cfRule>
  </conditionalFormatting>
  <conditionalFormatting sqref="AQ27">
    <cfRule type="cellIs" dxfId="3056" priority="365" operator="lessThan">
      <formula>0</formula>
    </cfRule>
  </conditionalFormatting>
  <conditionalFormatting sqref="AQ27">
    <cfRule type="cellIs" dxfId="3055" priority="364" operator="lessThan">
      <formula>0</formula>
    </cfRule>
  </conditionalFormatting>
  <conditionalFormatting sqref="AQ27">
    <cfRule type="cellIs" dxfId="3054" priority="363" operator="lessThan">
      <formula>0</formula>
    </cfRule>
  </conditionalFormatting>
  <conditionalFormatting sqref="AQ27">
    <cfRule type="cellIs" dxfId="3053" priority="362" operator="lessThan">
      <formula>0</formula>
    </cfRule>
  </conditionalFormatting>
  <conditionalFormatting sqref="AQ27">
    <cfRule type="cellIs" dxfId="3052" priority="361" operator="lessThan">
      <formula>0</formula>
    </cfRule>
  </conditionalFormatting>
  <conditionalFormatting sqref="AQ27">
    <cfRule type="cellIs" dxfId="3051" priority="360" operator="lessThan">
      <formula>0</formula>
    </cfRule>
  </conditionalFormatting>
  <conditionalFormatting sqref="AQ27">
    <cfRule type="cellIs" dxfId="3050" priority="359" operator="lessThan">
      <formula>0</formula>
    </cfRule>
  </conditionalFormatting>
  <conditionalFormatting sqref="AQ27">
    <cfRule type="cellIs" dxfId="3049" priority="358" operator="lessThan">
      <formula>0</formula>
    </cfRule>
  </conditionalFormatting>
  <conditionalFormatting sqref="AQ27">
    <cfRule type="cellIs" dxfId="3048" priority="357" operator="lessThan">
      <formula>0</formula>
    </cfRule>
  </conditionalFormatting>
  <conditionalFormatting sqref="AQ27">
    <cfRule type="cellIs" dxfId="3047" priority="356" operator="lessThan">
      <formula>0</formula>
    </cfRule>
  </conditionalFormatting>
  <conditionalFormatting sqref="AQ27">
    <cfRule type="cellIs" dxfId="3046" priority="355" operator="lessThan">
      <formula>0</formula>
    </cfRule>
  </conditionalFormatting>
  <conditionalFormatting sqref="AQ27">
    <cfRule type="cellIs" dxfId="3045" priority="354" operator="lessThan">
      <formula>0</formula>
    </cfRule>
  </conditionalFormatting>
  <conditionalFormatting sqref="AQ27">
    <cfRule type="cellIs" dxfId="3044" priority="353" operator="lessThan">
      <formula>0</formula>
    </cfRule>
  </conditionalFormatting>
  <conditionalFormatting sqref="AQ27">
    <cfRule type="cellIs" dxfId="3043" priority="352" operator="lessThan">
      <formula>0</formula>
    </cfRule>
  </conditionalFormatting>
  <conditionalFormatting sqref="AQ27">
    <cfRule type="cellIs" dxfId="3042" priority="351" operator="lessThan">
      <formula>0</formula>
    </cfRule>
  </conditionalFormatting>
  <conditionalFormatting sqref="AQ27">
    <cfRule type="cellIs" dxfId="3041" priority="350" operator="lessThan">
      <formula>0</formula>
    </cfRule>
  </conditionalFormatting>
  <conditionalFormatting sqref="AQ27">
    <cfRule type="cellIs" dxfId="3040" priority="349" operator="lessThan">
      <formula>0</formula>
    </cfRule>
  </conditionalFormatting>
  <conditionalFormatting sqref="AQ27">
    <cfRule type="cellIs" dxfId="3039" priority="348" operator="lessThan">
      <formula>0</formula>
    </cfRule>
  </conditionalFormatting>
  <conditionalFormatting sqref="AQ27">
    <cfRule type="cellIs" dxfId="3038" priority="347" operator="lessThan">
      <formula>0</formula>
    </cfRule>
  </conditionalFormatting>
  <conditionalFormatting sqref="AQ27">
    <cfRule type="cellIs" dxfId="3037" priority="346" operator="lessThan">
      <formula>0</formula>
    </cfRule>
  </conditionalFormatting>
  <conditionalFormatting sqref="AQ27">
    <cfRule type="cellIs" dxfId="3036" priority="345" operator="lessThan">
      <formula>0</formula>
    </cfRule>
  </conditionalFormatting>
  <conditionalFormatting sqref="AQ27">
    <cfRule type="cellIs" dxfId="3035" priority="344" operator="lessThan">
      <formula>0</formula>
    </cfRule>
  </conditionalFormatting>
  <conditionalFormatting sqref="AQ27">
    <cfRule type="cellIs" dxfId="3034" priority="343" operator="lessThan">
      <formula>0</formula>
    </cfRule>
  </conditionalFormatting>
  <conditionalFormatting sqref="AQ27">
    <cfRule type="cellIs" dxfId="3033" priority="342" operator="lessThan">
      <formula>0</formula>
    </cfRule>
  </conditionalFormatting>
  <conditionalFormatting sqref="AQ27">
    <cfRule type="cellIs" dxfId="3032" priority="341" operator="lessThan">
      <formula>0</formula>
    </cfRule>
  </conditionalFormatting>
  <conditionalFormatting sqref="AQ27">
    <cfRule type="cellIs" dxfId="3031" priority="340" operator="lessThan">
      <formula>0</formula>
    </cfRule>
  </conditionalFormatting>
  <conditionalFormatting sqref="AQ27">
    <cfRule type="cellIs" dxfId="3030" priority="339" operator="lessThan">
      <formula>0</formula>
    </cfRule>
  </conditionalFormatting>
  <conditionalFormatting sqref="AQ27">
    <cfRule type="cellIs" dxfId="3029" priority="338" operator="lessThan">
      <formula>0</formula>
    </cfRule>
  </conditionalFormatting>
  <conditionalFormatting sqref="AQ27">
    <cfRule type="cellIs" dxfId="3028" priority="337" operator="lessThan">
      <formula>0</formula>
    </cfRule>
  </conditionalFormatting>
  <conditionalFormatting sqref="AQ27">
    <cfRule type="cellIs" dxfId="3027" priority="336" operator="lessThan">
      <formula>0</formula>
    </cfRule>
  </conditionalFormatting>
  <conditionalFormatting sqref="AQ27">
    <cfRule type="cellIs" dxfId="3026" priority="335" operator="lessThan">
      <formula>0</formula>
    </cfRule>
  </conditionalFormatting>
  <conditionalFormatting sqref="AQ27">
    <cfRule type="cellIs" dxfId="3025" priority="334" operator="lessThan">
      <formula>0</formula>
    </cfRule>
  </conditionalFormatting>
  <conditionalFormatting sqref="AQ27">
    <cfRule type="cellIs" dxfId="3024" priority="333" operator="lessThan">
      <formula>0</formula>
    </cfRule>
  </conditionalFormatting>
  <conditionalFormatting sqref="AQ27">
    <cfRule type="cellIs" dxfId="3023" priority="332" operator="lessThan">
      <formula>0</formula>
    </cfRule>
  </conditionalFormatting>
  <conditionalFormatting sqref="AQ27">
    <cfRule type="cellIs" dxfId="3022" priority="331" operator="lessThan">
      <formula>0</formula>
    </cfRule>
  </conditionalFormatting>
  <conditionalFormatting sqref="AQ27">
    <cfRule type="cellIs" dxfId="3021" priority="330" operator="lessThan">
      <formula>0</formula>
    </cfRule>
  </conditionalFormatting>
  <conditionalFormatting sqref="AQ27">
    <cfRule type="cellIs" dxfId="3020" priority="329" operator="lessThan">
      <formula>0</formula>
    </cfRule>
  </conditionalFormatting>
  <conditionalFormatting sqref="AQ27">
    <cfRule type="cellIs" dxfId="3019" priority="328" operator="lessThan">
      <formula>0</formula>
    </cfRule>
  </conditionalFormatting>
  <conditionalFormatting sqref="AQ27">
    <cfRule type="cellIs" dxfId="3018" priority="327" operator="lessThan">
      <formula>0</formula>
    </cfRule>
  </conditionalFormatting>
  <conditionalFormatting sqref="AQ27">
    <cfRule type="cellIs" dxfId="3017" priority="326" operator="lessThan">
      <formula>0</formula>
    </cfRule>
  </conditionalFormatting>
  <conditionalFormatting sqref="AQ27">
    <cfRule type="cellIs" dxfId="3016" priority="325" operator="lessThan">
      <formula>0</formula>
    </cfRule>
  </conditionalFormatting>
  <conditionalFormatting sqref="AQ27">
    <cfRule type="cellIs" dxfId="3015" priority="324" operator="lessThan">
      <formula>0</formula>
    </cfRule>
  </conditionalFormatting>
  <conditionalFormatting sqref="AQ27">
    <cfRule type="cellIs" dxfId="3014" priority="323" operator="lessThan">
      <formula>0</formula>
    </cfRule>
  </conditionalFormatting>
  <conditionalFormatting sqref="AQ27">
    <cfRule type="cellIs" dxfId="3013" priority="322" operator="lessThan">
      <formula>0</formula>
    </cfRule>
  </conditionalFormatting>
  <conditionalFormatting sqref="AQ27">
    <cfRule type="cellIs" dxfId="3012" priority="321" operator="lessThan">
      <formula>0</formula>
    </cfRule>
  </conditionalFormatting>
  <conditionalFormatting sqref="AQ27">
    <cfRule type="cellIs" dxfId="3011" priority="320" operator="lessThan">
      <formula>0</formula>
    </cfRule>
  </conditionalFormatting>
  <conditionalFormatting sqref="AQ27">
    <cfRule type="cellIs" dxfId="3010" priority="319" operator="lessThan">
      <formula>0</formula>
    </cfRule>
  </conditionalFormatting>
  <conditionalFormatting sqref="AQ27">
    <cfRule type="cellIs" dxfId="3009" priority="318" operator="lessThan">
      <formula>0</formula>
    </cfRule>
  </conditionalFormatting>
  <conditionalFormatting sqref="AQ27">
    <cfRule type="cellIs" dxfId="3008" priority="317" operator="lessThan">
      <formula>0</formula>
    </cfRule>
  </conditionalFormatting>
  <conditionalFormatting sqref="AQ27">
    <cfRule type="cellIs" dxfId="3007" priority="316" operator="lessThan">
      <formula>0</formula>
    </cfRule>
  </conditionalFormatting>
  <conditionalFormatting sqref="AQ27">
    <cfRule type="cellIs" dxfId="3006" priority="315" operator="lessThan">
      <formula>0</formula>
    </cfRule>
  </conditionalFormatting>
  <conditionalFormatting sqref="AQ27">
    <cfRule type="cellIs" dxfId="3005" priority="314" operator="lessThan">
      <formula>0</formula>
    </cfRule>
  </conditionalFormatting>
  <conditionalFormatting sqref="AQ27">
    <cfRule type="cellIs" dxfId="3004" priority="313" operator="lessThan">
      <formula>0</formula>
    </cfRule>
  </conditionalFormatting>
  <conditionalFormatting sqref="AQ27">
    <cfRule type="cellIs" dxfId="3003" priority="312" operator="lessThan">
      <formula>0</formula>
    </cfRule>
  </conditionalFormatting>
  <conditionalFormatting sqref="AQ27">
    <cfRule type="cellIs" dxfId="3002" priority="311" operator="lessThan">
      <formula>0</formula>
    </cfRule>
  </conditionalFormatting>
  <conditionalFormatting sqref="AQ27">
    <cfRule type="cellIs" dxfId="3001" priority="310" operator="lessThan">
      <formula>0</formula>
    </cfRule>
  </conditionalFormatting>
  <conditionalFormatting sqref="AQ27">
    <cfRule type="cellIs" dxfId="3000" priority="309" operator="lessThan">
      <formula>0</formula>
    </cfRule>
  </conditionalFormatting>
  <conditionalFormatting sqref="AQ27">
    <cfRule type="cellIs" dxfId="2999" priority="308" operator="lessThan">
      <formula>0</formula>
    </cfRule>
  </conditionalFormatting>
  <conditionalFormatting sqref="AQ27">
    <cfRule type="cellIs" dxfId="2998" priority="307" operator="lessThan">
      <formula>0</formula>
    </cfRule>
  </conditionalFormatting>
  <conditionalFormatting sqref="AQ27">
    <cfRule type="cellIs" dxfId="2997" priority="306" operator="lessThan">
      <formula>0</formula>
    </cfRule>
  </conditionalFormatting>
  <conditionalFormatting sqref="AQ27">
    <cfRule type="cellIs" dxfId="2996" priority="290" operator="lessThan">
      <formula>0</formula>
    </cfRule>
  </conditionalFormatting>
  <conditionalFormatting sqref="AQ27">
    <cfRule type="cellIs" dxfId="2995" priority="305" operator="lessThan">
      <formula>0</formula>
    </cfRule>
  </conditionalFormatting>
  <conditionalFormatting sqref="AQ27">
    <cfRule type="cellIs" dxfId="2994" priority="304" operator="lessThan">
      <formula>0</formula>
    </cfRule>
  </conditionalFormatting>
  <conditionalFormatting sqref="AQ27">
    <cfRule type="cellIs" dxfId="2993" priority="303" operator="lessThan">
      <formula>0</formula>
    </cfRule>
  </conditionalFormatting>
  <conditionalFormatting sqref="AQ27">
    <cfRule type="cellIs" dxfId="2992" priority="302" operator="lessThan">
      <formula>0</formula>
    </cfRule>
  </conditionalFormatting>
  <conditionalFormatting sqref="AQ27">
    <cfRule type="cellIs" dxfId="2991" priority="301" operator="lessThan">
      <formula>0</formula>
    </cfRule>
  </conditionalFormatting>
  <conditionalFormatting sqref="AQ27">
    <cfRule type="cellIs" dxfId="2990" priority="300" operator="lessThan">
      <formula>0</formula>
    </cfRule>
  </conditionalFormatting>
  <conditionalFormatting sqref="AQ27">
    <cfRule type="cellIs" dxfId="2989" priority="299" operator="lessThan">
      <formula>0</formula>
    </cfRule>
  </conditionalFormatting>
  <conditionalFormatting sqref="AQ27">
    <cfRule type="cellIs" dxfId="2988" priority="298" operator="lessThan">
      <formula>0</formula>
    </cfRule>
  </conditionalFormatting>
  <conditionalFormatting sqref="AQ27">
    <cfRule type="cellIs" dxfId="2987" priority="297" operator="lessThan">
      <formula>0</formula>
    </cfRule>
  </conditionalFormatting>
  <conditionalFormatting sqref="AQ27">
    <cfRule type="cellIs" dxfId="2986" priority="296" operator="lessThan">
      <formula>0</formula>
    </cfRule>
  </conditionalFormatting>
  <conditionalFormatting sqref="AQ27">
    <cfRule type="cellIs" dxfId="2985" priority="295" operator="lessThan">
      <formula>0</formula>
    </cfRule>
  </conditionalFormatting>
  <conditionalFormatting sqref="AQ27">
    <cfRule type="cellIs" dxfId="2984" priority="294" operator="lessThan">
      <formula>0</formula>
    </cfRule>
  </conditionalFormatting>
  <conditionalFormatting sqref="AQ27">
    <cfRule type="cellIs" dxfId="2983" priority="293" operator="lessThan">
      <formula>0</formula>
    </cfRule>
  </conditionalFormatting>
  <conditionalFormatting sqref="AQ27">
    <cfRule type="cellIs" dxfId="2982" priority="292" operator="lessThan">
      <formula>0</formula>
    </cfRule>
  </conditionalFormatting>
  <conditionalFormatting sqref="AQ27">
    <cfRule type="cellIs" dxfId="2981" priority="291" operator="lessThan">
      <formula>0</formula>
    </cfRule>
  </conditionalFormatting>
  <conditionalFormatting sqref="AQ31">
    <cfRule type="cellIs" dxfId="2980" priority="289" operator="lessThan">
      <formula>0</formula>
    </cfRule>
  </conditionalFormatting>
  <conditionalFormatting sqref="AQ31">
    <cfRule type="cellIs" dxfId="2979" priority="288" operator="lessThan">
      <formula>0</formula>
    </cfRule>
  </conditionalFormatting>
  <conditionalFormatting sqref="AQ31">
    <cfRule type="cellIs" dxfId="2978" priority="287" operator="lessThan">
      <formula>0</formula>
    </cfRule>
  </conditionalFormatting>
  <conditionalFormatting sqref="AQ31">
    <cfRule type="cellIs" dxfId="2977" priority="286" operator="lessThan">
      <formula>0</formula>
    </cfRule>
  </conditionalFormatting>
  <conditionalFormatting sqref="AQ31">
    <cfRule type="cellIs" dxfId="2976" priority="285" operator="lessThan">
      <formula>0</formula>
    </cfRule>
  </conditionalFormatting>
  <conditionalFormatting sqref="AQ31">
    <cfRule type="cellIs" dxfId="2975" priority="284" operator="lessThan">
      <formula>0</formula>
    </cfRule>
  </conditionalFormatting>
  <conditionalFormatting sqref="AQ31">
    <cfRule type="cellIs" dxfId="2974" priority="283" operator="lessThan">
      <formula>0</formula>
    </cfRule>
  </conditionalFormatting>
  <conditionalFormatting sqref="AQ31">
    <cfRule type="cellIs" dxfId="2973" priority="282" operator="lessThan">
      <formula>0</formula>
    </cfRule>
  </conditionalFormatting>
  <conditionalFormatting sqref="AQ31">
    <cfRule type="cellIs" dxfId="2972" priority="281" operator="lessThan">
      <formula>0</formula>
    </cfRule>
  </conditionalFormatting>
  <conditionalFormatting sqref="AQ31">
    <cfRule type="cellIs" dxfId="2971" priority="280" operator="lessThan">
      <formula>0</formula>
    </cfRule>
  </conditionalFormatting>
  <conditionalFormatting sqref="AQ31">
    <cfRule type="cellIs" dxfId="2970" priority="279" operator="lessThan">
      <formula>0</formula>
    </cfRule>
  </conditionalFormatting>
  <conditionalFormatting sqref="AQ31">
    <cfRule type="cellIs" dxfId="2969" priority="278" operator="lessThan">
      <formula>0</formula>
    </cfRule>
  </conditionalFormatting>
  <conditionalFormatting sqref="AQ31">
    <cfRule type="cellIs" dxfId="2968" priority="277" operator="lessThan">
      <formula>0</formula>
    </cfRule>
  </conditionalFormatting>
  <conditionalFormatting sqref="AQ31">
    <cfRule type="cellIs" dxfId="2967" priority="276" operator="lessThan">
      <formula>0</formula>
    </cfRule>
  </conditionalFormatting>
  <conditionalFormatting sqref="AQ31">
    <cfRule type="cellIs" dxfId="2966" priority="275" operator="lessThan">
      <formula>0</formula>
    </cfRule>
  </conditionalFormatting>
  <conditionalFormatting sqref="AQ31">
    <cfRule type="cellIs" dxfId="2965" priority="274" operator="lessThan">
      <formula>0</formula>
    </cfRule>
  </conditionalFormatting>
  <conditionalFormatting sqref="AQ31">
    <cfRule type="cellIs" dxfId="2964" priority="273" operator="lessThan">
      <formula>0</formula>
    </cfRule>
  </conditionalFormatting>
  <conditionalFormatting sqref="AQ31">
    <cfRule type="cellIs" dxfId="2963" priority="272" operator="lessThan">
      <formula>0</formula>
    </cfRule>
  </conditionalFormatting>
  <conditionalFormatting sqref="AQ31">
    <cfRule type="cellIs" dxfId="2962" priority="271" operator="lessThan">
      <formula>0</formula>
    </cfRule>
  </conditionalFormatting>
  <conditionalFormatting sqref="AQ31">
    <cfRule type="cellIs" dxfId="2961" priority="270" operator="lessThan">
      <formula>0</formula>
    </cfRule>
  </conditionalFormatting>
  <conditionalFormatting sqref="AQ31">
    <cfRule type="cellIs" dxfId="2960" priority="269" operator="lessThan">
      <formula>0</formula>
    </cfRule>
  </conditionalFormatting>
  <conditionalFormatting sqref="AQ31">
    <cfRule type="cellIs" dxfId="2959" priority="268" operator="lessThan">
      <formula>0</formula>
    </cfRule>
  </conditionalFormatting>
  <conditionalFormatting sqref="AQ31">
    <cfRule type="cellIs" dxfId="2958" priority="267" operator="lessThan">
      <formula>0</formula>
    </cfRule>
  </conditionalFormatting>
  <conditionalFormatting sqref="AQ31">
    <cfRule type="cellIs" dxfId="2957" priority="266" operator="lessThan">
      <formula>0</formula>
    </cfRule>
  </conditionalFormatting>
  <conditionalFormatting sqref="AQ31">
    <cfRule type="cellIs" dxfId="2956" priority="265" operator="lessThan">
      <formula>0</formula>
    </cfRule>
  </conditionalFormatting>
  <conditionalFormatting sqref="AQ31">
    <cfRule type="cellIs" dxfId="2955" priority="264" operator="lessThan">
      <formula>0</formula>
    </cfRule>
  </conditionalFormatting>
  <conditionalFormatting sqref="AQ31">
    <cfRule type="cellIs" dxfId="2954" priority="263" operator="lessThan">
      <formula>0</formula>
    </cfRule>
  </conditionalFormatting>
  <conditionalFormatting sqref="AQ31">
    <cfRule type="cellIs" dxfId="2953" priority="262" operator="lessThan">
      <formula>0</formula>
    </cfRule>
  </conditionalFormatting>
  <conditionalFormatting sqref="AQ31">
    <cfRule type="cellIs" dxfId="2952" priority="261" operator="lessThan">
      <formula>0</formula>
    </cfRule>
  </conditionalFormatting>
  <conditionalFormatting sqref="AQ31">
    <cfRule type="cellIs" dxfId="2951" priority="260" operator="lessThan">
      <formula>0</formula>
    </cfRule>
  </conditionalFormatting>
  <conditionalFormatting sqref="AQ31">
    <cfRule type="cellIs" dxfId="2950" priority="259" operator="lessThan">
      <formula>0</formula>
    </cfRule>
  </conditionalFormatting>
  <conditionalFormatting sqref="AQ31">
    <cfRule type="cellIs" dxfId="2949" priority="258" operator="lessThan">
      <formula>0</formula>
    </cfRule>
  </conditionalFormatting>
  <conditionalFormatting sqref="AQ31">
    <cfRule type="cellIs" dxfId="2948" priority="257" operator="lessThan">
      <formula>0</formula>
    </cfRule>
  </conditionalFormatting>
  <conditionalFormatting sqref="AQ31">
    <cfRule type="cellIs" dxfId="2947" priority="256" operator="lessThan">
      <formula>0</formula>
    </cfRule>
  </conditionalFormatting>
  <conditionalFormatting sqref="AQ31">
    <cfRule type="cellIs" dxfId="2946" priority="255" operator="lessThan">
      <formula>0</formula>
    </cfRule>
  </conditionalFormatting>
  <conditionalFormatting sqref="AQ31">
    <cfRule type="cellIs" dxfId="2945" priority="254" operator="lessThan">
      <formula>0</formula>
    </cfRule>
  </conditionalFormatting>
  <conditionalFormatting sqref="AQ31">
    <cfRule type="cellIs" dxfId="2944" priority="253" operator="lessThan">
      <formula>0</formula>
    </cfRule>
  </conditionalFormatting>
  <conditionalFormatting sqref="AQ31">
    <cfRule type="cellIs" dxfId="2943" priority="252" operator="lessThan">
      <formula>0</formula>
    </cfRule>
  </conditionalFormatting>
  <conditionalFormatting sqref="AQ31">
    <cfRule type="cellIs" dxfId="2942" priority="251" operator="lessThan">
      <formula>0</formula>
    </cfRule>
  </conditionalFormatting>
  <conditionalFormatting sqref="AQ31">
    <cfRule type="cellIs" dxfId="2941" priority="250" operator="lessThan">
      <formula>0</formula>
    </cfRule>
  </conditionalFormatting>
  <conditionalFormatting sqref="AQ31">
    <cfRule type="cellIs" dxfId="2940" priority="249" operator="lessThan">
      <formula>0</formula>
    </cfRule>
  </conditionalFormatting>
  <conditionalFormatting sqref="AQ31">
    <cfRule type="cellIs" dxfId="2939" priority="248" operator="lessThan">
      <formula>0</formula>
    </cfRule>
  </conditionalFormatting>
  <conditionalFormatting sqref="AQ31">
    <cfRule type="cellIs" dxfId="2938" priority="247" operator="lessThan">
      <formula>0</formula>
    </cfRule>
  </conditionalFormatting>
  <conditionalFormatting sqref="AQ31">
    <cfRule type="cellIs" dxfId="2937" priority="246" operator="lessThan">
      <formula>0</formula>
    </cfRule>
  </conditionalFormatting>
  <conditionalFormatting sqref="AQ31">
    <cfRule type="cellIs" dxfId="2936" priority="245" operator="lessThan">
      <formula>0</formula>
    </cfRule>
  </conditionalFormatting>
  <conditionalFormatting sqref="AQ31">
    <cfRule type="cellIs" dxfId="2935" priority="244" operator="lessThan">
      <formula>0</formula>
    </cfRule>
  </conditionalFormatting>
  <conditionalFormatting sqref="AQ31">
    <cfRule type="cellIs" dxfId="2934" priority="243" operator="lessThan">
      <formula>0</formula>
    </cfRule>
  </conditionalFormatting>
  <conditionalFormatting sqref="AQ31">
    <cfRule type="cellIs" dxfId="2933" priority="242" operator="lessThan">
      <formula>0</formula>
    </cfRule>
  </conditionalFormatting>
  <conditionalFormatting sqref="AQ31">
    <cfRule type="cellIs" dxfId="2932" priority="241" operator="lessThan">
      <formula>0</formula>
    </cfRule>
  </conditionalFormatting>
  <conditionalFormatting sqref="AQ31">
    <cfRule type="cellIs" dxfId="2931" priority="240" operator="lessThan">
      <formula>0</formula>
    </cfRule>
  </conditionalFormatting>
  <conditionalFormatting sqref="AQ31">
    <cfRule type="cellIs" dxfId="2930" priority="239" operator="lessThan">
      <formula>0</formula>
    </cfRule>
  </conditionalFormatting>
  <conditionalFormatting sqref="AQ31">
    <cfRule type="cellIs" dxfId="2929" priority="238" operator="lessThan">
      <formula>0</formula>
    </cfRule>
  </conditionalFormatting>
  <conditionalFormatting sqref="AQ31">
    <cfRule type="cellIs" dxfId="2928" priority="237" operator="lessThan">
      <formula>0</formula>
    </cfRule>
  </conditionalFormatting>
  <conditionalFormatting sqref="AQ31">
    <cfRule type="cellIs" dxfId="2927" priority="236" operator="lessThan">
      <formula>0</formula>
    </cfRule>
  </conditionalFormatting>
  <conditionalFormatting sqref="AQ31">
    <cfRule type="cellIs" dxfId="2926" priority="235" operator="lessThan">
      <formula>0</formula>
    </cfRule>
  </conditionalFormatting>
  <conditionalFormatting sqref="AQ31">
    <cfRule type="cellIs" dxfId="2925" priority="234" operator="lessThan">
      <formula>0</formula>
    </cfRule>
  </conditionalFormatting>
  <conditionalFormatting sqref="AQ31">
    <cfRule type="cellIs" dxfId="2924" priority="233" operator="lessThan">
      <formula>0</formula>
    </cfRule>
  </conditionalFormatting>
  <conditionalFormatting sqref="AQ31">
    <cfRule type="cellIs" dxfId="2923" priority="232" operator="lessThan">
      <formula>0</formula>
    </cfRule>
  </conditionalFormatting>
  <conditionalFormatting sqref="AQ31">
    <cfRule type="cellIs" dxfId="2922" priority="231" operator="lessThan">
      <formula>0</formula>
    </cfRule>
  </conditionalFormatting>
  <conditionalFormatting sqref="AQ31">
    <cfRule type="cellIs" dxfId="2921" priority="230" operator="lessThan">
      <formula>0</formula>
    </cfRule>
  </conditionalFormatting>
  <conditionalFormatting sqref="AQ31">
    <cfRule type="cellIs" dxfId="2920" priority="229" operator="lessThan">
      <formula>0</formula>
    </cfRule>
  </conditionalFormatting>
  <conditionalFormatting sqref="AQ31">
    <cfRule type="cellIs" dxfId="2919" priority="228" operator="lessThan">
      <formula>0</formula>
    </cfRule>
  </conditionalFormatting>
  <conditionalFormatting sqref="AQ31">
    <cfRule type="cellIs" dxfId="2918" priority="227" operator="lessThan">
      <formula>0</formula>
    </cfRule>
  </conditionalFormatting>
  <conditionalFormatting sqref="AQ31">
    <cfRule type="cellIs" dxfId="2917" priority="226" operator="lessThan">
      <formula>0</formula>
    </cfRule>
  </conditionalFormatting>
  <conditionalFormatting sqref="AQ31">
    <cfRule type="cellIs" dxfId="2916" priority="225" operator="lessThan">
      <formula>0</formula>
    </cfRule>
  </conditionalFormatting>
  <conditionalFormatting sqref="AQ31">
    <cfRule type="cellIs" dxfId="2915" priority="224" operator="lessThan">
      <formula>0</formula>
    </cfRule>
  </conditionalFormatting>
  <conditionalFormatting sqref="AQ31">
    <cfRule type="cellIs" dxfId="2914" priority="223" operator="lessThan">
      <formula>0</formula>
    </cfRule>
  </conditionalFormatting>
  <conditionalFormatting sqref="AQ31">
    <cfRule type="cellIs" dxfId="2913" priority="222" operator="lessThan">
      <formula>0</formula>
    </cfRule>
  </conditionalFormatting>
  <conditionalFormatting sqref="AQ31">
    <cfRule type="cellIs" dxfId="2912" priority="221" operator="lessThan">
      <formula>0</formula>
    </cfRule>
  </conditionalFormatting>
  <conditionalFormatting sqref="AQ31">
    <cfRule type="cellIs" dxfId="2911" priority="220" operator="lessThan">
      <formula>0</formula>
    </cfRule>
  </conditionalFormatting>
  <conditionalFormatting sqref="AQ31">
    <cfRule type="cellIs" dxfId="2910" priority="219" operator="lessThan">
      <formula>0</formula>
    </cfRule>
  </conditionalFormatting>
  <conditionalFormatting sqref="AQ31">
    <cfRule type="cellIs" dxfId="2909" priority="218" operator="lessThan">
      <formula>0</formula>
    </cfRule>
  </conditionalFormatting>
  <conditionalFormatting sqref="AQ31">
    <cfRule type="cellIs" dxfId="2908" priority="217" operator="lessThan">
      <formula>0</formula>
    </cfRule>
  </conditionalFormatting>
  <conditionalFormatting sqref="AQ31">
    <cfRule type="cellIs" dxfId="2907" priority="216" operator="lessThan">
      <formula>0</formula>
    </cfRule>
  </conditionalFormatting>
  <conditionalFormatting sqref="AQ31">
    <cfRule type="cellIs" dxfId="2906" priority="215" operator="lessThan">
      <formula>0</formula>
    </cfRule>
  </conditionalFormatting>
  <conditionalFormatting sqref="AQ31">
    <cfRule type="cellIs" dxfId="2905" priority="214" operator="lessThan">
      <formula>0</formula>
    </cfRule>
  </conditionalFormatting>
  <conditionalFormatting sqref="AQ31">
    <cfRule type="cellIs" dxfId="2904" priority="213" operator="lessThan">
      <formula>0</formula>
    </cfRule>
  </conditionalFormatting>
  <conditionalFormatting sqref="AQ31">
    <cfRule type="cellIs" dxfId="2903" priority="212" operator="lessThan">
      <formula>0</formula>
    </cfRule>
  </conditionalFormatting>
  <conditionalFormatting sqref="AQ31">
    <cfRule type="cellIs" dxfId="2902" priority="211" operator="lessThan">
      <formula>0</formula>
    </cfRule>
  </conditionalFormatting>
  <conditionalFormatting sqref="AQ31">
    <cfRule type="cellIs" dxfId="2901" priority="210" operator="lessThan">
      <formula>0</formula>
    </cfRule>
  </conditionalFormatting>
  <conditionalFormatting sqref="AQ31">
    <cfRule type="cellIs" dxfId="2900" priority="194" operator="lessThan">
      <formula>0</formula>
    </cfRule>
  </conditionalFormatting>
  <conditionalFormatting sqref="AQ31">
    <cfRule type="cellIs" dxfId="2899" priority="209" operator="lessThan">
      <formula>0</formula>
    </cfRule>
  </conditionalFormatting>
  <conditionalFormatting sqref="AQ31">
    <cfRule type="cellIs" dxfId="2898" priority="208" operator="lessThan">
      <formula>0</formula>
    </cfRule>
  </conditionalFormatting>
  <conditionalFormatting sqref="AQ31">
    <cfRule type="cellIs" dxfId="2897" priority="207" operator="lessThan">
      <formula>0</formula>
    </cfRule>
  </conditionalFormatting>
  <conditionalFormatting sqref="AQ31">
    <cfRule type="cellIs" dxfId="2896" priority="206" operator="lessThan">
      <formula>0</formula>
    </cfRule>
  </conditionalFormatting>
  <conditionalFormatting sqref="AQ31">
    <cfRule type="cellIs" dxfId="2895" priority="205" operator="lessThan">
      <formula>0</formula>
    </cfRule>
  </conditionalFormatting>
  <conditionalFormatting sqref="AQ31">
    <cfRule type="cellIs" dxfId="2894" priority="204" operator="lessThan">
      <formula>0</formula>
    </cfRule>
  </conditionalFormatting>
  <conditionalFormatting sqref="AQ31">
    <cfRule type="cellIs" dxfId="2893" priority="203" operator="lessThan">
      <formula>0</formula>
    </cfRule>
  </conditionalFormatting>
  <conditionalFormatting sqref="AQ31">
    <cfRule type="cellIs" dxfId="2892" priority="202" operator="lessThan">
      <formula>0</formula>
    </cfRule>
  </conditionalFormatting>
  <conditionalFormatting sqref="AQ31">
    <cfRule type="cellIs" dxfId="2891" priority="201" operator="lessThan">
      <formula>0</formula>
    </cfRule>
  </conditionalFormatting>
  <conditionalFormatting sqref="AQ31">
    <cfRule type="cellIs" dxfId="2890" priority="200" operator="lessThan">
      <formula>0</formula>
    </cfRule>
  </conditionalFormatting>
  <conditionalFormatting sqref="AQ31">
    <cfRule type="cellIs" dxfId="2889" priority="199" operator="lessThan">
      <formula>0</formula>
    </cfRule>
  </conditionalFormatting>
  <conditionalFormatting sqref="AQ31">
    <cfRule type="cellIs" dxfId="2888" priority="198" operator="lessThan">
      <formula>0</formula>
    </cfRule>
  </conditionalFormatting>
  <conditionalFormatting sqref="AQ31">
    <cfRule type="cellIs" dxfId="2887" priority="197" operator="lessThan">
      <formula>0</formula>
    </cfRule>
  </conditionalFormatting>
  <conditionalFormatting sqref="AQ31">
    <cfRule type="cellIs" dxfId="2886" priority="196" operator="lessThan">
      <formula>0</formula>
    </cfRule>
  </conditionalFormatting>
  <conditionalFormatting sqref="AQ31">
    <cfRule type="cellIs" dxfId="2885" priority="195" operator="lessThan">
      <formula>0</formula>
    </cfRule>
  </conditionalFormatting>
  <conditionalFormatting sqref="AQ55">
    <cfRule type="cellIs" dxfId="2884" priority="193" operator="lessThan">
      <formula>0</formula>
    </cfRule>
  </conditionalFormatting>
  <conditionalFormatting sqref="AQ55">
    <cfRule type="cellIs" dxfId="2883" priority="192" operator="lessThan">
      <formula>0</formula>
    </cfRule>
  </conditionalFormatting>
  <conditionalFormatting sqref="AQ55">
    <cfRule type="cellIs" dxfId="2882" priority="191" operator="lessThan">
      <formula>0</formula>
    </cfRule>
  </conditionalFormatting>
  <conditionalFormatting sqref="AQ55">
    <cfRule type="cellIs" dxfId="2881" priority="190" operator="lessThan">
      <formula>0</formula>
    </cfRule>
  </conditionalFormatting>
  <conditionalFormatting sqref="AQ55">
    <cfRule type="cellIs" dxfId="2880" priority="189" operator="lessThan">
      <formula>0</formula>
    </cfRule>
  </conditionalFormatting>
  <conditionalFormatting sqref="AQ55">
    <cfRule type="cellIs" dxfId="2879" priority="188" operator="lessThan">
      <formula>0</formula>
    </cfRule>
  </conditionalFormatting>
  <conditionalFormatting sqref="AQ55">
    <cfRule type="cellIs" dxfId="2878" priority="187" operator="lessThan">
      <formula>0</formula>
    </cfRule>
  </conditionalFormatting>
  <conditionalFormatting sqref="AQ55">
    <cfRule type="cellIs" dxfId="2877" priority="186" operator="lessThan">
      <formula>0</formula>
    </cfRule>
  </conditionalFormatting>
  <conditionalFormatting sqref="AQ55">
    <cfRule type="cellIs" dxfId="2876" priority="185" operator="lessThan">
      <formula>0</formula>
    </cfRule>
  </conditionalFormatting>
  <conditionalFormatting sqref="AQ55">
    <cfRule type="cellIs" dxfId="2875" priority="184" operator="lessThan">
      <formula>0</formula>
    </cfRule>
  </conditionalFormatting>
  <conditionalFormatting sqref="AQ55">
    <cfRule type="cellIs" dxfId="2874" priority="183" operator="lessThan">
      <formula>0</formula>
    </cfRule>
  </conditionalFormatting>
  <conditionalFormatting sqref="AQ55">
    <cfRule type="cellIs" dxfId="2873" priority="182" operator="lessThan">
      <formula>0</formula>
    </cfRule>
  </conditionalFormatting>
  <conditionalFormatting sqref="AQ55">
    <cfRule type="cellIs" dxfId="2872" priority="181" operator="lessThan">
      <formula>0</formula>
    </cfRule>
  </conditionalFormatting>
  <conditionalFormatting sqref="AQ55">
    <cfRule type="cellIs" dxfId="2871" priority="180" operator="lessThan">
      <formula>0</formula>
    </cfRule>
  </conditionalFormatting>
  <conditionalFormatting sqref="AQ55">
    <cfRule type="cellIs" dxfId="2870" priority="179" operator="lessThan">
      <formula>0</formula>
    </cfRule>
  </conditionalFormatting>
  <conditionalFormatting sqref="AQ55">
    <cfRule type="cellIs" dxfId="2869" priority="178" operator="lessThan">
      <formula>0</formula>
    </cfRule>
  </conditionalFormatting>
  <conditionalFormatting sqref="AQ55">
    <cfRule type="cellIs" dxfId="2868" priority="177" operator="lessThan">
      <formula>0</formula>
    </cfRule>
  </conditionalFormatting>
  <conditionalFormatting sqref="AQ55">
    <cfRule type="cellIs" dxfId="2867" priority="176" operator="lessThan">
      <formula>0</formula>
    </cfRule>
  </conditionalFormatting>
  <conditionalFormatting sqref="AQ55">
    <cfRule type="cellIs" dxfId="2866" priority="175" operator="lessThan">
      <formula>0</formula>
    </cfRule>
  </conditionalFormatting>
  <conditionalFormatting sqref="AQ55">
    <cfRule type="cellIs" dxfId="2865" priority="174" operator="lessThan">
      <formula>0</formula>
    </cfRule>
  </conditionalFormatting>
  <conditionalFormatting sqref="AQ55">
    <cfRule type="cellIs" dxfId="2864" priority="173" operator="lessThan">
      <formula>0</formula>
    </cfRule>
  </conditionalFormatting>
  <conditionalFormatting sqref="AQ55">
    <cfRule type="cellIs" dxfId="2863" priority="172" operator="lessThan">
      <formula>0</formula>
    </cfRule>
  </conditionalFormatting>
  <conditionalFormatting sqref="AQ55">
    <cfRule type="cellIs" dxfId="2862" priority="171" operator="lessThan">
      <formula>0</formula>
    </cfRule>
  </conditionalFormatting>
  <conditionalFormatting sqref="AQ55">
    <cfRule type="cellIs" dxfId="2861" priority="170" operator="lessThan">
      <formula>0</formula>
    </cfRule>
  </conditionalFormatting>
  <conditionalFormatting sqref="AQ55">
    <cfRule type="cellIs" dxfId="2860" priority="169" operator="lessThan">
      <formula>0</formula>
    </cfRule>
  </conditionalFormatting>
  <conditionalFormatting sqref="AQ55">
    <cfRule type="cellIs" dxfId="2859" priority="168" operator="lessThan">
      <formula>0</formula>
    </cfRule>
  </conditionalFormatting>
  <conditionalFormatting sqref="AQ55">
    <cfRule type="cellIs" dxfId="2858" priority="167" operator="lessThan">
      <formula>0</formula>
    </cfRule>
  </conditionalFormatting>
  <conditionalFormatting sqref="AQ55">
    <cfRule type="cellIs" dxfId="2857" priority="166" operator="lessThan">
      <formula>0</formula>
    </cfRule>
  </conditionalFormatting>
  <conditionalFormatting sqref="AQ55">
    <cfRule type="cellIs" dxfId="2856" priority="165" operator="lessThan">
      <formula>0</formula>
    </cfRule>
  </conditionalFormatting>
  <conditionalFormatting sqref="AQ55">
    <cfRule type="cellIs" dxfId="2855" priority="164" operator="lessThan">
      <formula>0</formula>
    </cfRule>
  </conditionalFormatting>
  <conditionalFormatting sqref="AQ55">
    <cfRule type="cellIs" dxfId="2854" priority="163" operator="lessThan">
      <formula>0</formula>
    </cfRule>
  </conditionalFormatting>
  <conditionalFormatting sqref="AQ55">
    <cfRule type="cellIs" dxfId="2853" priority="162" operator="lessThan">
      <formula>0</formula>
    </cfRule>
  </conditionalFormatting>
  <conditionalFormatting sqref="AQ55">
    <cfRule type="cellIs" dxfId="2852" priority="161" operator="lessThan">
      <formula>0</formula>
    </cfRule>
  </conditionalFormatting>
  <conditionalFormatting sqref="AQ55">
    <cfRule type="cellIs" dxfId="2851" priority="160" operator="lessThan">
      <formula>0</formula>
    </cfRule>
  </conditionalFormatting>
  <conditionalFormatting sqref="AQ55">
    <cfRule type="cellIs" dxfId="2850" priority="159" operator="lessThan">
      <formula>0</formula>
    </cfRule>
  </conditionalFormatting>
  <conditionalFormatting sqref="AQ55">
    <cfRule type="cellIs" dxfId="2849" priority="158" operator="lessThan">
      <formula>0</formula>
    </cfRule>
  </conditionalFormatting>
  <conditionalFormatting sqref="AQ55">
    <cfRule type="cellIs" dxfId="2848" priority="157" operator="lessThan">
      <formula>0</formula>
    </cfRule>
  </conditionalFormatting>
  <conditionalFormatting sqref="AQ55">
    <cfRule type="cellIs" dxfId="2847" priority="156" operator="lessThan">
      <formula>0</formula>
    </cfRule>
  </conditionalFormatting>
  <conditionalFormatting sqref="AQ55">
    <cfRule type="cellIs" dxfId="2846" priority="155" operator="lessThan">
      <formula>0</formula>
    </cfRule>
  </conditionalFormatting>
  <conditionalFormatting sqref="AQ55">
    <cfRule type="cellIs" dxfId="2845" priority="154" operator="lessThan">
      <formula>0</formula>
    </cfRule>
  </conditionalFormatting>
  <conditionalFormatting sqref="AQ55">
    <cfRule type="cellIs" dxfId="2844" priority="153" operator="lessThan">
      <formula>0</formula>
    </cfRule>
  </conditionalFormatting>
  <conditionalFormatting sqref="AQ55">
    <cfRule type="cellIs" dxfId="2843" priority="152" operator="lessThan">
      <formula>0</formula>
    </cfRule>
  </conditionalFormatting>
  <conditionalFormatting sqref="AQ55">
    <cfRule type="cellIs" dxfId="2842" priority="151" operator="lessThan">
      <formula>0</formula>
    </cfRule>
  </conditionalFormatting>
  <conditionalFormatting sqref="AQ55">
    <cfRule type="cellIs" dxfId="2841" priority="150" operator="lessThan">
      <formula>0</formula>
    </cfRule>
  </conditionalFormatting>
  <conditionalFormatting sqref="AQ55">
    <cfRule type="cellIs" dxfId="2840" priority="149" operator="lessThan">
      <formula>0</formula>
    </cfRule>
  </conditionalFormatting>
  <conditionalFormatting sqref="AQ55">
    <cfRule type="cellIs" dxfId="2839" priority="148" operator="lessThan">
      <formula>0</formula>
    </cfRule>
  </conditionalFormatting>
  <conditionalFormatting sqref="AQ55">
    <cfRule type="cellIs" dxfId="2838" priority="147" operator="lessThan">
      <formula>0</formula>
    </cfRule>
  </conditionalFormatting>
  <conditionalFormatting sqref="AQ55">
    <cfRule type="cellIs" dxfId="2837" priority="146" operator="lessThan">
      <formula>0</formula>
    </cfRule>
  </conditionalFormatting>
  <conditionalFormatting sqref="AQ55">
    <cfRule type="cellIs" dxfId="2836" priority="145" operator="lessThan">
      <formula>0</formula>
    </cfRule>
  </conditionalFormatting>
  <conditionalFormatting sqref="AQ55">
    <cfRule type="cellIs" dxfId="2835" priority="144" operator="lessThan">
      <formula>0</formula>
    </cfRule>
  </conditionalFormatting>
  <conditionalFormatting sqref="AQ55">
    <cfRule type="cellIs" dxfId="2834" priority="143" operator="lessThan">
      <formula>0</formula>
    </cfRule>
  </conditionalFormatting>
  <conditionalFormatting sqref="AQ55">
    <cfRule type="cellIs" dxfId="2833" priority="142" operator="lessThan">
      <formula>0</formula>
    </cfRule>
  </conditionalFormatting>
  <conditionalFormatting sqref="AQ55">
    <cfRule type="cellIs" dxfId="2832" priority="141" operator="lessThan">
      <formula>0</formula>
    </cfRule>
  </conditionalFormatting>
  <conditionalFormatting sqref="AQ55">
    <cfRule type="cellIs" dxfId="2831" priority="140" operator="lessThan">
      <formula>0</formula>
    </cfRule>
  </conditionalFormatting>
  <conditionalFormatting sqref="AQ55">
    <cfRule type="cellIs" dxfId="2830" priority="139" operator="lessThan">
      <formula>0</formula>
    </cfRule>
  </conditionalFormatting>
  <conditionalFormatting sqref="AQ55">
    <cfRule type="cellIs" dxfId="2829" priority="138" operator="lessThan">
      <formula>0</formula>
    </cfRule>
  </conditionalFormatting>
  <conditionalFormatting sqref="AQ55">
    <cfRule type="cellIs" dxfId="2828" priority="137" operator="lessThan">
      <formula>0</formula>
    </cfRule>
  </conditionalFormatting>
  <conditionalFormatting sqref="AQ55">
    <cfRule type="cellIs" dxfId="2827" priority="136" operator="lessThan">
      <formula>0</formula>
    </cfRule>
  </conditionalFormatting>
  <conditionalFormatting sqref="AQ55">
    <cfRule type="cellIs" dxfId="2826" priority="135" operator="lessThan">
      <formula>0</formula>
    </cfRule>
  </conditionalFormatting>
  <conditionalFormatting sqref="AQ55">
    <cfRule type="cellIs" dxfId="2825" priority="134" operator="lessThan">
      <formula>0</formula>
    </cfRule>
  </conditionalFormatting>
  <conditionalFormatting sqref="AQ55">
    <cfRule type="cellIs" dxfId="2824" priority="133" operator="lessThan">
      <formula>0</formula>
    </cfRule>
  </conditionalFormatting>
  <conditionalFormatting sqref="AQ55">
    <cfRule type="cellIs" dxfId="2823" priority="132" operator="lessThan">
      <formula>0</formula>
    </cfRule>
  </conditionalFormatting>
  <conditionalFormatting sqref="AQ55">
    <cfRule type="cellIs" dxfId="2822" priority="131" operator="lessThan">
      <formula>0</formula>
    </cfRule>
  </conditionalFormatting>
  <conditionalFormatting sqref="AQ55">
    <cfRule type="cellIs" dxfId="2821" priority="130" operator="lessThan">
      <formula>0</formula>
    </cfRule>
  </conditionalFormatting>
  <conditionalFormatting sqref="AQ55">
    <cfRule type="cellIs" dxfId="2820" priority="129" operator="lessThan">
      <formula>0</formula>
    </cfRule>
  </conditionalFormatting>
  <conditionalFormatting sqref="AQ55">
    <cfRule type="cellIs" dxfId="2819" priority="128" operator="lessThan">
      <formula>0</formula>
    </cfRule>
  </conditionalFormatting>
  <conditionalFormatting sqref="AQ55">
    <cfRule type="cellIs" dxfId="2818" priority="127" operator="lessThan">
      <formula>0</formula>
    </cfRule>
  </conditionalFormatting>
  <conditionalFormatting sqref="AQ55">
    <cfRule type="cellIs" dxfId="2817" priority="126" operator="lessThan">
      <formula>0</formula>
    </cfRule>
  </conditionalFormatting>
  <conditionalFormatting sqref="AQ55">
    <cfRule type="cellIs" dxfId="2816" priority="125" operator="lessThan">
      <formula>0</formula>
    </cfRule>
  </conditionalFormatting>
  <conditionalFormatting sqref="AQ55">
    <cfRule type="cellIs" dxfId="2815" priority="124" operator="lessThan">
      <formula>0</formula>
    </cfRule>
  </conditionalFormatting>
  <conditionalFormatting sqref="AQ55">
    <cfRule type="cellIs" dxfId="2814" priority="123" operator="lessThan">
      <formula>0</formula>
    </cfRule>
  </conditionalFormatting>
  <conditionalFormatting sqref="AQ55">
    <cfRule type="cellIs" dxfId="2813" priority="122" operator="lessThan">
      <formula>0</formula>
    </cfRule>
  </conditionalFormatting>
  <conditionalFormatting sqref="AQ55">
    <cfRule type="cellIs" dxfId="2812" priority="121" operator="lessThan">
      <formula>0</formula>
    </cfRule>
  </conditionalFormatting>
  <conditionalFormatting sqref="AQ55">
    <cfRule type="cellIs" dxfId="2811" priority="120" operator="lessThan">
      <formula>0</formula>
    </cfRule>
  </conditionalFormatting>
  <conditionalFormatting sqref="AQ55">
    <cfRule type="cellIs" dxfId="2810" priority="119" operator="lessThan">
      <formula>0</formula>
    </cfRule>
  </conditionalFormatting>
  <conditionalFormatting sqref="AQ55">
    <cfRule type="cellIs" dxfId="2809" priority="118" operator="lessThan">
      <formula>0</formula>
    </cfRule>
  </conditionalFormatting>
  <conditionalFormatting sqref="AQ55">
    <cfRule type="cellIs" dxfId="2808" priority="117" operator="lessThan">
      <formula>0</formula>
    </cfRule>
  </conditionalFormatting>
  <conditionalFormatting sqref="AQ55">
    <cfRule type="cellIs" dxfId="2807" priority="116" operator="lessThan">
      <formula>0</formula>
    </cfRule>
  </conditionalFormatting>
  <conditionalFormatting sqref="AQ55">
    <cfRule type="cellIs" dxfId="2806" priority="115" operator="lessThan">
      <formula>0</formula>
    </cfRule>
  </conditionalFormatting>
  <conditionalFormatting sqref="AQ55">
    <cfRule type="cellIs" dxfId="2805" priority="114" operator="lessThan">
      <formula>0</formula>
    </cfRule>
  </conditionalFormatting>
  <conditionalFormatting sqref="AQ55">
    <cfRule type="cellIs" dxfId="2804" priority="98" operator="lessThan">
      <formula>0</formula>
    </cfRule>
  </conditionalFormatting>
  <conditionalFormatting sqref="AQ55">
    <cfRule type="cellIs" dxfId="2803" priority="113" operator="lessThan">
      <formula>0</formula>
    </cfRule>
  </conditionalFormatting>
  <conditionalFormatting sqref="AQ55">
    <cfRule type="cellIs" dxfId="2802" priority="112" operator="lessThan">
      <formula>0</formula>
    </cfRule>
  </conditionalFormatting>
  <conditionalFormatting sqref="AQ55">
    <cfRule type="cellIs" dxfId="2801" priority="111" operator="lessThan">
      <formula>0</formula>
    </cfRule>
  </conditionalFormatting>
  <conditionalFormatting sqref="AQ55">
    <cfRule type="cellIs" dxfId="2800" priority="110" operator="lessThan">
      <formula>0</formula>
    </cfRule>
  </conditionalFormatting>
  <conditionalFormatting sqref="AQ55">
    <cfRule type="cellIs" dxfId="2799" priority="109" operator="lessThan">
      <formula>0</formula>
    </cfRule>
  </conditionalFormatting>
  <conditionalFormatting sqref="AQ55">
    <cfRule type="cellIs" dxfId="2798" priority="108" operator="lessThan">
      <formula>0</formula>
    </cfRule>
  </conditionalFormatting>
  <conditionalFormatting sqref="AQ55">
    <cfRule type="cellIs" dxfId="2797" priority="107" operator="lessThan">
      <formula>0</formula>
    </cfRule>
  </conditionalFormatting>
  <conditionalFormatting sqref="AQ55">
    <cfRule type="cellIs" dxfId="2796" priority="106" operator="lessThan">
      <formula>0</formula>
    </cfRule>
  </conditionalFormatting>
  <conditionalFormatting sqref="AQ55">
    <cfRule type="cellIs" dxfId="2795" priority="105" operator="lessThan">
      <formula>0</formula>
    </cfRule>
  </conditionalFormatting>
  <conditionalFormatting sqref="AQ55">
    <cfRule type="cellIs" dxfId="2794" priority="104" operator="lessThan">
      <formula>0</formula>
    </cfRule>
  </conditionalFormatting>
  <conditionalFormatting sqref="AQ55">
    <cfRule type="cellIs" dxfId="2793" priority="103" operator="lessThan">
      <formula>0</formula>
    </cfRule>
  </conditionalFormatting>
  <conditionalFormatting sqref="AQ55">
    <cfRule type="cellIs" dxfId="2792" priority="102" operator="lessThan">
      <formula>0</formula>
    </cfRule>
  </conditionalFormatting>
  <conditionalFormatting sqref="AQ55">
    <cfRule type="cellIs" dxfId="2791" priority="101" operator="lessThan">
      <formula>0</formula>
    </cfRule>
  </conditionalFormatting>
  <conditionalFormatting sqref="AQ55">
    <cfRule type="cellIs" dxfId="2790" priority="100" operator="lessThan">
      <formula>0</formula>
    </cfRule>
  </conditionalFormatting>
  <conditionalFormatting sqref="AQ55">
    <cfRule type="cellIs" dxfId="2789" priority="99" operator="lessThan">
      <formula>0</formula>
    </cfRule>
  </conditionalFormatting>
  <conditionalFormatting sqref="AQ79">
    <cfRule type="cellIs" dxfId="2788" priority="97" operator="lessThan">
      <formula>0</formula>
    </cfRule>
  </conditionalFormatting>
  <conditionalFormatting sqref="AQ79">
    <cfRule type="cellIs" dxfId="2787" priority="96" operator="lessThan">
      <formula>0</formula>
    </cfRule>
  </conditionalFormatting>
  <conditionalFormatting sqref="AQ79">
    <cfRule type="cellIs" dxfId="2786" priority="95" operator="lessThan">
      <formula>0</formula>
    </cfRule>
  </conditionalFormatting>
  <conditionalFormatting sqref="AQ79">
    <cfRule type="cellIs" dxfId="2785" priority="94" operator="lessThan">
      <formula>0</formula>
    </cfRule>
  </conditionalFormatting>
  <conditionalFormatting sqref="AQ79">
    <cfRule type="cellIs" dxfId="2784" priority="93" operator="lessThan">
      <formula>0</formula>
    </cfRule>
  </conditionalFormatting>
  <conditionalFormatting sqref="AQ79">
    <cfRule type="cellIs" dxfId="2783" priority="92" operator="lessThan">
      <formula>0</formula>
    </cfRule>
  </conditionalFormatting>
  <conditionalFormatting sqref="AQ79">
    <cfRule type="cellIs" dxfId="2782" priority="91" operator="lessThan">
      <formula>0</formula>
    </cfRule>
  </conditionalFormatting>
  <conditionalFormatting sqref="AQ79">
    <cfRule type="cellIs" dxfId="2781" priority="90" operator="lessThan">
      <formula>0</formula>
    </cfRule>
  </conditionalFormatting>
  <conditionalFormatting sqref="AQ79">
    <cfRule type="cellIs" dxfId="2780" priority="89" operator="lessThan">
      <formula>0</formula>
    </cfRule>
  </conditionalFormatting>
  <conditionalFormatting sqref="AQ79">
    <cfRule type="cellIs" dxfId="2779" priority="88" operator="lessThan">
      <formula>0</formula>
    </cfRule>
  </conditionalFormatting>
  <conditionalFormatting sqref="AQ79">
    <cfRule type="cellIs" dxfId="2778" priority="87" operator="lessThan">
      <formula>0</formula>
    </cfRule>
  </conditionalFormatting>
  <conditionalFormatting sqref="AQ79">
    <cfRule type="cellIs" dxfId="2777" priority="86" operator="lessThan">
      <formula>0</formula>
    </cfRule>
  </conditionalFormatting>
  <conditionalFormatting sqref="AQ79">
    <cfRule type="cellIs" dxfId="2776" priority="85" operator="lessThan">
      <formula>0</formula>
    </cfRule>
  </conditionalFormatting>
  <conditionalFormatting sqref="AQ79">
    <cfRule type="cellIs" dxfId="2775" priority="84" operator="lessThan">
      <formula>0</formula>
    </cfRule>
  </conditionalFormatting>
  <conditionalFormatting sqref="AQ79">
    <cfRule type="cellIs" dxfId="2774" priority="83" operator="lessThan">
      <formula>0</formula>
    </cfRule>
  </conditionalFormatting>
  <conditionalFormatting sqref="AQ79">
    <cfRule type="cellIs" dxfId="2773" priority="82" operator="lessThan">
      <formula>0</formula>
    </cfRule>
  </conditionalFormatting>
  <conditionalFormatting sqref="AQ79">
    <cfRule type="cellIs" dxfId="2772" priority="81" operator="lessThan">
      <formula>0</formula>
    </cfRule>
  </conditionalFormatting>
  <conditionalFormatting sqref="AQ79">
    <cfRule type="cellIs" dxfId="2771" priority="80" operator="lessThan">
      <formula>0</formula>
    </cfRule>
  </conditionalFormatting>
  <conditionalFormatting sqref="AQ79">
    <cfRule type="cellIs" dxfId="2770" priority="79" operator="lessThan">
      <formula>0</formula>
    </cfRule>
  </conditionalFormatting>
  <conditionalFormatting sqref="AQ79">
    <cfRule type="cellIs" dxfId="2769" priority="78" operator="lessThan">
      <formula>0</formula>
    </cfRule>
  </conditionalFormatting>
  <conditionalFormatting sqref="AQ79">
    <cfRule type="cellIs" dxfId="2768" priority="77" operator="lessThan">
      <formula>0</formula>
    </cfRule>
  </conditionalFormatting>
  <conditionalFormatting sqref="AQ79">
    <cfRule type="cellIs" dxfId="2767" priority="76" operator="lessThan">
      <formula>0</formula>
    </cfRule>
  </conditionalFormatting>
  <conditionalFormatting sqref="AQ79">
    <cfRule type="cellIs" dxfId="2766" priority="75" operator="lessThan">
      <formula>0</formula>
    </cfRule>
  </conditionalFormatting>
  <conditionalFormatting sqref="AQ79">
    <cfRule type="cellIs" dxfId="2765" priority="74" operator="lessThan">
      <formula>0</formula>
    </cfRule>
  </conditionalFormatting>
  <conditionalFormatting sqref="AQ79">
    <cfRule type="cellIs" dxfId="2764" priority="73" operator="lessThan">
      <formula>0</formula>
    </cfRule>
  </conditionalFormatting>
  <conditionalFormatting sqref="AQ79">
    <cfRule type="cellIs" dxfId="2763" priority="72" operator="lessThan">
      <formula>0</formula>
    </cfRule>
  </conditionalFormatting>
  <conditionalFormatting sqref="AQ79">
    <cfRule type="cellIs" dxfId="2762" priority="71" operator="lessThan">
      <formula>0</formula>
    </cfRule>
  </conditionalFormatting>
  <conditionalFormatting sqref="AQ79">
    <cfRule type="cellIs" dxfId="2761" priority="70" operator="lessThan">
      <formula>0</formula>
    </cfRule>
  </conditionalFormatting>
  <conditionalFormatting sqref="AQ79">
    <cfRule type="cellIs" dxfId="2760" priority="69" operator="lessThan">
      <formula>0</formula>
    </cfRule>
  </conditionalFormatting>
  <conditionalFormatting sqref="AQ79">
    <cfRule type="cellIs" dxfId="2759" priority="68" operator="lessThan">
      <formula>0</formula>
    </cfRule>
  </conditionalFormatting>
  <conditionalFormatting sqref="AQ79">
    <cfRule type="cellIs" dxfId="2758" priority="67" operator="lessThan">
      <formula>0</formula>
    </cfRule>
  </conditionalFormatting>
  <conditionalFormatting sqref="AQ79">
    <cfRule type="cellIs" dxfId="2757" priority="66" operator="lessThan">
      <formula>0</formula>
    </cfRule>
  </conditionalFormatting>
  <conditionalFormatting sqref="AQ79">
    <cfRule type="cellIs" dxfId="2756" priority="65" operator="lessThan">
      <formula>0</formula>
    </cfRule>
  </conditionalFormatting>
  <conditionalFormatting sqref="AQ79">
    <cfRule type="cellIs" dxfId="2755" priority="64" operator="lessThan">
      <formula>0</formula>
    </cfRule>
  </conditionalFormatting>
  <conditionalFormatting sqref="AQ79">
    <cfRule type="cellIs" dxfId="2754" priority="63" operator="lessThan">
      <formula>0</formula>
    </cfRule>
  </conditionalFormatting>
  <conditionalFormatting sqref="AQ79">
    <cfRule type="cellIs" dxfId="2753" priority="62" operator="lessThan">
      <formula>0</formula>
    </cfRule>
  </conditionalFormatting>
  <conditionalFormatting sqref="AQ79">
    <cfRule type="cellIs" dxfId="2752" priority="61" operator="lessThan">
      <formula>0</formula>
    </cfRule>
  </conditionalFormatting>
  <conditionalFormatting sqref="AQ79">
    <cfRule type="cellIs" dxfId="2751" priority="60" operator="lessThan">
      <formula>0</formula>
    </cfRule>
  </conditionalFormatting>
  <conditionalFormatting sqref="AQ79">
    <cfRule type="cellIs" dxfId="2750" priority="59" operator="lessThan">
      <formula>0</formula>
    </cfRule>
  </conditionalFormatting>
  <conditionalFormatting sqref="AQ79">
    <cfRule type="cellIs" dxfId="2749" priority="58" operator="lessThan">
      <formula>0</formula>
    </cfRule>
  </conditionalFormatting>
  <conditionalFormatting sqref="AQ79">
    <cfRule type="cellIs" dxfId="2748" priority="57" operator="lessThan">
      <formula>0</formula>
    </cfRule>
  </conditionalFormatting>
  <conditionalFormatting sqref="AQ79">
    <cfRule type="cellIs" dxfId="2747" priority="56" operator="lessThan">
      <formula>0</formula>
    </cfRule>
  </conditionalFormatting>
  <conditionalFormatting sqref="AQ79">
    <cfRule type="cellIs" dxfId="2746" priority="55" operator="lessThan">
      <formula>0</formula>
    </cfRule>
  </conditionalFormatting>
  <conditionalFormatting sqref="AQ79">
    <cfRule type="cellIs" dxfId="2745" priority="54" operator="lessThan">
      <formula>0</formula>
    </cfRule>
  </conditionalFormatting>
  <conditionalFormatting sqref="AQ79">
    <cfRule type="cellIs" dxfId="2744" priority="53" operator="lessThan">
      <formula>0</formula>
    </cfRule>
  </conditionalFormatting>
  <conditionalFormatting sqref="AQ79">
    <cfRule type="cellIs" dxfId="2743" priority="52" operator="lessThan">
      <formula>0</formula>
    </cfRule>
  </conditionalFormatting>
  <conditionalFormatting sqref="AQ79">
    <cfRule type="cellIs" dxfId="2742" priority="51" operator="lessThan">
      <formula>0</formula>
    </cfRule>
  </conditionalFormatting>
  <conditionalFormatting sqref="AQ79">
    <cfRule type="cellIs" dxfId="2741" priority="50" operator="lessThan">
      <formula>0</formula>
    </cfRule>
  </conditionalFormatting>
  <conditionalFormatting sqref="AQ79">
    <cfRule type="cellIs" dxfId="2740" priority="49" operator="lessThan">
      <formula>0</formula>
    </cfRule>
  </conditionalFormatting>
  <conditionalFormatting sqref="AQ79">
    <cfRule type="cellIs" dxfId="2739" priority="48" operator="lessThan">
      <formula>0</formula>
    </cfRule>
  </conditionalFormatting>
  <conditionalFormatting sqref="AQ79">
    <cfRule type="cellIs" dxfId="2738" priority="47" operator="lessThan">
      <formula>0</formula>
    </cfRule>
  </conditionalFormatting>
  <conditionalFormatting sqref="AQ79">
    <cfRule type="cellIs" dxfId="2737" priority="46" operator="lessThan">
      <formula>0</formula>
    </cfRule>
  </conditionalFormatting>
  <conditionalFormatting sqref="AQ79">
    <cfRule type="cellIs" dxfId="2736" priority="45" operator="lessThan">
      <formula>0</formula>
    </cfRule>
  </conditionalFormatting>
  <conditionalFormatting sqref="AQ79">
    <cfRule type="cellIs" dxfId="2735" priority="44" operator="lessThan">
      <formula>0</formula>
    </cfRule>
  </conditionalFormatting>
  <conditionalFormatting sqref="AQ79">
    <cfRule type="cellIs" dxfId="2734" priority="43" operator="lessThan">
      <formula>0</formula>
    </cfRule>
  </conditionalFormatting>
  <conditionalFormatting sqref="AQ79">
    <cfRule type="cellIs" dxfId="2733" priority="42" operator="lessThan">
      <formula>0</formula>
    </cfRule>
  </conditionalFormatting>
  <conditionalFormatting sqref="AQ79">
    <cfRule type="cellIs" dxfId="2732" priority="41" operator="lessThan">
      <formula>0</formula>
    </cfRule>
  </conditionalFormatting>
  <conditionalFormatting sqref="AQ79">
    <cfRule type="cellIs" dxfId="2731" priority="40" operator="lessThan">
      <formula>0</formula>
    </cfRule>
  </conditionalFormatting>
  <conditionalFormatting sqref="AQ79">
    <cfRule type="cellIs" dxfId="2730" priority="39" operator="lessThan">
      <formula>0</formula>
    </cfRule>
  </conditionalFormatting>
  <conditionalFormatting sqref="AQ79">
    <cfRule type="cellIs" dxfId="2729" priority="38" operator="lessThan">
      <formula>0</formula>
    </cfRule>
  </conditionalFormatting>
  <conditionalFormatting sqref="AQ79">
    <cfRule type="cellIs" dxfId="2728" priority="37" operator="lessThan">
      <formula>0</formula>
    </cfRule>
  </conditionalFormatting>
  <conditionalFormatting sqref="AQ79">
    <cfRule type="cellIs" dxfId="2727" priority="36" operator="lessThan">
      <formula>0</formula>
    </cfRule>
  </conditionalFormatting>
  <conditionalFormatting sqref="AQ79">
    <cfRule type="cellIs" dxfId="2726" priority="35" operator="lessThan">
      <formula>0</formula>
    </cfRule>
  </conditionalFormatting>
  <conditionalFormatting sqref="AQ79">
    <cfRule type="cellIs" dxfId="2725" priority="34" operator="lessThan">
      <formula>0</formula>
    </cfRule>
  </conditionalFormatting>
  <conditionalFormatting sqref="AQ79">
    <cfRule type="cellIs" dxfId="2724" priority="33" operator="lessThan">
      <formula>0</formula>
    </cfRule>
  </conditionalFormatting>
  <conditionalFormatting sqref="AQ79">
    <cfRule type="cellIs" dxfId="2723" priority="32" operator="lessThan">
      <formula>0</formula>
    </cfRule>
  </conditionalFormatting>
  <conditionalFormatting sqref="AQ79">
    <cfRule type="cellIs" dxfId="2722" priority="31" operator="lessThan">
      <formula>0</formula>
    </cfRule>
  </conditionalFormatting>
  <conditionalFormatting sqref="AQ79">
    <cfRule type="cellIs" dxfId="2721" priority="30" operator="lessThan">
      <formula>0</formula>
    </cfRule>
  </conditionalFormatting>
  <conditionalFormatting sqref="AQ79">
    <cfRule type="cellIs" dxfId="2720" priority="29" operator="lessThan">
      <formula>0</formula>
    </cfRule>
  </conditionalFormatting>
  <conditionalFormatting sqref="AQ79">
    <cfRule type="cellIs" dxfId="2719" priority="28" operator="lessThan">
      <formula>0</formula>
    </cfRule>
  </conditionalFormatting>
  <conditionalFormatting sqref="AQ79">
    <cfRule type="cellIs" dxfId="2718" priority="27" operator="lessThan">
      <formula>0</formula>
    </cfRule>
  </conditionalFormatting>
  <conditionalFormatting sqref="AQ79">
    <cfRule type="cellIs" dxfId="2717" priority="26" operator="lessThan">
      <formula>0</formula>
    </cfRule>
  </conditionalFormatting>
  <conditionalFormatting sqref="AQ79">
    <cfRule type="cellIs" dxfId="2716" priority="25" operator="lessThan">
      <formula>0</formula>
    </cfRule>
  </conditionalFormatting>
  <conditionalFormatting sqref="AQ79">
    <cfRule type="cellIs" dxfId="2715" priority="24" operator="lessThan">
      <formula>0</formula>
    </cfRule>
  </conditionalFormatting>
  <conditionalFormatting sqref="AQ79">
    <cfRule type="cellIs" dxfId="2714" priority="23" operator="lessThan">
      <formula>0</formula>
    </cfRule>
  </conditionalFormatting>
  <conditionalFormatting sqref="AQ79">
    <cfRule type="cellIs" dxfId="2713" priority="22" operator="lessThan">
      <formula>0</formula>
    </cfRule>
  </conditionalFormatting>
  <conditionalFormatting sqref="AQ79">
    <cfRule type="cellIs" dxfId="2712" priority="21" operator="lessThan">
      <formula>0</formula>
    </cfRule>
  </conditionalFormatting>
  <conditionalFormatting sqref="AQ79">
    <cfRule type="cellIs" dxfId="2711" priority="20" operator="lessThan">
      <formula>0</formula>
    </cfRule>
  </conditionalFormatting>
  <conditionalFormatting sqref="AQ79">
    <cfRule type="cellIs" dxfId="2710" priority="19" operator="lessThan">
      <formula>0</formula>
    </cfRule>
  </conditionalFormatting>
  <conditionalFormatting sqref="AQ79">
    <cfRule type="cellIs" dxfId="2709" priority="18" operator="lessThan">
      <formula>0</formula>
    </cfRule>
  </conditionalFormatting>
  <conditionalFormatting sqref="AQ79">
    <cfRule type="cellIs" dxfId="2708" priority="2" operator="lessThan">
      <formula>0</formula>
    </cfRule>
  </conditionalFormatting>
  <conditionalFormatting sqref="AQ79">
    <cfRule type="cellIs" dxfId="2707" priority="17" operator="lessThan">
      <formula>0</formula>
    </cfRule>
  </conditionalFormatting>
  <conditionalFormatting sqref="AQ79">
    <cfRule type="cellIs" dxfId="2706" priority="16" operator="lessThan">
      <formula>0</formula>
    </cfRule>
  </conditionalFormatting>
  <conditionalFormatting sqref="AQ79">
    <cfRule type="cellIs" dxfId="2705" priority="15" operator="lessThan">
      <formula>0</formula>
    </cfRule>
  </conditionalFormatting>
  <conditionalFormatting sqref="AQ79">
    <cfRule type="cellIs" dxfId="2704" priority="14" operator="lessThan">
      <formula>0</formula>
    </cfRule>
  </conditionalFormatting>
  <conditionalFormatting sqref="AQ79">
    <cfRule type="cellIs" dxfId="2703" priority="13" operator="lessThan">
      <formula>0</formula>
    </cfRule>
  </conditionalFormatting>
  <conditionalFormatting sqref="AQ79">
    <cfRule type="cellIs" dxfId="2702" priority="12" operator="lessThan">
      <formula>0</formula>
    </cfRule>
  </conditionalFormatting>
  <conditionalFormatting sqref="AQ79">
    <cfRule type="cellIs" dxfId="2701" priority="11" operator="lessThan">
      <formula>0</formula>
    </cfRule>
  </conditionalFormatting>
  <conditionalFormatting sqref="AQ79">
    <cfRule type="cellIs" dxfId="2700" priority="10" operator="lessThan">
      <formula>0</formula>
    </cfRule>
  </conditionalFormatting>
  <conditionalFormatting sqref="AQ79">
    <cfRule type="cellIs" dxfId="2699" priority="9" operator="lessThan">
      <formula>0</formula>
    </cfRule>
  </conditionalFormatting>
  <conditionalFormatting sqref="AQ79">
    <cfRule type="cellIs" dxfId="2698" priority="8" operator="lessThan">
      <formula>0</formula>
    </cfRule>
  </conditionalFormatting>
  <conditionalFormatting sqref="AQ79">
    <cfRule type="cellIs" dxfId="2697" priority="7" operator="lessThan">
      <formula>0</formula>
    </cfRule>
  </conditionalFormatting>
  <conditionalFormatting sqref="AQ79">
    <cfRule type="cellIs" dxfId="2696" priority="6" operator="lessThan">
      <formula>0</formula>
    </cfRule>
  </conditionalFormatting>
  <conditionalFormatting sqref="AQ79">
    <cfRule type="cellIs" dxfId="2695" priority="5" operator="lessThan">
      <formula>0</formula>
    </cfRule>
  </conditionalFormatting>
  <conditionalFormatting sqref="AQ79">
    <cfRule type="cellIs" dxfId="2694" priority="4" operator="lessThan">
      <formula>0</formula>
    </cfRule>
  </conditionalFormatting>
  <conditionalFormatting sqref="AQ79">
    <cfRule type="cellIs" dxfId="2693" priority="3" operator="lessThan">
      <formula>0</formula>
    </cfRule>
  </conditionalFormatting>
  <conditionalFormatting sqref="AM46:AM49">
    <cfRule type="cellIs" dxfId="2692" priority="1" operator="notEqual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153" id="{F923CA48-EE98-4FEC-B98C-8A9E8B914FD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2149" id="{69F1FE89-16F1-4CF4-A960-E702FD955FA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2141" id="{430F436F-3062-4A4F-9A90-02688201C7D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2133" id="{6596CACE-3D58-48E0-B554-154E9C443F6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2130" id="{CD2A9CBF-B73E-47D2-9A4B-B12D8EDE54F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  <x14:conditionalFormatting xmlns:xm="http://schemas.microsoft.com/office/excel/2006/main">
          <x14:cfRule type="iconSet" priority="2123" id="{EA2B5FC2-ED34-49AD-8B2F-E73CF06CABF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2116" id="{3A4F61DF-08BD-45D1-BD2F-9D651D4E64E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2109" id="{94DF3828-7A41-4A74-B5FB-B53ECE0638BF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2102" id="{EAB98846-8369-4CF6-BA0F-266184604B0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2096" id="{59CF9A90-7F47-4755-9434-B3A4D54E315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2089" id="{682B7406-5CEA-487F-A4F5-8BFB863450C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2072" id="{97CA718D-4F8C-40CF-8562-F6B64E4A525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2061" id="{E827B256-A72B-48C8-A39A-A6C39EE608D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1911" id="{7E091F96-F8A0-4AEE-8D72-E248EF07C6D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1578" id="{532599C6-9D19-47CE-9D95-371D3A52155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1456" id="{8DD079D7-AD7A-4ACB-A8CA-7CF7F0437DA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1408" id="{9FD2607B-D366-435A-B7BC-2F7B2455E4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1067" id="{FD2DB5EF-E33F-42A3-832E-8999D410460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822" id="{0DD815F9-2812-4F51-91A9-9D97344E6091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</x14:conditionalFormatting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B1:BG177"/>
  <sheetViews>
    <sheetView tabSelected="1" zoomScale="19" zoomScaleNormal="19" zoomScaleSheetLayoutView="10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T16" sqref="T16"/>
    </sheetView>
  </sheetViews>
  <sheetFormatPr defaultColWidth="11.42578125" defaultRowHeight="61.5" x14ac:dyDescent="0.9"/>
  <cols>
    <col min="1" max="1" width="11.42578125" style="91"/>
    <col min="2" max="2" width="25.28515625" style="94" customWidth="1"/>
    <col min="3" max="3" width="40.85546875" style="94" hidden="1" customWidth="1"/>
    <col min="4" max="4" width="42.28515625" style="92" customWidth="1"/>
    <col min="5" max="5" width="15" style="92" hidden="1" customWidth="1"/>
    <col min="6" max="6" width="34" style="92" customWidth="1"/>
    <col min="7" max="7" width="75.140625" style="92" customWidth="1"/>
    <col min="8" max="8" width="36.42578125" style="92" customWidth="1"/>
    <col min="9" max="9" width="47.85546875" style="92" customWidth="1"/>
    <col min="10" max="10" width="34.28515625" style="93" customWidth="1"/>
    <col min="11" max="11" width="34.28515625" style="92" customWidth="1"/>
    <col min="12" max="12" width="37" style="99" customWidth="1"/>
    <col min="13" max="17" width="25.85546875" style="91" customWidth="1"/>
    <col min="18" max="21" width="27.7109375" style="91" customWidth="1"/>
    <col min="22" max="22" width="26.85546875" style="91" customWidth="1"/>
    <col min="23" max="23" width="27.7109375" style="91" customWidth="1"/>
    <col min="24" max="24" width="27.5703125" style="91" customWidth="1"/>
    <col min="25" max="25" width="27.5703125" style="91" hidden="1" customWidth="1"/>
    <col min="26" max="26" width="32" style="91" customWidth="1"/>
    <col min="27" max="27" width="40.7109375" style="91" customWidth="1"/>
    <col min="28" max="28" width="40" style="91" customWidth="1"/>
    <col min="29" max="29" width="41.42578125" style="91" hidden="1" customWidth="1"/>
    <col min="30" max="30" width="30.28515625" style="91" customWidth="1"/>
    <col min="31" max="31" width="30.140625" style="95" customWidth="1"/>
    <col min="32" max="33" width="27.42578125" style="155" hidden="1" customWidth="1"/>
    <col min="34" max="34" width="32.42578125" style="98" hidden="1" customWidth="1"/>
    <col min="35" max="35" width="36" style="98" hidden="1" customWidth="1"/>
    <col min="36" max="36" width="35.42578125" style="98" hidden="1" customWidth="1"/>
    <col min="37" max="37" width="27.7109375" style="183" hidden="1" customWidth="1"/>
    <col min="38" max="38" width="37.7109375" style="91" hidden="1" customWidth="1"/>
    <col min="39" max="39" width="29" style="91" hidden="1" customWidth="1"/>
    <col min="40" max="40" width="30.28515625" style="91" hidden="1" customWidth="1"/>
    <col min="41" max="42" width="9.140625" style="91" customWidth="1"/>
    <col min="43" max="43" width="37.7109375" style="91" customWidth="1"/>
    <col min="44" max="44" width="25" style="434" hidden="1" customWidth="1"/>
    <col min="45" max="45" width="64.7109375" style="91" hidden="1" customWidth="1"/>
    <col min="46" max="46" width="34" style="91" hidden="1" customWidth="1"/>
    <col min="47" max="47" width="20.42578125" style="91" hidden="1" customWidth="1"/>
    <col min="48" max="48" width="36.140625" style="91" hidden="1" customWidth="1"/>
    <col min="49" max="49" width="64" style="91" customWidth="1"/>
    <col min="50" max="57" width="20.42578125" style="91" customWidth="1"/>
    <col min="58" max="96" width="9.140625" style="91" customWidth="1"/>
    <col min="97" max="16384" width="11.42578125" style="91"/>
  </cols>
  <sheetData>
    <row r="1" spans="2:58" ht="23.25" customHeight="1" x14ac:dyDescent="0.9">
      <c r="B1" s="390" t="s">
        <v>185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390"/>
      <c r="Y1" s="390"/>
      <c r="Z1" s="390"/>
      <c r="AA1" s="390"/>
      <c r="AB1" s="390"/>
      <c r="AC1" s="91" t="s">
        <v>357</v>
      </c>
      <c r="AD1" s="519" t="s">
        <v>182</v>
      </c>
      <c r="AE1" s="519"/>
      <c r="AT1" s="91" t="s">
        <v>182</v>
      </c>
    </row>
    <row r="2" spans="2:58" ht="67.5" customHeight="1" x14ac:dyDescent="0.9">
      <c r="B2" s="390"/>
      <c r="C2" s="390"/>
      <c r="D2" s="390"/>
      <c r="E2" s="390"/>
      <c r="F2" s="391" t="s">
        <v>397</v>
      </c>
      <c r="G2" s="392"/>
      <c r="H2" s="390"/>
      <c r="I2" s="390"/>
      <c r="J2" s="390"/>
      <c r="K2" s="390"/>
      <c r="L2" s="390"/>
      <c r="M2" s="436"/>
      <c r="N2" s="437"/>
      <c r="O2" s="437"/>
      <c r="P2" s="437"/>
      <c r="Q2" s="437"/>
      <c r="R2" s="437"/>
      <c r="S2" s="437"/>
      <c r="T2" s="437"/>
      <c r="U2" s="437"/>
      <c r="V2" s="437"/>
      <c r="W2" s="437"/>
      <c r="X2" s="437"/>
      <c r="Y2" s="437"/>
      <c r="Z2" s="390"/>
      <c r="AA2" s="437"/>
      <c r="AB2" s="390"/>
      <c r="AC2" s="96"/>
      <c r="AD2" s="520">
        <f>+AI2/AH2</f>
        <v>0.62429939393939393</v>
      </c>
      <c r="AE2" s="520"/>
      <c r="AH2" s="183">
        <f>+SUBTOTAL(9,AH6:AH99)</f>
        <v>99000</v>
      </c>
      <c r="AI2" s="183">
        <f>+SUBTOTAL(9,AI6:AI99)</f>
        <v>61805.64</v>
      </c>
      <c r="AT2" s="91">
        <v>0.59793648334624327</v>
      </c>
    </row>
    <row r="3" spans="2:58" ht="94.5" customHeight="1" x14ac:dyDescent="0.9">
      <c r="B3" s="505"/>
      <c r="C3" s="505"/>
      <c r="D3" s="505"/>
      <c r="E3" s="505"/>
      <c r="F3" s="391" t="s">
        <v>396</v>
      </c>
      <c r="G3" s="392"/>
      <c r="H3" s="532"/>
      <c r="I3" s="532"/>
      <c r="J3" s="231" t="s">
        <v>329</v>
      </c>
      <c r="K3" s="532" t="s">
        <v>113</v>
      </c>
      <c r="L3" s="532"/>
      <c r="M3" s="393" t="s">
        <v>398</v>
      </c>
      <c r="N3" s="393" t="s">
        <v>399</v>
      </c>
      <c r="O3" s="393" t="s">
        <v>400</v>
      </c>
      <c r="P3" s="393" t="s">
        <v>401</v>
      </c>
      <c r="Q3" s="393" t="s">
        <v>402</v>
      </c>
      <c r="R3" s="393" t="s">
        <v>403</v>
      </c>
      <c r="S3" s="393" t="s">
        <v>404</v>
      </c>
      <c r="T3" s="393" t="s">
        <v>405</v>
      </c>
      <c r="U3" s="393" t="s">
        <v>406</v>
      </c>
      <c r="W3" s="243"/>
      <c r="Z3" s="394"/>
      <c r="AA3" s="395" t="s">
        <v>17</v>
      </c>
      <c r="AB3" s="505"/>
      <c r="AC3" s="96"/>
      <c r="AD3" s="520"/>
      <c r="AE3" s="520"/>
      <c r="AH3" s="183"/>
      <c r="AI3" s="183"/>
      <c r="AQ3" s="440">
        <v>8.75</v>
      </c>
    </row>
    <row r="4" spans="2:58" s="141" customFormat="1" ht="79.5" customHeight="1" thickBot="1" x14ac:dyDescent="0.75">
      <c r="B4" s="522"/>
      <c r="C4" s="522"/>
      <c r="D4" s="522"/>
      <c r="E4" s="522"/>
      <c r="F4" s="522"/>
      <c r="G4" s="522"/>
      <c r="H4" s="217"/>
      <c r="J4" s="142"/>
      <c r="K4" s="532" t="s">
        <v>97</v>
      </c>
      <c r="L4" s="532"/>
      <c r="M4" s="393" t="s">
        <v>408</v>
      </c>
      <c r="N4" s="393" t="s">
        <v>407</v>
      </c>
      <c r="O4" s="393" t="s">
        <v>409</v>
      </c>
      <c r="P4" s="393" t="s">
        <v>87</v>
      </c>
      <c r="Q4" s="393" t="s">
        <v>88</v>
      </c>
      <c r="R4" s="393" t="s">
        <v>105</v>
      </c>
      <c r="S4" s="393" t="s">
        <v>106</v>
      </c>
      <c r="T4" s="393" t="s">
        <v>410</v>
      </c>
      <c r="U4" s="393" t="s">
        <v>406</v>
      </c>
      <c r="V4" s="396"/>
      <c r="W4" s="396"/>
      <c r="AA4" s="170">
        <f>+SUMIF($L$6:$L$82,AA3,$AA$6:$AA$82)</f>
        <v>1726</v>
      </c>
      <c r="AB4" s="144" t="s">
        <v>28</v>
      </c>
      <c r="AC4" s="145"/>
      <c r="AD4" s="524" t="str">
        <f ca="1">RIGHT(CELL("filename",A1),LEN(CELL("filename",A1))-FIND("]",CELL("filename",A1)))</f>
        <v>20-01-2026</v>
      </c>
      <c r="AE4" s="524"/>
      <c r="AF4" s="397">
        <f>+SUM(AF6:AF87)</f>
        <v>1650</v>
      </c>
      <c r="AG4" s="397"/>
      <c r="AH4" s="98"/>
      <c r="AI4" s="98"/>
      <c r="AJ4" s="398">
        <v>8.75</v>
      </c>
      <c r="AQ4" s="437">
        <f>+SUBTOTAL(9,AQ6:AQ83)</f>
        <v>-4390.25</v>
      </c>
      <c r="AR4" s="243"/>
      <c r="AT4" s="399">
        <v>46014</v>
      </c>
      <c r="AW4" s="441"/>
    </row>
    <row r="5" spans="2:58" s="232" customFormat="1" ht="97.5" customHeight="1" thickTop="1" thickBot="1" x14ac:dyDescent="0.3">
      <c r="B5" s="149" t="s">
        <v>16</v>
      </c>
      <c r="C5" s="400"/>
      <c r="D5" s="150" t="s">
        <v>0</v>
      </c>
      <c r="E5" s="150"/>
      <c r="F5" s="150" t="s">
        <v>30</v>
      </c>
      <c r="G5" s="150" t="s">
        <v>1</v>
      </c>
      <c r="H5" s="163" t="s">
        <v>358</v>
      </c>
      <c r="I5" s="150" t="s">
        <v>24</v>
      </c>
      <c r="J5" s="516" t="s">
        <v>95</v>
      </c>
      <c r="K5" s="517"/>
      <c r="L5" s="151"/>
      <c r="M5" s="401" t="s">
        <v>89</v>
      </c>
      <c r="N5" s="402">
        <v>2</v>
      </c>
      <c r="O5" s="402">
        <v>3</v>
      </c>
      <c r="P5" s="402">
        <v>4</v>
      </c>
      <c r="Q5" s="402">
        <v>5</v>
      </c>
      <c r="R5" s="402">
        <v>6</v>
      </c>
      <c r="S5" s="402" t="s">
        <v>90</v>
      </c>
      <c r="T5" s="401" t="s">
        <v>91</v>
      </c>
      <c r="U5" s="401" t="s">
        <v>92</v>
      </c>
      <c r="V5" s="401" t="s">
        <v>11</v>
      </c>
      <c r="W5" s="401" t="s">
        <v>12</v>
      </c>
      <c r="X5" s="402" t="s">
        <v>72</v>
      </c>
      <c r="Y5" s="402"/>
      <c r="Z5" s="163" t="s">
        <v>109</v>
      </c>
      <c r="AA5" s="150" t="s">
        <v>13</v>
      </c>
      <c r="AB5" s="150" t="s">
        <v>14</v>
      </c>
      <c r="AC5" s="153"/>
      <c r="AD5" s="153" t="s">
        <v>15</v>
      </c>
      <c r="AE5" s="154" t="s">
        <v>417</v>
      </c>
      <c r="AF5" s="156"/>
      <c r="AG5" s="156"/>
      <c r="AK5" s="394"/>
      <c r="AL5" s="403"/>
      <c r="AQ5" s="404" t="s">
        <v>415</v>
      </c>
      <c r="AR5" s="243"/>
      <c r="AT5" s="232" t="s">
        <v>15</v>
      </c>
    </row>
    <row r="6" spans="2:58" s="98" customFormat="1" ht="62.25" customHeight="1" thickTop="1" x14ac:dyDescent="0.9">
      <c r="B6" s="342">
        <f>+B7</f>
        <v>1</v>
      </c>
      <c r="C6" s="405"/>
      <c r="D6" s="106"/>
      <c r="E6" s="106"/>
      <c r="F6" s="106"/>
      <c r="G6" s="540" t="s">
        <v>494</v>
      </c>
      <c r="H6" s="106"/>
      <c r="I6" s="106"/>
      <c r="J6" s="107" t="s">
        <v>20</v>
      </c>
      <c r="K6" s="108" t="s">
        <v>23</v>
      </c>
      <c r="L6" s="100" t="s">
        <v>21</v>
      </c>
      <c r="M6" s="448">
        <v>100</v>
      </c>
      <c r="N6" s="448">
        <v>100</v>
      </c>
      <c r="O6" s="448"/>
      <c r="P6" s="448"/>
      <c r="Q6" s="448"/>
      <c r="R6" s="448"/>
      <c r="S6" s="448"/>
      <c r="T6" s="448"/>
      <c r="U6" s="448"/>
      <c r="V6" s="448"/>
      <c r="W6" s="448"/>
      <c r="X6" s="447">
        <f t="shared" ref="X6" si="0">IF(AQ7="","",SUM(M6:W6)-(-(AQ7-SUM(M6:W6))/$AQ$3)*SUM($M$2:$W$2))</f>
        <v>200</v>
      </c>
      <c r="Y6" s="466">
        <v>0.25</v>
      </c>
      <c r="Z6" s="533">
        <f>+X8</f>
        <v>0</v>
      </c>
      <c r="AA6" s="447">
        <f t="shared" ref="AA6:AA7" si="1">+SUM(L6:W6)</f>
        <v>200</v>
      </c>
      <c r="AB6" s="343">
        <f>+AC6+AA6</f>
        <v>1533</v>
      </c>
      <c r="AC6" s="343">
        <v>1333</v>
      </c>
      <c r="AD6" s="344"/>
      <c r="AE6" s="345"/>
      <c r="AF6" s="346"/>
      <c r="AG6" s="347">
        <f t="shared" ref="AG6:AG69" si="2">TRUNC(AF6)+(AF6-TRUNC(AF6))*60/100</f>
        <v>0</v>
      </c>
      <c r="AH6" s="341">
        <f t="shared" ref="AH6:AH69" si="3">+AF6*60</f>
        <v>0</v>
      </c>
      <c r="AI6" s="341"/>
      <c r="AJ6" s="341"/>
      <c r="AK6" s="348"/>
      <c r="AL6" s="349"/>
      <c r="AM6" s="341"/>
      <c r="AN6" s="341"/>
      <c r="AO6" s="341"/>
      <c r="AP6" s="341"/>
      <c r="AQ6" s="350"/>
      <c r="AR6" s="434"/>
      <c r="AT6" s="390"/>
      <c r="AV6" s="390"/>
    </row>
    <row r="7" spans="2:58" s="98" customFormat="1" ht="62.25" customHeight="1" x14ac:dyDescent="1.35">
      <c r="B7" s="351">
        <v>1</v>
      </c>
      <c r="C7" s="406">
        <f>+B7</f>
        <v>1</v>
      </c>
      <c r="D7" s="407" t="s">
        <v>493</v>
      </c>
      <c r="E7" s="111"/>
      <c r="F7" s="111" t="s">
        <v>35</v>
      </c>
      <c r="G7" s="541" t="str">
        <f>+G6</f>
        <v>2395-582-401</v>
      </c>
      <c r="H7" s="111"/>
      <c r="I7" s="111" t="s">
        <v>33</v>
      </c>
      <c r="J7" s="113">
        <v>41.85</v>
      </c>
      <c r="K7" s="130">
        <v>57</v>
      </c>
      <c r="L7" s="101" t="s">
        <v>17</v>
      </c>
      <c r="M7" s="214">
        <v>57</v>
      </c>
      <c r="N7" s="214">
        <v>57</v>
      </c>
      <c r="O7" s="214">
        <v>57</v>
      </c>
      <c r="P7" s="214"/>
      <c r="Q7" s="214"/>
      <c r="R7" s="214"/>
      <c r="S7" s="214"/>
      <c r="T7" s="214"/>
      <c r="U7" s="214"/>
      <c r="V7" s="214"/>
      <c r="W7" s="214"/>
      <c r="X7" s="123">
        <f>+IF(H8="s",0,IF(AA7=0,0,IF(COUNTA(M7:W7)=AK9+0.25,SUMIF($C:$C,B7,$AA:$AA)/AK9,SUMIF($C:$C,B7,$AA:$AA)/(COUNTA(M7:W7)))))</f>
        <v>57</v>
      </c>
      <c r="Y7" s="466"/>
      <c r="Z7" s="534"/>
      <c r="AA7" s="134">
        <f t="shared" si="1"/>
        <v>171</v>
      </c>
      <c r="AB7" s="354">
        <f>+AA7+AC7</f>
        <v>1030</v>
      </c>
      <c r="AC7" s="354">
        <v>859</v>
      </c>
      <c r="AD7" s="355">
        <f>+AB6-AB7</f>
        <v>503</v>
      </c>
      <c r="AE7" s="131">
        <f>+IF(((AA8+(AA9/2))*60)=0,"",(J7*AA7)/((AA8+(AA9/2))*60))</f>
        <v>0.83700000000000008</v>
      </c>
      <c r="AF7" s="347">
        <f>+AA8+AA9/2</f>
        <v>142.5</v>
      </c>
      <c r="AG7" s="347">
        <f t="shared" si="2"/>
        <v>142.30000000000001</v>
      </c>
      <c r="AH7" s="341">
        <f t="shared" si="3"/>
        <v>8550</v>
      </c>
      <c r="AI7" s="341">
        <f>+AA7*J7</f>
        <v>7156.35</v>
      </c>
      <c r="AJ7" s="356">
        <f>+AA7-(AF7*K7/K9)</f>
        <v>-1.8191489361702224</v>
      </c>
      <c r="AK7" s="348"/>
      <c r="AL7" s="349"/>
      <c r="AM7" s="341"/>
      <c r="AN7" s="341"/>
      <c r="AO7" s="341"/>
      <c r="AP7" s="341"/>
      <c r="AQ7" s="339">
        <f t="shared" ref="AQ7" si="4">IF(AR7=0,"",AT7-(($AQ$3*K7)+($AQ$3*K7)*AR7)+AA6)</f>
        <v>-572.875</v>
      </c>
      <c r="AR7" s="434">
        <v>1.5</v>
      </c>
      <c r="AT7" s="390">
        <v>474</v>
      </c>
      <c r="AV7" s="390">
        <f>+AT7-AD7</f>
        <v>-29</v>
      </c>
      <c r="AW7" s="535"/>
      <c r="AX7" s="535"/>
      <c r="AY7" s="535"/>
      <c r="AZ7" s="535"/>
      <c r="BA7" s="535"/>
      <c r="BB7" s="535"/>
      <c r="BC7" s="535"/>
      <c r="BD7" s="535"/>
      <c r="BE7" s="535"/>
      <c r="BF7" s="535"/>
    </row>
    <row r="8" spans="2:58" s="98" customFormat="1" ht="62.25" customHeight="1" x14ac:dyDescent="0.9">
      <c r="B8" s="357">
        <f>+B7</f>
        <v>1</v>
      </c>
      <c r="C8" s="408"/>
      <c r="D8" s="184"/>
      <c r="E8" s="111">
        <f>+B7</f>
        <v>1</v>
      </c>
      <c r="F8" s="409"/>
      <c r="G8" s="541" t="str">
        <f>+G6</f>
        <v>2395-582-401</v>
      </c>
      <c r="H8" s="411" t="s">
        <v>412</v>
      </c>
      <c r="I8" s="113">
        <f>+IFERROR(IF(K9=0,0,IF((LOOKUP(2,1/(M8:W8&lt;&gt;""),M8:W8)-K9)&lt;0,0,IF(K9=0,"",LOOKUP(2,1/(M8:W8&lt;&gt;""),M8:W8)-K9))),0)</f>
        <v>0</v>
      </c>
      <c r="J8" s="113">
        <v>1</v>
      </c>
      <c r="K8" s="114" t="s">
        <v>22</v>
      </c>
      <c r="L8" s="102" t="s">
        <v>18</v>
      </c>
      <c r="M8" s="448">
        <v>47</v>
      </c>
      <c r="N8" s="448">
        <v>47</v>
      </c>
      <c r="O8" s="448">
        <v>47</v>
      </c>
      <c r="P8" s="448"/>
      <c r="Q8" s="448"/>
      <c r="R8" s="448"/>
      <c r="S8" s="448"/>
      <c r="T8" s="448"/>
      <c r="U8" s="448"/>
      <c r="V8" s="448"/>
      <c r="W8" s="448"/>
      <c r="X8" s="160">
        <f>+IF(H8="l",IF(COUNTA(M7:W7)=AK9+0.25,AA7-K7*AK9,AA7-(K7*COUNTA(M7:W7))),IF(H8="s",0,IF(COUNTA(M7:W7)=AK9+0.25,SUMIF($C:$C,B7,$AA:$AA)-K7*AK9,SUMIF($C:$C,B7,$AA:$AA)-K7*COUNTA(M7:W7))))</f>
        <v>0</v>
      </c>
      <c r="Y8" s="466"/>
      <c r="Z8" s="534"/>
      <c r="AA8" s="462">
        <f t="shared" ref="AA8:AA9" si="5">+SUM(M8:W8)-U8*0.25</f>
        <v>141</v>
      </c>
      <c r="AB8" s="360"/>
      <c r="AC8" s="360"/>
      <c r="AD8" s="362"/>
      <c r="AE8" s="363"/>
      <c r="AF8" s="346"/>
      <c r="AG8" s="347">
        <f t="shared" si="2"/>
        <v>0</v>
      </c>
      <c r="AH8" s="341">
        <f t="shared" si="3"/>
        <v>0</v>
      </c>
      <c r="AI8" s="341"/>
      <c r="AJ8" s="341"/>
      <c r="AK8" s="348"/>
      <c r="AL8" s="349">
        <f>+IF(AK9=7.75,SUM(M8:S8)+T8*0.75,IF(AK9=8,SUM(M8:T8),IF(AK9=7.25,SUM(M8:S8)+T8*0.25,IF(AK9=8.25,SUM(M8:T8)+U8*0.25,IF(AK9=8.75,SUM(M8:T8)+U8*0.75,0)))))</f>
        <v>141</v>
      </c>
      <c r="AM8" s="341">
        <f>+AL8-AA8</f>
        <v>0</v>
      </c>
      <c r="AN8" s="341"/>
      <c r="AO8" s="341"/>
      <c r="AP8" s="341"/>
      <c r="AQ8" s="438"/>
      <c r="AR8" s="434"/>
      <c r="AT8" s="390"/>
      <c r="AV8" s="390"/>
    </row>
    <row r="9" spans="2:58" s="98" customFormat="1" ht="62.25" customHeight="1" thickBot="1" x14ac:dyDescent="0.95">
      <c r="B9" s="364">
        <f>+B7</f>
        <v>1</v>
      </c>
      <c r="C9" s="410"/>
      <c r="D9" s="174" t="s">
        <v>77</v>
      </c>
      <c r="E9" s="175">
        <f>+E8+100</f>
        <v>101</v>
      </c>
      <c r="F9" s="175"/>
      <c r="G9" s="542" t="str">
        <f>+G6</f>
        <v>2395-582-401</v>
      </c>
      <c r="H9" s="117"/>
      <c r="I9" s="442"/>
      <c r="J9" s="165">
        <f>+IF(K9="","",IF(K7=0,"",(K7*J7)/(K9*60)))</f>
        <v>0.84590425531914903</v>
      </c>
      <c r="K9" s="118">
        <v>47</v>
      </c>
      <c r="L9" s="104" t="s">
        <v>19</v>
      </c>
      <c r="M9" s="216">
        <v>1</v>
      </c>
      <c r="N9" s="216">
        <v>1</v>
      </c>
      <c r="O9" s="216">
        <v>1</v>
      </c>
      <c r="P9" s="216"/>
      <c r="Q9" s="216"/>
      <c r="R9" s="216"/>
      <c r="S9" s="216"/>
      <c r="T9" s="216"/>
      <c r="U9" s="216"/>
      <c r="V9" s="216"/>
      <c r="W9" s="216"/>
      <c r="X9" s="173"/>
      <c r="Y9" s="467">
        <v>12.694736842105264</v>
      </c>
      <c r="Z9" s="497">
        <v>12.694736842105264</v>
      </c>
      <c r="AA9" s="465">
        <f t="shared" si="5"/>
        <v>3</v>
      </c>
      <c r="AB9" s="367"/>
      <c r="AC9" s="367"/>
      <c r="AD9" s="368">
        <f>+IFERROR(AD7/(K7*$AQ$3),"")</f>
        <v>1.0085213032581453</v>
      </c>
      <c r="AE9" s="369"/>
      <c r="AF9" s="347"/>
      <c r="AG9" s="347">
        <f t="shared" si="2"/>
        <v>0</v>
      </c>
      <c r="AH9" s="341">
        <f t="shared" si="3"/>
        <v>0</v>
      </c>
      <c r="AI9" s="341"/>
      <c r="AJ9" s="356"/>
      <c r="AK9" s="370">
        <f>+$AJ$4</f>
        <v>8.75</v>
      </c>
      <c r="AL9" s="349">
        <f>+IF(AK9=7.75,SUM(M9:S9)+T9*0.75,IF(AK9=8,SUM(M9:T9),IF(AK9=7.25,SUM(M9:S9)+T9*0.25,IF(AK9=8.25,SUM(M9:T9)+U9*0.25,IF(AK9=8.75,SUM(M9:T9)+U9*0.75,0)))))</f>
        <v>3</v>
      </c>
      <c r="AM9" s="341">
        <f>+AL9-AA9</f>
        <v>0</v>
      </c>
      <c r="AN9" s="341"/>
      <c r="AO9" s="341"/>
      <c r="AP9" s="341"/>
      <c r="AQ9" s="369"/>
      <c r="AR9" s="434"/>
      <c r="AT9" s="390">
        <v>0.9503759398496241</v>
      </c>
      <c r="AV9" s="390"/>
    </row>
    <row r="10" spans="2:58" s="98" customFormat="1" ht="62.25" customHeight="1" thickTop="1" x14ac:dyDescent="0.9">
      <c r="B10" s="342">
        <f>+B11</f>
        <v>2</v>
      </c>
      <c r="C10" s="405"/>
      <c r="D10" s="106"/>
      <c r="E10" s="106"/>
      <c r="F10" s="106"/>
      <c r="G10" s="540" t="s">
        <v>481</v>
      </c>
      <c r="H10" s="106"/>
      <c r="I10" s="106"/>
      <c r="J10" s="107" t="s">
        <v>20</v>
      </c>
      <c r="K10" s="108" t="s">
        <v>23</v>
      </c>
      <c r="L10" s="100" t="s">
        <v>21</v>
      </c>
      <c r="M10" s="448">
        <v>60</v>
      </c>
      <c r="N10" s="448">
        <v>120</v>
      </c>
      <c r="O10" s="448"/>
      <c r="P10" s="448"/>
      <c r="Q10" s="448"/>
      <c r="R10" s="448"/>
      <c r="S10" s="448"/>
      <c r="T10" s="448"/>
      <c r="U10" s="448"/>
      <c r="V10" s="448"/>
      <c r="W10" s="448"/>
      <c r="X10" s="447">
        <f t="shared" ref="X10:X70" si="6">IF(AQ11="","",SUM(M10:W10)-(-(AQ11-SUM(M10:W10))/$AQ$3)*SUM($M$2:$W$2))</f>
        <v>180</v>
      </c>
      <c r="Y10" s="466">
        <v>0.25</v>
      </c>
      <c r="Z10" s="533">
        <f>+X12</f>
        <v>-12</v>
      </c>
      <c r="AA10" s="447">
        <f t="shared" ref="AA10:AA71" si="7">+SUM(L10:W10)</f>
        <v>180</v>
      </c>
      <c r="AB10" s="343">
        <f>+AC10+AA10</f>
        <v>5016</v>
      </c>
      <c r="AC10" s="343">
        <v>4836</v>
      </c>
      <c r="AD10" s="344"/>
      <c r="AE10" s="345"/>
      <c r="AF10" s="346"/>
      <c r="AG10" s="347">
        <f t="shared" si="2"/>
        <v>0</v>
      </c>
      <c r="AH10" s="341">
        <f t="shared" si="3"/>
        <v>0</v>
      </c>
      <c r="AI10" s="341"/>
      <c r="AJ10" s="341"/>
      <c r="AK10" s="348"/>
      <c r="AL10" s="349"/>
      <c r="AM10" s="341"/>
      <c r="AN10" s="341"/>
      <c r="AO10" s="341"/>
      <c r="AP10" s="341"/>
      <c r="AQ10" s="350"/>
      <c r="AR10" s="434"/>
      <c r="AT10" s="390"/>
      <c r="AV10" s="390"/>
    </row>
    <row r="11" spans="2:58" s="98" customFormat="1" ht="62.25" customHeight="1" x14ac:dyDescent="1.35">
      <c r="B11" s="351">
        <v>2</v>
      </c>
      <c r="C11" s="406">
        <f>+B11</f>
        <v>2</v>
      </c>
      <c r="D11" s="407" t="s">
        <v>480</v>
      </c>
      <c r="E11" s="111"/>
      <c r="F11" s="111" t="s">
        <v>35</v>
      </c>
      <c r="G11" s="541" t="str">
        <f t="shared" ref="G11:G13" si="8">+G10</f>
        <v>2396-593-600</v>
      </c>
      <c r="H11" s="111"/>
      <c r="I11" s="111" t="s">
        <v>33</v>
      </c>
      <c r="J11" s="113">
        <v>38.82</v>
      </c>
      <c r="K11" s="494">
        <v>61</v>
      </c>
      <c r="L11" s="101" t="s">
        <v>17</v>
      </c>
      <c r="M11" s="214">
        <v>46</v>
      </c>
      <c r="N11" s="214">
        <v>63</v>
      </c>
      <c r="O11" s="214">
        <v>62</v>
      </c>
      <c r="P11" s="214"/>
      <c r="Q11" s="214"/>
      <c r="R11" s="214"/>
      <c r="S11" s="214"/>
      <c r="T11" s="214"/>
      <c r="U11" s="214"/>
      <c r="V11" s="214"/>
      <c r="W11" s="214"/>
      <c r="X11" s="123">
        <f>+IF(H12="s",0,IF(AA11=0,0,IF(COUNTA(M11:W11)=AK13+0.25,SUMIF($C:$C,B11,$AA:$AA)/AK13,SUMIF($C:$C,B11,$AA:$AA)/(COUNTA(M11:W11)))))</f>
        <v>57</v>
      </c>
      <c r="Y11" s="466"/>
      <c r="Z11" s="534"/>
      <c r="AA11" s="134">
        <f t="shared" si="7"/>
        <v>171</v>
      </c>
      <c r="AB11" s="354">
        <f>+AA11+AC11</f>
        <v>4204</v>
      </c>
      <c r="AC11" s="354">
        <v>4033</v>
      </c>
      <c r="AD11" s="355">
        <f>+AB10-AB11</f>
        <v>812</v>
      </c>
      <c r="AE11" s="131">
        <f>+IF(((AA12+(AA13/2))*60)=0,"",(J11*AA11)/((AA12+(AA13/2))*60))</f>
        <v>0.83815909090909091</v>
      </c>
      <c r="AF11" s="347">
        <f>+AA12+AA13/2</f>
        <v>132</v>
      </c>
      <c r="AG11" s="347">
        <f t="shared" si="2"/>
        <v>132</v>
      </c>
      <c r="AH11" s="341">
        <f t="shared" si="3"/>
        <v>7920</v>
      </c>
      <c r="AI11" s="341">
        <f>+AA11*J11</f>
        <v>6638.22</v>
      </c>
      <c r="AJ11" s="356">
        <f>+AA11-(AF11*K11/K13)</f>
        <v>-16.255813953488371</v>
      </c>
      <c r="AK11" s="348"/>
      <c r="AL11" s="349"/>
      <c r="AM11" s="341"/>
      <c r="AN11" s="341"/>
      <c r="AO11" s="341"/>
      <c r="AP11" s="341"/>
      <c r="AQ11" s="339">
        <f t="shared" ref="AQ11" si="9">IF(AR11=0,"",AT11-(($AQ$3*K11)+($AQ$3*K11)*AR11)+AA10)</f>
        <v>-351.375</v>
      </c>
      <c r="AR11" s="434">
        <v>1.5</v>
      </c>
      <c r="AT11" s="390">
        <v>803</v>
      </c>
      <c r="AV11" s="390">
        <f>+AT11-AD11</f>
        <v>-9</v>
      </c>
      <c r="AW11" s="535"/>
      <c r="AX11" s="535"/>
      <c r="AY11" s="535"/>
      <c r="AZ11" s="535"/>
      <c r="BA11" s="535"/>
      <c r="BB11" s="535"/>
      <c r="BC11" s="535"/>
      <c r="BD11" s="535"/>
      <c r="BE11" s="535"/>
      <c r="BF11" s="535"/>
    </row>
    <row r="12" spans="2:58" s="98" customFormat="1" ht="62.25" customHeight="1" x14ac:dyDescent="0.9">
      <c r="B12" s="357">
        <f>+B11</f>
        <v>2</v>
      </c>
      <c r="C12" s="408"/>
      <c r="D12" s="184"/>
      <c r="E12" s="111"/>
      <c r="F12" s="409"/>
      <c r="G12" s="541" t="str">
        <f t="shared" si="8"/>
        <v>2396-593-600</v>
      </c>
      <c r="H12" s="411" t="s">
        <v>412</v>
      </c>
      <c r="I12" s="113">
        <f>+IFERROR(IF(K13=0,0,IF((LOOKUP(2,1/(M12:W12&lt;&gt;""),M12:W12)-K13)&lt;0,0,IF(K13=0,"",LOOKUP(2,1/(M12:W12&lt;&gt;""),M12:W12)-K13))),0)</f>
        <v>1</v>
      </c>
      <c r="J12" s="113">
        <v>3</v>
      </c>
      <c r="K12" s="114" t="s">
        <v>22</v>
      </c>
      <c r="L12" s="102" t="s">
        <v>18</v>
      </c>
      <c r="M12" s="448">
        <v>44</v>
      </c>
      <c r="N12" s="448">
        <v>44</v>
      </c>
      <c r="O12" s="448">
        <v>44</v>
      </c>
      <c r="P12" s="448"/>
      <c r="Q12" s="448"/>
      <c r="R12" s="448"/>
      <c r="S12" s="448"/>
      <c r="T12" s="448"/>
      <c r="U12" s="448"/>
      <c r="V12" s="448"/>
      <c r="W12" s="448"/>
      <c r="X12" s="160">
        <f>+IF(H12="l",IF(COUNTA(M11:W11)=AK13+0.25,AA11-K11*AK13,AA11-(K11*COUNTA(M11:W11))),IF(H12="s",0,IF(COUNTA(M11:W11)=AK13+0.25,SUMIF($C:$C,B11,$AA:$AA)-K11*AK13,SUMIF($C:$C,B11,$AA:$AA)-K11*COUNTA(M11:W11))))</f>
        <v>-12</v>
      </c>
      <c r="Y12" s="466"/>
      <c r="Z12" s="534"/>
      <c r="AA12" s="462">
        <f t="shared" ref="AA12:AA73" si="10">+SUM(M12:W12)-U12*0.25</f>
        <v>132</v>
      </c>
      <c r="AB12" s="360"/>
      <c r="AC12" s="360"/>
      <c r="AD12" s="362"/>
      <c r="AE12" s="363"/>
      <c r="AF12" s="346"/>
      <c r="AG12" s="347">
        <f t="shared" si="2"/>
        <v>0</v>
      </c>
      <c r="AH12" s="341">
        <f t="shared" si="3"/>
        <v>0</v>
      </c>
      <c r="AI12" s="341"/>
      <c r="AJ12" s="341"/>
      <c r="AK12" s="348"/>
      <c r="AL12" s="349">
        <f>+IF(AK13=7.75,SUM(M12:S12)+T12*0.75,IF(AK13=8,SUM(M12:T12),IF(AK13=7.25,SUM(M12:S12)+T12*0.25,IF(AK13=8.25,SUM(M12:T12)+U12*0.25,IF(AK13=8.75,SUM(M12:T12)+U12*0.75,0)))))</f>
        <v>132</v>
      </c>
      <c r="AM12" s="341">
        <f>+AL12-AA12</f>
        <v>0</v>
      </c>
      <c r="AN12" s="341"/>
      <c r="AO12" s="341"/>
      <c r="AP12" s="341"/>
      <c r="AQ12" s="438"/>
      <c r="AR12" s="434"/>
      <c r="AT12" s="390"/>
      <c r="AV12" s="390"/>
    </row>
    <row r="13" spans="2:58" s="98" customFormat="1" ht="62.25" customHeight="1" thickBot="1" x14ac:dyDescent="0.95">
      <c r="B13" s="364">
        <f>+B11</f>
        <v>2</v>
      </c>
      <c r="C13" s="410"/>
      <c r="D13" s="174" t="s">
        <v>419</v>
      </c>
      <c r="E13" s="175"/>
      <c r="F13" s="175"/>
      <c r="G13" s="542" t="str">
        <f t="shared" si="8"/>
        <v>2396-593-600</v>
      </c>
      <c r="H13" s="117"/>
      <c r="I13" s="442"/>
      <c r="J13" s="165">
        <f>+IF(K13="","",IF(K11=0,"",(K11*J11)/(K13*60)))</f>
        <v>0.9178372093023256</v>
      </c>
      <c r="K13" s="118">
        <v>43</v>
      </c>
      <c r="L13" s="104" t="s">
        <v>19</v>
      </c>
      <c r="M13" s="216"/>
      <c r="N13" s="216"/>
      <c r="O13" s="216"/>
      <c r="P13" s="216"/>
      <c r="Q13" s="216"/>
      <c r="R13" s="216"/>
      <c r="S13" s="216"/>
      <c r="T13" s="216"/>
      <c r="U13" s="216"/>
      <c r="V13" s="216"/>
      <c r="W13" s="216"/>
      <c r="X13" s="173"/>
      <c r="Y13" s="467">
        <v>9.8341269841269856</v>
      </c>
      <c r="Z13" s="365">
        <v>9.8341269841269856</v>
      </c>
      <c r="AA13" s="465">
        <f t="shared" si="10"/>
        <v>0</v>
      </c>
      <c r="AB13" s="367"/>
      <c r="AC13" s="367"/>
      <c r="AD13" s="368">
        <f>+IFERROR(AD11/(K11*$AQ$3),"")</f>
        <v>1.521311475409836</v>
      </c>
      <c r="AE13" s="369"/>
      <c r="AF13" s="347"/>
      <c r="AG13" s="347">
        <f t="shared" si="2"/>
        <v>0</v>
      </c>
      <c r="AH13" s="341">
        <f t="shared" si="3"/>
        <v>0</v>
      </c>
      <c r="AI13" s="341"/>
      <c r="AJ13" s="356"/>
      <c r="AK13" s="370">
        <f>+$AJ$4</f>
        <v>8.75</v>
      </c>
      <c r="AL13" s="349">
        <f>+IF(AK13=7.75,SUM(M13:S13)+T13*0.75,IF(AK13=8,SUM(M13:T13),IF(AK13=7.25,SUM(M13:S13)+T13*0.25,IF(AK13=8.25,SUM(M13:T13)+U13*0.25,IF(AK13=8.75,SUM(M13:T13)+U13*0.75,0)))))</f>
        <v>0</v>
      </c>
      <c r="AM13" s="341">
        <f>+AL13-AA13</f>
        <v>0</v>
      </c>
      <c r="AN13" s="341"/>
      <c r="AO13" s="341"/>
      <c r="AP13" s="341"/>
      <c r="AQ13" s="369"/>
      <c r="AR13" s="434"/>
      <c r="AT13" s="390">
        <v>1.5044496487119439</v>
      </c>
      <c r="AV13" s="390"/>
    </row>
    <row r="14" spans="2:58" s="98" customFormat="1" ht="62.25" customHeight="1" thickTop="1" x14ac:dyDescent="0.9">
      <c r="B14" s="342">
        <f>+B15</f>
        <v>3</v>
      </c>
      <c r="C14" s="405"/>
      <c r="D14" s="106"/>
      <c r="E14" s="106"/>
      <c r="F14" s="106"/>
      <c r="G14" s="540" t="s">
        <v>489</v>
      </c>
      <c r="H14" s="106"/>
      <c r="I14" s="106"/>
      <c r="J14" s="107" t="s">
        <v>20</v>
      </c>
      <c r="K14" s="108" t="s">
        <v>23</v>
      </c>
      <c r="L14" s="100" t="s">
        <v>21</v>
      </c>
      <c r="M14" s="448">
        <v>200</v>
      </c>
      <c r="N14" s="448">
        <v>182</v>
      </c>
      <c r="O14" s="448"/>
      <c r="P14" s="448"/>
      <c r="Q14" s="448"/>
      <c r="R14" s="448"/>
      <c r="S14" s="448"/>
      <c r="T14" s="448"/>
      <c r="U14" s="448"/>
      <c r="V14" s="448"/>
      <c r="W14" s="448"/>
      <c r="X14" s="447">
        <f t="shared" si="6"/>
        <v>382</v>
      </c>
      <c r="Y14" s="466">
        <v>-164</v>
      </c>
      <c r="Z14" s="533">
        <f>+X16</f>
        <v>-111</v>
      </c>
      <c r="AA14" s="447">
        <f t="shared" si="7"/>
        <v>382</v>
      </c>
      <c r="AB14" s="343">
        <f>+AC14+AA14</f>
        <v>3676</v>
      </c>
      <c r="AC14" s="343">
        <v>3294</v>
      </c>
      <c r="AD14" s="344"/>
      <c r="AE14" s="345"/>
      <c r="AF14" s="346"/>
      <c r="AG14" s="347"/>
      <c r="AH14" s="341"/>
      <c r="AI14" s="341"/>
      <c r="AJ14" s="341"/>
      <c r="AK14" s="348"/>
      <c r="AL14" s="349"/>
      <c r="AM14" s="341"/>
      <c r="AN14" s="341"/>
      <c r="AO14" s="341"/>
      <c r="AP14" s="341"/>
      <c r="AQ14" s="350"/>
      <c r="AR14" s="434"/>
      <c r="AT14" s="390"/>
      <c r="AV14" s="390"/>
    </row>
    <row r="15" spans="2:58" s="98" customFormat="1" ht="62.25" customHeight="1" x14ac:dyDescent="1.35">
      <c r="B15" s="351">
        <v>3</v>
      </c>
      <c r="C15" s="406">
        <v>3</v>
      </c>
      <c r="D15" s="407" t="s">
        <v>490</v>
      </c>
      <c r="E15" s="111"/>
      <c r="F15" s="111" t="s">
        <v>475</v>
      </c>
      <c r="G15" s="541" t="str">
        <f>+G14</f>
        <v xml:space="preserve">PAULSON  </v>
      </c>
      <c r="H15" s="111"/>
      <c r="I15" s="111" t="s">
        <v>41</v>
      </c>
      <c r="J15" s="113"/>
      <c r="K15" s="130">
        <v>80</v>
      </c>
      <c r="L15" s="101" t="s">
        <v>17</v>
      </c>
      <c r="M15" s="214">
        <v>45</v>
      </c>
      <c r="N15" s="214">
        <v>30</v>
      </c>
      <c r="O15" s="214">
        <v>54</v>
      </c>
      <c r="P15" s="214"/>
      <c r="Q15" s="214"/>
      <c r="R15" s="214"/>
      <c r="S15" s="214"/>
      <c r="T15" s="214"/>
      <c r="U15" s="214"/>
      <c r="V15" s="214"/>
      <c r="W15" s="214"/>
      <c r="X15" s="123">
        <f>+IF(H16="s",0,IF(AA15=0,0,IF(COUNTA(M15:W15)=AK17+0.25,SUMIF($C:$C,B15,$AA:$AA)/AK17,SUMIF($C:$C,B15,$AA:$AA)/(COUNTA(M15:W15)))))</f>
        <v>43</v>
      </c>
      <c r="Y15" s="466"/>
      <c r="Z15" s="534"/>
      <c r="AA15" s="134">
        <f t="shared" si="7"/>
        <v>129</v>
      </c>
      <c r="AB15" s="354">
        <f>+AA15+AC15</f>
        <v>1644</v>
      </c>
      <c r="AC15" s="354">
        <v>1515</v>
      </c>
      <c r="AD15" s="355">
        <f>+AB14-AB15</f>
        <v>2032</v>
      </c>
      <c r="AE15" s="131" t="str">
        <f>+IF(((AA16+(AA17/2))*60)=0,"",(J15*AA15)/((AA16+(AA17/2))*60))</f>
        <v/>
      </c>
      <c r="AF15" s="347"/>
      <c r="AG15" s="347"/>
      <c r="AH15" s="341"/>
      <c r="AI15" s="341"/>
      <c r="AJ15" s="356"/>
      <c r="AK15" s="348"/>
      <c r="AL15" s="349"/>
      <c r="AM15" s="341"/>
      <c r="AN15" s="341"/>
      <c r="AO15" s="341"/>
      <c r="AP15" s="341"/>
      <c r="AQ15" s="339">
        <f>-600+AA14</f>
        <v>-218</v>
      </c>
      <c r="AR15" s="434">
        <v>1.5</v>
      </c>
      <c r="AT15" s="390">
        <v>1779</v>
      </c>
      <c r="AV15" s="390">
        <f t="shared" ref="AV15" si="11">+AT15-AD15</f>
        <v>-253</v>
      </c>
      <c r="AW15" s="535"/>
      <c r="AX15" s="535"/>
      <c r="AY15" s="535"/>
      <c r="AZ15" s="535"/>
      <c r="BA15" s="535"/>
      <c r="BB15" s="535"/>
      <c r="BC15" s="535"/>
      <c r="BD15" s="535"/>
      <c r="BE15" s="535"/>
      <c r="BF15" s="535"/>
    </row>
    <row r="16" spans="2:58" s="98" customFormat="1" ht="62.25" customHeight="1" x14ac:dyDescent="0.9">
      <c r="B16" s="357">
        <f>+B15</f>
        <v>3</v>
      </c>
      <c r="C16" s="408"/>
      <c r="D16" s="184"/>
      <c r="E16" s="111">
        <f>+B15</f>
        <v>3</v>
      </c>
      <c r="F16" s="409"/>
      <c r="G16" s="541" t="str">
        <f>+G14</f>
        <v xml:space="preserve">PAULSON  </v>
      </c>
      <c r="H16" s="411"/>
      <c r="I16" s="113">
        <f>+IFERROR(IF(K17=0,0,IF((LOOKUP(2,1/(M16:W16&lt;&gt;""),M16:W16)-K17)&lt;0,0,IF(K17=0,"",LOOKUP(2,1/(M16:W16&lt;&gt;""),M16:W16)-K17))),0)</f>
        <v>0</v>
      </c>
      <c r="J16" s="113"/>
      <c r="K16" s="114" t="s">
        <v>22</v>
      </c>
      <c r="L16" s="102" t="s">
        <v>18</v>
      </c>
      <c r="M16" s="448"/>
      <c r="N16" s="448"/>
      <c r="O16" s="448"/>
      <c r="P16" s="448"/>
      <c r="Q16" s="448"/>
      <c r="R16" s="448"/>
      <c r="S16" s="448"/>
      <c r="T16" s="448"/>
      <c r="U16" s="448"/>
      <c r="V16" s="448"/>
      <c r="W16" s="448"/>
      <c r="X16" s="160">
        <f>+IF(H16="l",IF(COUNTA(M15:W15)=AK17+0.25,AA15-K15*AK17,AA15-(K15*COUNTA(M15:W15))),IF(H16="s",0,IF(COUNTA(M15:W15)=AK17+0.25,SUMIF($C:$C,B15,$AA:$AA)-K15*AK17,SUMIF($C:$C,B15,$AA:$AA)-K15*COUNTA(M15:W15))))</f>
        <v>-111</v>
      </c>
      <c r="Y16" s="466"/>
      <c r="Z16" s="534"/>
      <c r="AA16" s="462">
        <f t="shared" si="10"/>
        <v>0</v>
      </c>
      <c r="AB16" s="360"/>
      <c r="AC16" s="360"/>
      <c r="AD16" s="362"/>
      <c r="AE16" s="363"/>
      <c r="AF16" s="346"/>
      <c r="AG16" s="347"/>
      <c r="AH16" s="341"/>
      <c r="AI16" s="341"/>
      <c r="AJ16" s="341"/>
      <c r="AK16" s="348"/>
      <c r="AL16" s="349"/>
      <c r="AM16" s="341"/>
      <c r="AN16" s="341"/>
      <c r="AO16" s="341"/>
      <c r="AP16" s="341"/>
      <c r="AQ16" s="438"/>
      <c r="AR16" s="434"/>
      <c r="AT16" s="390"/>
      <c r="AV16" s="390"/>
    </row>
    <row r="17" spans="2:58" s="98" customFormat="1" ht="62.25" customHeight="1" thickBot="1" x14ac:dyDescent="0.95">
      <c r="B17" s="364">
        <f>+B15</f>
        <v>3</v>
      </c>
      <c r="C17" s="410"/>
      <c r="D17" s="174"/>
      <c r="E17" s="175">
        <f>+E16+100</f>
        <v>103</v>
      </c>
      <c r="F17" s="175"/>
      <c r="G17" s="542" t="str">
        <f>+G14</f>
        <v xml:space="preserve">PAULSON  </v>
      </c>
      <c r="H17" s="117"/>
      <c r="I17" s="442"/>
      <c r="J17" s="165" t="str">
        <f>+IF(K17="","",IF(K15=0,"",(K15*J15)/(K17*60)))</f>
        <v/>
      </c>
      <c r="K17" s="118"/>
      <c r="L17" s="104" t="s">
        <v>19</v>
      </c>
      <c r="M17" s="216"/>
      <c r="N17" s="216"/>
      <c r="O17" s="216"/>
      <c r="P17" s="216"/>
      <c r="Q17" s="216"/>
      <c r="R17" s="216"/>
      <c r="S17" s="216"/>
      <c r="T17" s="216"/>
      <c r="U17" s="216"/>
      <c r="V17" s="216"/>
      <c r="W17" s="216"/>
      <c r="X17" s="173"/>
      <c r="Y17" s="467">
        <v>45.622727272727268</v>
      </c>
      <c r="Z17" s="371">
        <f>+IF(COUNTA(M15:W15)=$AJ$4+0.25,$AJ$4-(AA15/K15),COUNTA(M15:W15)-(AA15/K15))+Y17</f>
        <v>47.010227272727271</v>
      </c>
      <c r="AA17" s="465">
        <f t="shared" si="10"/>
        <v>0</v>
      </c>
      <c r="AB17" s="367"/>
      <c r="AC17" s="367"/>
      <c r="AD17" s="368">
        <f>+IFERROR(AD15/(K15*$AQ$3),"")</f>
        <v>2.902857142857143</v>
      </c>
      <c r="AE17" s="369"/>
      <c r="AF17" s="347"/>
      <c r="AG17" s="347"/>
      <c r="AH17" s="341"/>
      <c r="AI17" s="341"/>
      <c r="AJ17" s="356"/>
      <c r="AK17" s="370">
        <f>+$AJ$4</f>
        <v>8.75</v>
      </c>
      <c r="AL17" s="349"/>
      <c r="AM17" s="341"/>
      <c r="AN17" s="341"/>
      <c r="AO17" s="341"/>
      <c r="AP17" s="341"/>
      <c r="AQ17" s="369"/>
      <c r="AR17" s="434"/>
      <c r="AT17" s="390">
        <v>2.5414285714285714</v>
      </c>
      <c r="AV17" s="390"/>
    </row>
    <row r="18" spans="2:58" s="98" customFormat="1" ht="62.25" customHeight="1" thickTop="1" x14ac:dyDescent="0.9">
      <c r="B18" s="342">
        <f>+B19</f>
        <v>4</v>
      </c>
      <c r="C18" s="405"/>
      <c r="D18" s="106"/>
      <c r="E18" s="106"/>
      <c r="F18" s="106"/>
      <c r="G18" s="540" t="s">
        <v>494</v>
      </c>
      <c r="H18" s="106"/>
      <c r="I18" s="106"/>
      <c r="J18" s="107" t="s">
        <v>20</v>
      </c>
      <c r="K18" s="108" t="s">
        <v>23</v>
      </c>
      <c r="L18" s="100" t="s">
        <v>21</v>
      </c>
      <c r="M18" s="448">
        <v>50</v>
      </c>
      <c r="N18" s="448">
        <v>100</v>
      </c>
      <c r="O18" s="448"/>
      <c r="P18" s="448"/>
      <c r="Q18" s="448"/>
      <c r="R18" s="448"/>
      <c r="S18" s="448"/>
      <c r="T18" s="448"/>
      <c r="U18" s="448"/>
      <c r="V18" s="448"/>
      <c r="W18" s="448"/>
      <c r="X18" s="447">
        <f t="shared" si="6"/>
        <v>150</v>
      </c>
      <c r="Y18" s="466">
        <v>-347.75</v>
      </c>
      <c r="Z18" s="533">
        <f>+X20</f>
        <v>-62</v>
      </c>
      <c r="AA18" s="447">
        <f t="shared" si="7"/>
        <v>150</v>
      </c>
      <c r="AB18" s="343">
        <f>+AC18+AA18</f>
        <v>750</v>
      </c>
      <c r="AC18" s="343">
        <v>600</v>
      </c>
      <c r="AD18" s="344"/>
      <c r="AE18" s="345"/>
      <c r="AF18" s="346"/>
      <c r="AG18" s="347">
        <f t="shared" si="2"/>
        <v>0</v>
      </c>
      <c r="AH18" s="341">
        <f t="shared" si="3"/>
        <v>0</v>
      </c>
      <c r="AI18" s="341"/>
      <c r="AJ18" s="341"/>
      <c r="AK18" s="348"/>
      <c r="AL18" s="349"/>
      <c r="AM18" s="341"/>
      <c r="AN18" s="341"/>
      <c r="AO18" s="341"/>
      <c r="AP18" s="341"/>
      <c r="AQ18" s="350"/>
      <c r="AR18" s="434"/>
      <c r="AT18" s="390"/>
      <c r="AV18" s="390"/>
    </row>
    <row r="19" spans="2:58" s="98" customFormat="1" ht="62.25" customHeight="1" x14ac:dyDescent="0.9">
      <c r="B19" s="351">
        <v>4</v>
      </c>
      <c r="C19" s="406">
        <f>+B19</f>
        <v>4</v>
      </c>
      <c r="D19" s="407" t="s">
        <v>493</v>
      </c>
      <c r="E19" s="111"/>
      <c r="F19" s="111" t="s">
        <v>35</v>
      </c>
      <c r="G19" s="541" t="str">
        <f>+G18</f>
        <v>2395-582-401</v>
      </c>
      <c r="H19" s="111"/>
      <c r="I19" s="111" t="s">
        <v>33</v>
      </c>
      <c r="J19" s="113">
        <v>41.85</v>
      </c>
      <c r="K19" s="130">
        <v>57</v>
      </c>
      <c r="L19" s="101" t="s">
        <v>17</v>
      </c>
      <c r="M19" s="214">
        <v>32</v>
      </c>
      <c r="N19" s="214">
        <v>37</v>
      </c>
      <c r="O19" s="214">
        <v>40</v>
      </c>
      <c r="P19" s="214"/>
      <c r="Q19" s="214"/>
      <c r="R19" s="214"/>
      <c r="S19" s="214"/>
      <c r="T19" s="214"/>
      <c r="U19" s="214"/>
      <c r="V19" s="214"/>
      <c r="W19" s="214"/>
      <c r="X19" s="123">
        <f>+IF(H20="s",0,IF(AA19=0,0,IF(COUNTA(M19:W19)=AK21+0.25,SUMIF($C:$C,B19,$AA:$AA)/AK21,SUMIF($C:$C,B19,$AA:$AA)/(COUNTA(M19:W19)))))</f>
        <v>36.333333333333336</v>
      </c>
      <c r="Y19" s="466"/>
      <c r="Z19" s="534"/>
      <c r="AA19" s="134">
        <f t="shared" si="7"/>
        <v>109</v>
      </c>
      <c r="AB19" s="354">
        <f>+AA19+AC19</f>
        <v>260</v>
      </c>
      <c r="AC19" s="354">
        <v>151</v>
      </c>
      <c r="AD19" s="355">
        <f>+AB18-AB19</f>
        <v>490</v>
      </c>
      <c r="AE19" s="131">
        <f>+IF(((AA20+(AA21/2))*60)=0,"",(J19*AA19)/((AA20+(AA21/2))*60))</f>
        <v>0.53352631578947374</v>
      </c>
      <c r="AF19" s="347">
        <f>+AA20+AA21/2</f>
        <v>142.5</v>
      </c>
      <c r="AG19" s="347">
        <f t="shared" si="2"/>
        <v>142.30000000000001</v>
      </c>
      <c r="AH19" s="341">
        <f t="shared" si="3"/>
        <v>8550</v>
      </c>
      <c r="AI19" s="341">
        <f>+AA19*J19</f>
        <v>4561.6500000000005</v>
      </c>
      <c r="AJ19" s="356">
        <f>+AA19-(AF19*K19/K21)</f>
        <v>-63.819148936170222</v>
      </c>
      <c r="AK19" s="348"/>
      <c r="AL19" s="349"/>
      <c r="AM19" s="341"/>
      <c r="AN19" s="341"/>
      <c r="AO19" s="341"/>
      <c r="AP19" s="341"/>
      <c r="AQ19" s="339">
        <f>-540+AA18</f>
        <v>-390</v>
      </c>
      <c r="AR19" s="434">
        <v>1.5</v>
      </c>
      <c r="AT19" s="390">
        <v>449</v>
      </c>
      <c r="AV19" s="390">
        <f t="shared" ref="AV19" si="12">+AT19-AD19</f>
        <v>-41</v>
      </c>
    </row>
    <row r="20" spans="2:58" s="98" customFormat="1" ht="62.25" customHeight="1" x14ac:dyDescent="0.9">
      <c r="B20" s="357">
        <f>+B19</f>
        <v>4</v>
      </c>
      <c r="C20" s="408"/>
      <c r="D20" s="184"/>
      <c r="E20" s="111">
        <f>+B19</f>
        <v>4</v>
      </c>
      <c r="F20" s="409"/>
      <c r="G20" s="541" t="str">
        <f>+G18</f>
        <v>2395-582-401</v>
      </c>
      <c r="H20" s="411" t="s">
        <v>413</v>
      </c>
      <c r="I20" s="113">
        <f>+IFERROR(IF(K21=0,0,IF((LOOKUP(2,1/(M20:W20&lt;&gt;""),M20:W20)-K21)&lt;0,0,IF(K21=0,"",LOOKUP(2,1/(M20:W20&lt;&gt;""),M20:W20)-K21))),0)</f>
        <v>0</v>
      </c>
      <c r="J20" s="113">
        <v>1</v>
      </c>
      <c r="K20" s="114" t="s">
        <v>22</v>
      </c>
      <c r="L20" s="102" t="s">
        <v>18</v>
      </c>
      <c r="M20" s="448">
        <v>47</v>
      </c>
      <c r="N20" s="448">
        <v>47</v>
      </c>
      <c r="O20" s="448">
        <v>47</v>
      </c>
      <c r="P20" s="448"/>
      <c r="Q20" s="448"/>
      <c r="R20" s="448"/>
      <c r="S20" s="448"/>
      <c r="T20" s="448"/>
      <c r="U20" s="448"/>
      <c r="V20" s="448"/>
      <c r="W20" s="448"/>
      <c r="X20" s="160">
        <f>+IF(H20="l",IF(COUNTA(M19:W19)=AK21+0.25,AA19-K19*AK21,AA19-(K19*COUNTA(M19:W19))),IF(H20="s",0,IF(COUNTA(M19:W19)=AK21+0.25,SUMIF($C:$C,B19,$AA:$AA)-K19*AK21,SUMIF($C:$C,B19,$AA:$AA)-K19*COUNTA(M19:W19))))</f>
        <v>-62</v>
      </c>
      <c r="Y20" s="466"/>
      <c r="Z20" s="534"/>
      <c r="AA20" s="462">
        <f t="shared" si="10"/>
        <v>141</v>
      </c>
      <c r="AB20" s="360"/>
      <c r="AC20" s="360"/>
      <c r="AD20" s="362"/>
      <c r="AE20" s="363"/>
      <c r="AF20" s="346"/>
      <c r="AG20" s="347">
        <f t="shared" si="2"/>
        <v>0</v>
      </c>
      <c r="AH20" s="341">
        <f t="shared" si="3"/>
        <v>0</v>
      </c>
      <c r="AI20" s="341"/>
      <c r="AJ20" s="341"/>
      <c r="AK20" s="348"/>
      <c r="AL20" s="349">
        <f>+IF(AK21=7.75,SUM(M20:S20)+T20*0.75,IF(AK21=8,SUM(M20:T20),IF(AK21=7.25,SUM(M20:S20)+T20*0.25,IF(AK21=8.25,SUM(M20:T20)+U20*0.25,IF(AK21=8.75,SUM(M20:T20)+U20*0.75,0)))))</f>
        <v>141</v>
      </c>
      <c r="AM20" s="341">
        <f>+AL20-AA20</f>
        <v>0</v>
      </c>
      <c r="AN20" s="341"/>
      <c r="AO20" s="341"/>
      <c r="AP20" s="341"/>
      <c r="AQ20" s="438"/>
      <c r="AR20" s="434"/>
      <c r="AT20" s="390"/>
      <c r="AV20" s="390"/>
    </row>
    <row r="21" spans="2:58" s="98" customFormat="1" ht="62.25" customHeight="1" thickBot="1" x14ac:dyDescent="0.95">
      <c r="B21" s="364">
        <f>+B19</f>
        <v>4</v>
      </c>
      <c r="C21" s="410"/>
      <c r="D21" s="174" t="s">
        <v>420</v>
      </c>
      <c r="E21" s="175">
        <f>+E20+100</f>
        <v>104</v>
      </c>
      <c r="F21" s="175"/>
      <c r="G21" s="542" t="str">
        <f>+G18</f>
        <v>2395-582-401</v>
      </c>
      <c r="H21" s="117"/>
      <c r="I21" s="442"/>
      <c r="J21" s="165">
        <f>+IF(K21="","",IF(K19=0,"",(K19*J19)/(K21*60)))</f>
        <v>0.84590425531914903</v>
      </c>
      <c r="K21" s="118">
        <v>47</v>
      </c>
      <c r="L21" s="104" t="s">
        <v>19</v>
      </c>
      <c r="M21" s="216">
        <v>1</v>
      </c>
      <c r="N21" s="216">
        <v>1</v>
      </c>
      <c r="O21" s="216">
        <v>1</v>
      </c>
      <c r="P21" s="216"/>
      <c r="Q21" s="216"/>
      <c r="R21" s="216"/>
      <c r="S21" s="216"/>
      <c r="T21" s="216"/>
      <c r="U21" s="216"/>
      <c r="V21" s="216"/>
      <c r="W21" s="216"/>
      <c r="X21" s="173"/>
      <c r="Y21" s="467">
        <v>9.8918771929824558</v>
      </c>
      <c r="Z21" s="371">
        <f>+IF(COUNTA(M19:W19)=$AJ$4+0.25,$AJ$4-(AA19/K19),COUNTA(M19:W19)-(AA19/K19))+Y21</f>
        <v>10.979596491228071</v>
      </c>
      <c r="AA21" s="465">
        <f t="shared" si="10"/>
        <v>3</v>
      </c>
      <c r="AB21" s="367"/>
      <c r="AC21" s="367"/>
      <c r="AD21" s="368">
        <f>+IFERROR(AD19/(K19*$AQ$3),"")</f>
        <v>0.98245614035087714</v>
      </c>
      <c r="AE21" s="369"/>
      <c r="AF21" s="347"/>
      <c r="AG21" s="347">
        <f t="shared" si="2"/>
        <v>0</v>
      </c>
      <c r="AH21" s="341">
        <f t="shared" si="3"/>
        <v>0</v>
      </c>
      <c r="AI21" s="341"/>
      <c r="AJ21" s="356"/>
      <c r="AK21" s="370">
        <f>+$AJ$4</f>
        <v>8.75</v>
      </c>
      <c r="AL21" s="349">
        <f>+IF(AK21=7.75,SUM(M21:S21)+T21*0.75,IF(AK21=8,SUM(M21:T21),IF(AK21=7.25,SUM(M21:S21)+T21*0.25,IF(AK21=8.25,SUM(M21:T21)+U21*0.25,IF(AK21=8.75,SUM(M21:T21)+U21*0.75,0)))))</f>
        <v>3</v>
      </c>
      <c r="AM21" s="341">
        <f>+AL21-AA21</f>
        <v>0</v>
      </c>
      <c r="AN21" s="341"/>
      <c r="AO21" s="341"/>
      <c r="AP21" s="341"/>
      <c r="AQ21" s="369"/>
      <c r="AR21" s="434"/>
      <c r="AT21" s="390">
        <v>0.90025062656641608</v>
      </c>
      <c r="AV21" s="390"/>
    </row>
    <row r="22" spans="2:58" s="98" customFormat="1" ht="62.25" customHeight="1" thickTop="1" x14ac:dyDescent="0.9">
      <c r="B22" s="342">
        <f>+B23</f>
        <v>5</v>
      </c>
      <c r="C22" s="405"/>
      <c r="D22" s="106"/>
      <c r="E22" s="106"/>
      <c r="F22" s="106"/>
      <c r="G22" s="540" t="s">
        <v>481</v>
      </c>
      <c r="H22" s="106"/>
      <c r="I22" s="111"/>
      <c r="J22" s="107" t="s">
        <v>20</v>
      </c>
      <c r="K22" s="108" t="s">
        <v>23</v>
      </c>
      <c r="L22" s="100" t="s">
        <v>21</v>
      </c>
      <c r="M22" s="448">
        <v>180</v>
      </c>
      <c r="N22" s="448">
        <v>120</v>
      </c>
      <c r="O22" s="448"/>
      <c r="P22" s="448"/>
      <c r="Q22" s="448"/>
      <c r="R22" s="448"/>
      <c r="S22" s="448"/>
      <c r="T22" s="448"/>
      <c r="U22" s="448"/>
      <c r="V22" s="448"/>
      <c r="W22" s="448"/>
      <c r="X22" s="447">
        <f t="shared" si="6"/>
        <v>300</v>
      </c>
      <c r="Y22" s="466">
        <v>0</v>
      </c>
      <c r="Z22" s="533">
        <f>+X24</f>
        <v>0</v>
      </c>
      <c r="AA22" s="447">
        <f t="shared" si="7"/>
        <v>300</v>
      </c>
      <c r="AB22" s="343">
        <f>+AC22+AA22</f>
        <v>3720</v>
      </c>
      <c r="AC22" s="343">
        <v>3420</v>
      </c>
      <c r="AD22" s="344"/>
      <c r="AE22" s="345"/>
      <c r="AF22" s="346"/>
      <c r="AG22" s="347">
        <f t="shared" si="2"/>
        <v>0</v>
      </c>
      <c r="AH22" s="341">
        <f t="shared" si="3"/>
        <v>0</v>
      </c>
      <c r="AI22" s="341"/>
      <c r="AJ22" s="341"/>
      <c r="AK22" s="348"/>
      <c r="AL22" s="349"/>
      <c r="AM22" s="341"/>
      <c r="AN22" s="341"/>
      <c r="AO22" s="341"/>
      <c r="AP22" s="341"/>
      <c r="AQ22" s="350"/>
      <c r="AR22" s="434"/>
      <c r="AT22" s="390"/>
      <c r="AV22" s="390"/>
    </row>
    <row r="23" spans="2:58" s="98" customFormat="1" ht="62.25" customHeight="1" x14ac:dyDescent="0.9">
      <c r="B23" s="351">
        <v>5</v>
      </c>
      <c r="C23" s="406">
        <f>+B23</f>
        <v>5</v>
      </c>
      <c r="D23" s="407" t="s">
        <v>480</v>
      </c>
      <c r="E23" s="111"/>
      <c r="F23" s="111" t="s">
        <v>35</v>
      </c>
      <c r="G23" s="541" t="str">
        <f t="shared" ref="G23:G25" si="13">+G22</f>
        <v>2396-593-600</v>
      </c>
      <c r="H23" s="111"/>
      <c r="I23" s="111" t="s">
        <v>33</v>
      </c>
      <c r="J23" s="113">
        <v>38.82</v>
      </c>
      <c r="K23" s="130">
        <v>60</v>
      </c>
      <c r="L23" s="101" t="s">
        <v>17</v>
      </c>
      <c r="M23" s="214">
        <v>60</v>
      </c>
      <c r="N23" s="214">
        <v>60</v>
      </c>
      <c r="O23" s="214">
        <v>60</v>
      </c>
      <c r="P23" s="214"/>
      <c r="Q23" s="214"/>
      <c r="R23" s="214"/>
      <c r="S23" s="214"/>
      <c r="T23" s="214"/>
      <c r="U23" s="214"/>
      <c r="V23" s="214"/>
      <c r="W23" s="214"/>
      <c r="X23" s="123">
        <f>+IF(H24="s",0,IF(AA23=0,0,IF(COUNTA(M23:W23)=AK25+0.25,SUMIF($C:$C,B23,$AA:$AA)/AK25,SUMIF($C:$C,B23,$AA:$AA)/(COUNTA(M23:W23)))))</f>
        <v>60</v>
      </c>
      <c r="Y23" s="466"/>
      <c r="Z23" s="534"/>
      <c r="AA23" s="134">
        <f t="shared" si="7"/>
        <v>180</v>
      </c>
      <c r="AB23" s="354">
        <f>+AA23+AC23</f>
        <v>2750</v>
      </c>
      <c r="AC23" s="354">
        <v>2570</v>
      </c>
      <c r="AD23" s="355">
        <f>+AB22-AB23</f>
        <v>970</v>
      </c>
      <c r="AE23" s="131">
        <f>+IF(((AA24+(AA25/2))*60)=0,"",(J23*AA23)/((AA24+(AA25/2))*60))</f>
        <v>0.90279069767441866</v>
      </c>
      <c r="AF23" s="347">
        <f>+AA24+AA25/2</f>
        <v>129</v>
      </c>
      <c r="AG23" s="347">
        <f t="shared" si="2"/>
        <v>129</v>
      </c>
      <c r="AH23" s="341">
        <f t="shared" si="3"/>
        <v>7740</v>
      </c>
      <c r="AI23" s="341">
        <f>+AA23*J23</f>
        <v>6987.6</v>
      </c>
      <c r="AJ23" s="356">
        <f>+AA23-(AF23*K23/K25)</f>
        <v>0</v>
      </c>
      <c r="AK23" s="348"/>
      <c r="AL23" s="349"/>
      <c r="AM23" s="341"/>
      <c r="AN23" s="341"/>
      <c r="AO23" s="341"/>
      <c r="AP23" s="341"/>
      <c r="AQ23" s="339">
        <f t="shared" ref="AQ23" si="14">IF(AR23=0,"",AT23-(($AQ$3*K23)+($AQ$3*K23)*AR23)+AA22)</f>
        <v>-215</v>
      </c>
      <c r="AR23" s="434">
        <v>1.6</v>
      </c>
      <c r="AT23" s="390">
        <v>850</v>
      </c>
      <c r="AV23" s="390">
        <f t="shared" ref="AV23" si="15">+AT23-AD23</f>
        <v>-120</v>
      </c>
    </row>
    <row r="24" spans="2:58" s="98" customFormat="1" ht="62.25" customHeight="1" x14ac:dyDescent="0.9">
      <c r="B24" s="357">
        <f>B23</f>
        <v>5</v>
      </c>
      <c r="C24" s="408"/>
      <c r="D24" s="184"/>
      <c r="E24" s="111">
        <f>+B23</f>
        <v>5</v>
      </c>
      <c r="F24" s="412"/>
      <c r="G24" s="541" t="str">
        <f t="shared" si="13"/>
        <v>2396-593-600</v>
      </c>
      <c r="H24" s="411" t="s">
        <v>412</v>
      </c>
      <c r="I24" s="113">
        <f>+IFERROR(IF(K25=0,0,IF((LOOKUP(2,1/(M24:W24&lt;&gt;""),M24:W24)-K25)&lt;0,0,IF(K25=0,"",LOOKUP(2,1/(M24:W24&lt;&gt;""),M24:W24)-K25))),0)</f>
        <v>0</v>
      </c>
      <c r="J24" s="113">
        <v>1</v>
      </c>
      <c r="K24" s="114" t="s">
        <v>22</v>
      </c>
      <c r="L24" s="102" t="s">
        <v>18</v>
      </c>
      <c r="M24" s="448">
        <v>43</v>
      </c>
      <c r="N24" s="448">
        <v>43</v>
      </c>
      <c r="O24" s="448">
        <v>43</v>
      </c>
      <c r="P24" s="448"/>
      <c r="Q24" s="448"/>
      <c r="R24" s="448"/>
      <c r="S24" s="448"/>
      <c r="T24" s="448"/>
      <c r="U24" s="448"/>
      <c r="V24" s="448"/>
      <c r="W24" s="448"/>
      <c r="X24" s="160">
        <f>+IF(H24="l",IF(COUNTA(M23:W23)=AK25+0.25,AA23-K23*AK25,AA23-(K23*COUNTA(M23:W23))),IF(H24="s",0,IF(COUNTA(M23:W23)=AK25+0.25,SUMIF($C:$C,B23,$AA:$AA)-K23*AK25,SUMIF($C:$C,B23,$AA:$AA)-K23*COUNTA(M23:W23))))</f>
        <v>0</v>
      </c>
      <c r="Y24" s="466"/>
      <c r="Z24" s="534"/>
      <c r="AA24" s="462">
        <f t="shared" si="10"/>
        <v>129</v>
      </c>
      <c r="AB24" s="360"/>
      <c r="AC24" s="360"/>
      <c r="AD24" s="362"/>
      <c r="AE24" s="363"/>
      <c r="AF24" s="346"/>
      <c r="AG24" s="347">
        <f t="shared" si="2"/>
        <v>0</v>
      </c>
      <c r="AH24" s="341">
        <f t="shared" si="3"/>
        <v>0</v>
      </c>
      <c r="AI24" s="341"/>
      <c r="AJ24" s="356"/>
      <c r="AK24" s="348"/>
      <c r="AL24" s="349">
        <f>+IF(AK25=7.75,SUM(M24:S24)+T24*0.75,IF(AK25=8,SUM(M24:T24),IF(AK25=7.25,SUM(M24:S24)+T24*0.25,IF(AK25=8.25,SUM(M24:T24)+U24*0.25,IF(AK25=8.75,SUM(M24:T24)+U24*0.75,0)))))</f>
        <v>129</v>
      </c>
      <c r="AM24" s="341">
        <f>+AL24-AA24</f>
        <v>0</v>
      </c>
      <c r="AN24" s="341"/>
      <c r="AO24" s="341"/>
      <c r="AP24" s="341"/>
      <c r="AQ24" s="438"/>
      <c r="AR24" s="434"/>
      <c r="AT24" s="390"/>
      <c r="AV24" s="390"/>
    </row>
    <row r="25" spans="2:58" s="98" customFormat="1" ht="62.25" customHeight="1" thickBot="1" x14ac:dyDescent="0.95">
      <c r="B25" s="364">
        <f>B23</f>
        <v>5</v>
      </c>
      <c r="C25" s="410"/>
      <c r="D25" s="174" t="s">
        <v>380</v>
      </c>
      <c r="E25" s="175">
        <f>+E24+100</f>
        <v>105</v>
      </c>
      <c r="F25" s="175"/>
      <c r="G25" s="542" t="str">
        <f t="shared" si="13"/>
        <v>2396-593-600</v>
      </c>
      <c r="H25" s="117"/>
      <c r="I25" s="442"/>
      <c r="J25" s="165">
        <f>+IF(K25="","",IF(K23=0,"",(K23*J23)/(K25*60)))</f>
        <v>0.90279069767441855</v>
      </c>
      <c r="K25" s="118">
        <v>43</v>
      </c>
      <c r="L25" s="104" t="s">
        <v>19</v>
      </c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173"/>
      <c r="Y25" s="467">
        <v>8.8262666666666671</v>
      </c>
      <c r="Z25" s="497">
        <v>8.8262666666666671</v>
      </c>
      <c r="AA25" s="465">
        <f t="shared" si="10"/>
        <v>0</v>
      </c>
      <c r="AB25" s="367"/>
      <c r="AC25" s="367"/>
      <c r="AD25" s="368">
        <f>+IFERROR(AD23/(K23*$AQ$3),"")</f>
        <v>1.8476190476190477</v>
      </c>
      <c r="AE25" s="369"/>
      <c r="AF25" s="347"/>
      <c r="AG25" s="347">
        <f t="shared" si="2"/>
        <v>0</v>
      </c>
      <c r="AH25" s="341">
        <f t="shared" si="3"/>
        <v>0</v>
      </c>
      <c r="AI25" s="341"/>
      <c r="AJ25" s="356"/>
      <c r="AK25" s="370">
        <f>+$AJ$4</f>
        <v>8.75</v>
      </c>
      <c r="AL25" s="349">
        <f>+IF(AK25=7.75,SUM(M25:S25)+T25*0.75,IF(AK25=8,SUM(M25:T25),IF(AK25=7.25,SUM(M25:S25)+T25*0.25,IF(AK25=8.25,SUM(M25:T25)+U25*0.25,IF(AK25=8.75,SUM(M25:T25)+U25*0.75,0)))))</f>
        <v>0</v>
      </c>
      <c r="AM25" s="341">
        <f>+AL25-AA25</f>
        <v>0</v>
      </c>
      <c r="AN25" s="341"/>
      <c r="AO25" s="341"/>
      <c r="AP25" s="341"/>
      <c r="AQ25" s="369"/>
      <c r="AR25" s="434"/>
      <c r="AT25" s="390">
        <v>1.6190476190476191</v>
      </c>
      <c r="AV25" s="390"/>
    </row>
    <row r="26" spans="2:58" s="98" customFormat="1" ht="62.25" customHeight="1" thickTop="1" x14ac:dyDescent="0.9">
      <c r="B26" s="342">
        <f>+B27</f>
        <v>6</v>
      </c>
      <c r="C26" s="405"/>
      <c r="D26" s="106"/>
      <c r="E26" s="106"/>
      <c r="F26" s="106"/>
      <c r="G26" s="540" t="s">
        <v>442</v>
      </c>
      <c r="H26" s="106"/>
      <c r="I26" s="111"/>
      <c r="J26" s="107" t="s">
        <v>20</v>
      </c>
      <c r="K26" s="108">
        <v>0</v>
      </c>
      <c r="L26" s="100" t="s">
        <v>21</v>
      </c>
      <c r="M26" s="448"/>
      <c r="N26" s="448"/>
      <c r="O26" s="448"/>
      <c r="P26" s="448"/>
      <c r="Q26" s="448"/>
      <c r="R26" s="448"/>
      <c r="S26" s="448"/>
      <c r="T26" s="448"/>
      <c r="U26" s="448"/>
      <c r="V26" s="448"/>
      <c r="W26" s="448"/>
      <c r="X26" s="447" t="str">
        <f t="shared" si="6"/>
        <v/>
      </c>
      <c r="Y26" s="466">
        <v>0.25</v>
      </c>
      <c r="Z26" s="533">
        <f>+X28</f>
        <v>0</v>
      </c>
      <c r="AA26" s="447">
        <f t="shared" si="7"/>
        <v>0</v>
      </c>
      <c r="AB26" s="343">
        <f>+AC26+AA26</f>
        <v>5585</v>
      </c>
      <c r="AC26" s="343">
        <v>5585</v>
      </c>
      <c r="AD26" s="344"/>
      <c r="AE26" s="345"/>
      <c r="AF26" s="346"/>
      <c r="AG26" s="347">
        <f t="shared" si="2"/>
        <v>0</v>
      </c>
      <c r="AH26" s="341">
        <f t="shared" si="3"/>
        <v>0</v>
      </c>
      <c r="AI26" s="341"/>
      <c r="AJ26" s="341"/>
      <c r="AK26" s="348"/>
      <c r="AL26" s="349"/>
      <c r="AM26" s="341"/>
      <c r="AN26" s="341"/>
      <c r="AO26" s="341"/>
      <c r="AP26" s="341"/>
      <c r="AQ26" s="350"/>
      <c r="AR26" s="434"/>
      <c r="AT26" s="390"/>
      <c r="AV26" s="390"/>
    </row>
    <row r="27" spans="2:58" s="98" customFormat="1" ht="62.25" customHeight="1" x14ac:dyDescent="0.9">
      <c r="B27" s="351">
        <v>6</v>
      </c>
      <c r="C27" s="406">
        <f>+B27</f>
        <v>6</v>
      </c>
      <c r="D27" s="407" t="s">
        <v>441</v>
      </c>
      <c r="E27" s="111"/>
      <c r="F27" s="111" t="s">
        <v>35</v>
      </c>
      <c r="G27" s="541" t="str">
        <f t="shared" ref="G27:G29" si="16">+G26</f>
        <v>2259-600-730</v>
      </c>
      <c r="H27" s="111"/>
      <c r="I27" s="111" t="s">
        <v>33</v>
      </c>
      <c r="J27" s="113">
        <v>34.450000000000003</v>
      </c>
      <c r="K27" s="494">
        <v>61</v>
      </c>
      <c r="L27" s="101" t="s">
        <v>17</v>
      </c>
      <c r="M27" s="214"/>
      <c r="N27" s="214"/>
      <c r="O27" s="214"/>
      <c r="P27" s="214"/>
      <c r="Q27" s="214"/>
      <c r="R27" s="214"/>
      <c r="S27" s="214"/>
      <c r="T27" s="214"/>
      <c r="U27" s="214"/>
      <c r="V27" s="214"/>
      <c r="W27" s="214"/>
      <c r="X27" s="123">
        <f>+IF(H28="s",0,IF(AA27=0,0,IF(COUNTA(M27:W27)=AK29+0.25,SUMIF($C:$C,B27,$AA:$AA)/AK29,SUMIF($C:$C,B27,$AA:$AA)/(COUNTA(M27:W27)))))</f>
        <v>0</v>
      </c>
      <c r="Y27" s="466"/>
      <c r="Z27" s="534"/>
      <c r="AA27" s="134">
        <f t="shared" si="7"/>
        <v>0</v>
      </c>
      <c r="AB27" s="354">
        <f>+AA27+AC27</f>
        <v>4791</v>
      </c>
      <c r="AC27" s="354">
        <v>4791</v>
      </c>
      <c r="AD27" s="355">
        <f>+AB26-AB27</f>
        <v>794</v>
      </c>
      <c r="AE27" s="131" t="str">
        <f>+IF(((AA28+(AA29/2))*60)=0,"",(J27*AA27)/((AA28+(AA29/2))*60))</f>
        <v/>
      </c>
      <c r="AF27" s="347">
        <f>+AA28+AA29/2</f>
        <v>0</v>
      </c>
      <c r="AG27" s="347">
        <f t="shared" si="2"/>
        <v>0</v>
      </c>
      <c r="AH27" s="341">
        <f t="shared" si="3"/>
        <v>0</v>
      </c>
      <c r="AI27" s="341">
        <f>+AA27*J27</f>
        <v>0</v>
      </c>
      <c r="AJ27" s="356">
        <f>+AA27-(AF27*K27/K29)</f>
        <v>0</v>
      </c>
      <c r="AK27" s="348"/>
      <c r="AL27" s="349"/>
      <c r="AM27" s="341"/>
      <c r="AN27" s="341"/>
      <c r="AO27" s="341"/>
      <c r="AP27" s="341"/>
      <c r="AQ27" s="339"/>
      <c r="AR27" s="434">
        <v>1.5</v>
      </c>
      <c r="AT27" s="390">
        <v>794</v>
      </c>
      <c r="AV27" s="390">
        <f t="shared" ref="AV27" si="17">+AT27-AD27</f>
        <v>0</v>
      </c>
    </row>
    <row r="28" spans="2:58" s="98" customFormat="1" ht="62.25" customHeight="1" x14ac:dyDescent="0.9">
      <c r="B28" s="357">
        <f>B27</f>
        <v>6</v>
      </c>
      <c r="C28" s="408"/>
      <c r="D28" s="184"/>
      <c r="E28" s="111">
        <f>+B27</f>
        <v>6</v>
      </c>
      <c r="F28" s="409"/>
      <c r="G28" s="541" t="str">
        <f t="shared" si="16"/>
        <v>2259-600-730</v>
      </c>
      <c r="H28" s="411" t="s">
        <v>413</v>
      </c>
      <c r="I28" s="113">
        <f>+IFERROR(IF(K29=0,0,IF((LOOKUP(2,1/(M28:W28&lt;&gt;""),M28:W28)-K29)&lt;0,0,IF(K29=0,"",LOOKUP(2,1/(M28:W28&lt;&gt;""),M28:W28)-K29))),0)</f>
        <v>0</v>
      </c>
      <c r="J28" s="113">
        <v>0</v>
      </c>
      <c r="K28" s="114" t="s">
        <v>22</v>
      </c>
      <c r="L28" s="102" t="s">
        <v>18</v>
      </c>
      <c r="M28" s="448"/>
      <c r="N28" s="448"/>
      <c r="O28" s="448"/>
      <c r="P28" s="448"/>
      <c r="Q28" s="448"/>
      <c r="R28" s="448"/>
      <c r="S28" s="448"/>
      <c r="T28" s="448"/>
      <c r="U28" s="448"/>
      <c r="V28" s="448"/>
      <c r="W28" s="448"/>
      <c r="X28" s="160">
        <f>+IF(H28="l",IF(COUNTA(M27:W27)=AK29+0.25,AA27-K27*AK29,AA27-(K27*COUNTA(M27:W27))),IF(H28="s",0,IF(COUNTA(M27:W27)=AK29+0.25,SUMIF($C:$C,B27,$AA:$AA)-K27*AK29,SUMIF($C:$C,B27,$AA:$AA)-K27*COUNTA(M27:W27))))</f>
        <v>0</v>
      </c>
      <c r="Y28" s="466"/>
      <c r="Z28" s="534"/>
      <c r="AA28" s="462">
        <f t="shared" si="10"/>
        <v>0</v>
      </c>
      <c r="AB28" s="360"/>
      <c r="AC28" s="360"/>
      <c r="AD28" s="362"/>
      <c r="AE28" s="363"/>
      <c r="AF28" s="346"/>
      <c r="AG28" s="347">
        <f t="shared" si="2"/>
        <v>0</v>
      </c>
      <c r="AH28" s="341">
        <f t="shared" si="3"/>
        <v>0</v>
      </c>
      <c r="AI28" s="341"/>
      <c r="AJ28" s="356"/>
      <c r="AK28" s="348"/>
      <c r="AL28" s="349">
        <f>+IF(AK29=7.75,SUM(M28:S28)+T28*0.75,IF(AK29=8,SUM(M28:T28),IF(AK29=7.25,SUM(M28:S28)+T28*0.25,IF(AK29=8.25,SUM(M28:T28)+U28*0.25,IF(AK29=8.75,SUM(M28:T28)+U28*0.75,0)))))</f>
        <v>0</v>
      </c>
      <c r="AM28" s="341">
        <f>+AL28-AA28</f>
        <v>0</v>
      </c>
      <c r="AN28" s="341"/>
      <c r="AO28" s="341"/>
      <c r="AP28" s="341"/>
      <c r="AQ28" s="438"/>
      <c r="AR28" s="434"/>
      <c r="AT28" s="390"/>
      <c r="AV28" s="390"/>
    </row>
    <row r="29" spans="2:58" s="98" customFormat="1" ht="62.25" customHeight="1" thickBot="1" x14ac:dyDescent="0.95">
      <c r="B29" s="364">
        <f>B27</f>
        <v>6</v>
      </c>
      <c r="C29" s="410"/>
      <c r="D29" s="174" t="s">
        <v>366</v>
      </c>
      <c r="E29" s="175">
        <f>+E28+100</f>
        <v>106</v>
      </c>
      <c r="F29" s="175"/>
      <c r="G29" s="542" t="str">
        <f t="shared" si="16"/>
        <v>2259-600-730</v>
      </c>
      <c r="H29" s="117"/>
      <c r="I29" s="442"/>
      <c r="J29" s="165">
        <f>+IF(K29="","",IF(K27=0,"",(K27*J27)/(K29*60)))</f>
        <v>0.92168859649122814</v>
      </c>
      <c r="K29" s="118">
        <v>38</v>
      </c>
      <c r="L29" s="104" t="s">
        <v>19</v>
      </c>
      <c r="M29" s="216"/>
      <c r="N29" s="216"/>
      <c r="O29" s="216"/>
      <c r="P29" s="216"/>
      <c r="Q29" s="216"/>
      <c r="R29" s="216"/>
      <c r="S29" s="216"/>
      <c r="T29" s="216"/>
      <c r="U29" s="216"/>
      <c r="V29" s="216"/>
      <c r="W29" s="216"/>
      <c r="X29" s="173"/>
      <c r="Y29" s="467">
        <v>14.213333333333335</v>
      </c>
      <c r="Z29" s="365">
        <v>14.213333333333335</v>
      </c>
      <c r="AA29" s="465">
        <f t="shared" si="10"/>
        <v>0</v>
      </c>
      <c r="AB29" s="367"/>
      <c r="AC29" s="367"/>
      <c r="AD29" s="368">
        <f>+IFERROR(AD27/(K27*$AQ$3),"")</f>
        <v>1.4875878220140515</v>
      </c>
      <c r="AE29" s="369"/>
      <c r="AF29" s="347"/>
      <c r="AG29" s="347">
        <f t="shared" si="2"/>
        <v>0</v>
      </c>
      <c r="AH29" s="341">
        <f t="shared" si="3"/>
        <v>0</v>
      </c>
      <c r="AI29" s="341"/>
      <c r="AJ29" s="356"/>
      <c r="AK29" s="370">
        <f>+$AJ$4</f>
        <v>8.75</v>
      </c>
      <c r="AL29" s="349">
        <f>+IF(AK29=7.75,SUM(M29:S29)+T29*0.75,IF(AK29=8,SUM(M29:T29),IF(AK29=7.25,SUM(M29:S29)+T29*0.25,IF(AK29=8.25,SUM(M29:T29)+U29*0.25,IF(AK29=8.75,SUM(M29:T29)+U29*0.75,0)))))</f>
        <v>0</v>
      </c>
      <c r="AM29" s="341">
        <f>+AL29-AA29</f>
        <v>0</v>
      </c>
      <c r="AN29" s="341"/>
      <c r="AO29" s="341"/>
      <c r="AP29" s="341"/>
      <c r="AQ29" s="369"/>
      <c r="AR29" s="434"/>
      <c r="AT29" s="390">
        <v>1.4875878220140515</v>
      </c>
      <c r="AV29" s="390"/>
    </row>
    <row r="30" spans="2:58" s="98" customFormat="1" ht="62.25" customHeight="1" thickTop="1" x14ac:dyDescent="0.9">
      <c r="B30" s="342">
        <f>+B31</f>
        <v>7</v>
      </c>
      <c r="C30" s="405"/>
      <c r="D30" s="106"/>
      <c r="E30" s="106"/>
      <c r="F30" s="106"/>
      <c r="G30" s="540" t="s">
        <v>442</v>
      </c>
      <c r="H30" s="106"/>
      <c r="I30" s="106"/>
      <c r="J30" s="107" t="s">
        <v>20</v>
      </c>
      <c r="K30" s="108" t="s">
        <v>23</v>
      </c>
      <c r="L30" s="100" t="s">
        <v>21</v>
      </c>
      <c r="M30" s="448"/>
      <c r="N30" s="448"/>
      <c r="O30" s="448"/>
      <c r="P30" s="448"/>
      <c r="Q30" s="448"/>
      <c r="R30" s="448"/>
      <c r="S30" s="448"/>
      <c r="T30" s="448"/>
      <c r="U30" s="473"/>
      <c r="V30" s="448"/>
      <c r="W30" s="448"/>
      <c r="X30" s="447" t="str">
        <f t="shared" si="6"/>
        <v/>
      </c>
      <c r="Y30" s="466">
        <v>0.25</v>
      </c>
      <c r="Z30" s="533">
        <f>+X32</f>
        <v>0</v>
      </c>
      <c r="AA30" s="447">
        <f t="shared" si="7"/>
        <v>0</v>
      </c>
      <c r="AB30" s="343">
        <f>+AC30+AA30</f>
        <v>4690</v>
      </c>
      <c r="AC30" s="343">
        <v>4690</v>
      </c>
      <c r="AD30" s="344"/>
      <c r="AE30" s="345"/>
      <c r="AF30" s="346"/>
      <c r="AG30" s="347">
        <f t="shared" si="2"/>
        <v>0</v>
      </c>
      <c r="AH30" s="341">
        <f t="shared" si="3"/>
        <v>0</v>
      </c>
      <c r="AI30" s="341"/>
      <c r="AJ30" s="341"/>
      <c r="AK30" s="348"/>
      <c r="AL30" s="349"/>
      <c r="AM30" s="341"/>
      <c r="AN30" s="341"/>
      <c r="AO30" s="341"/>
      <c r="AP30" s="341"/>
      <c r="AQ30" s="350"/>
      <c r="AR30" s="434"/>
      <c r="AT30" s="390"/>
      <c r="AV30" s="390"/>
    </row>
    <row r="31" spans="2:58" s="98" customFormat="1" ht="62.25" customHeight="1" x14ac:dyDescent="1.35">
      <c r="B31" s="351">
        <v>7</v>
      </c>
      <c r="C31" s="406">
        <f>+B31</f>
        <v>7</v>
      </c>
      <c r="D31" s="407" t="s">
        <v>441</v>
      </c>
      <c r="E31" s="111"/>
      <c r="F31" s="111" t="s">
        <v>35</v>
      </c>
      <c r="G31" s="541" t="str">
        <f t="shared" ref="G31:G33" si="18">+G30</f>
        <v>2259-600-730</v>
      </c>
      <c r="H31" s="111"/>
      <c r="I31" s="111" t="s">
        <v>33</v>
      </c>
      <c r="J31" s="113">
        <v>34.450000000000003</v>
      </c>
      <c r="K31" s="494">
        <v>61</v>
      </c>
      <c r="L31" s="101" t="s">
        <v>17</v>
      </c>
      <c r="M31" s="214"/>
      <c r="N31" s="214"/>
      <c r="O31" s="214"/>
      <c r="P31" s="214"/>
      <c r="Q31" s="214"/>
      <c r="R31" s="214"/>
      <c r="S31" s="214"/>
      <c r="T31" s="214"/>
      <c r="U31" s="214"/>
      <c r="V31" s="214"/>
      <c r="W31" s="214"/>
      <c r="X31" s="123">
        <f>+IF(H32="s",0,IF(AA31=0,0,IF(COUNTA(M31:W31)=AK33+0.25,SUMIF($C:$C,B31,$AA:$AA)/AK33,SUMIF($C:$C,B31,$AA:$AA)/(COUNTA(M31:W31)))))</f>
        <v>0</v>
      </c>
      <c r="Y31" s="466"/>
      <c r="Z31" s="534"/>
      <c r="AA31" s="134">
        <f t="shared" si="7"/>
        <v>0</v>
      </c>
      <c r="AB31" s="354">
        <f>+AA31+AC31</f>
        <v>3908</v>
      </c>
      <c r="AC31" s="354">
        <v>3908</v>
      </c>
      <c r="AD31" s="355">
        <f>+AB30-AB31</f>
        <v>782</v>
      </c>
      <c r="AE31" s="131" t="str">
        <f>+IF(((AA32+(AA33/2))*60)=0,"",(J31*AA31)/((AA32+(AA33/2))*60))</f>
        <v/>
      </c>
      <c r="AF31" s="347">
        <f>+AA32+AA33/2</f>
        <v>0</v>
      </c>
      <c r="AG31" s="347">
        <f t="shared" si="2"/>
        <v>0</v>
      </c>
      <c r="AH31" s="341">
        <f t="shared" si="3"/>
        <v>0</v>
      </c>
      <c r="AI31" s="341">
        <f>+AA31*J31</f>
        <v>0</v>
      </c>
      <c r="AJ31" s="356">
        <f>+AA31-(AF31*K31/K33)</f>
        <v>0</v>
      </c>
      <c r="AK31" s="348"/>
      <c r="AL31" s="349"/>
      <c r="AM31" s="341"/>
      <c r="AN31" s="341"/>
      <c r="AO31" s="341"/>
      <c r="AP31" s="341"/>
      <c r="AQ31" s="339"/>
      <c r="AR31" s="434">
        <v>1.5</v>
      </c>
      <c r="AT31" s="390">
        <v>782</v>
      </c>
      <c r="AV31" s="390">
        <f t="shared" ref="AV31" si="19">+AT31-AD31</f>
        <v>0</v>
      </c>
      <c r="AW31" s="535"/>
      <c r="AX31" s="535"/>
      <c r="AY31" s="535"/>
      <c r="AZ31" s="535"/>
      <c r="BA31" s="535"/>
      <c r="BB31" s="535"/>
      <c r="BC31" s="535"/>
      <c r="BD31" s="535"/>
      <c r="BE31" s="535"/>
      <c r="BF31" s="535"/>
    </row>
    <row r="32" spans="2:58" s="98" customFormat="1" ht="62.25" customHeight="1" x14ac:dyDescent="0.9">
      <c r="B32" s="357">
        <f>B31</f>
        <v>7</v>
      </c>
      <c r="C32" s="408"/>
      <c r="D32" s="184"/>
      <c r="E32" s="111">
        <f>+B31</f>
        <v>7</v>
      </c>
      <c r="F32" s="409"/>
      <c r="G32" s="541" t="str">
        <f t="shared" si="18"/>
        <v>2259-600-730</v>
      </c>
      <c r="H32" s="411" t="s">
        <v>413</v>
      </c>
      <c r="I32" s="113">
        <f>+IFERROR(IF(K33=0,0,IF((LOOKUP(2,1/(M32:W32&lt;&gt;""),M32:W32)-K33)&lt;0,0,IF(K33=0,"",LOOKUP(2,1/(M32:W32&lt;&gt;""),M32:W32)-K33))),0)</f>
        <v>0</v>
      </c>
      <c r="J32" s="113">
        <v>1</v>
      </c>
      <c r="K32" s="114" t="s">
        <v>22</v>
      </c>
      <c r="L32" s="102" t="s">
        <v>18</v>
      </c>
      <c r="M32" s="448"/>
      <c r="N32" s="448"/>
      <c r="O32" s="448"/>
      <c r="P32" s="448"/>
      <c r="Q32" s="448"/>
      <c r="R32" s="448"/>
      <c r="S32" s="448"/>
      <c r="T32" s="448"/>
      <c r="U32" s="448"/>
      <c r="V32" s="448"/>
      <c r="W32" s="448"/>
      <c r="X32" s="160">
        <f>+IF(H32="l",IF(COUNTA(M31:W31)=AK33+0.25,AA31-K31*AK33,AA31-(K31*COUNTA(M31:W31))),IF(H32="s",0,IF(COUNTA(M31:W31)=AK33+0.25,SUMIF($C:$C,B31,$AA:$AA)-K31*AK33,SUMIF($C:$C,B31,$AA:$AA)-K31*COUNTA(M31:W31))))</f>
        <v>0</v>
      </c>
      <c r="Y32" s="466"/>
      <c r="Z32" s="534"/>
      <c r="AA32" s="462">
        <f t="shared" si="10"/>
        <v>0</v>
      </c>
      <c r="AB32" s="360"/>
      <c r="AC32" s="360"/>
      <c r="AD32" s="362"/>
      <c r="AE32" s="363"/>
      <c r="AF32" s="346"/>
      <c r="AG32" s="347">
        <f t="shared" si="2"/>
        <v>0</v>
      </c>
      <c r="AH32" s="341">
        <f t="shared" si="3"/>
        <v>0</v>
      </c>
      <c r="AI32" s="341"/>
      <c r="AJ32" s="341"/>
      <c r="AK32" s="348"/>
      <c r="AL32" s="349">
        <f>+IF(AK33=7.75,SUM(M32:S32)+T32*0.75,IF(AK33=8,SUM(M32:T32),IF(AK33=7.25,SUM(M32:S32)+T32*0.25,IF(AK33=8.25,SUM(M32:T32)+U32*0.25,IF(AK33=8.75,SUM(M32:T32)+U32*0.75,0)))))</f>
        <v>0</v>
      </c>
      <c r="AM32" s="341">
        <f>+AL32-AA32</f>
        <v>0</v>
      </c>
      <c r="AN32" s="341"/>
      <c r="AO32" s="341"/>
      <c r="AP32" s="341"/>
      <c r="AQ32" s="438"/>
      <c r="AR32" s="434"/>
      <c r="AT32" s="390"/>
      <c r="AV32" s="390"/>
    </row>
    <row r="33" spans="2:58" s="98" customFormat="1" ht="62.25" customHeight="1" thickBot="1" x14ac:dyDescent="0.95">
      <c r="B33" s="372">
        <f>B31</f>
        <v>7</v>
      </c>
      <c r="C33" s="410"/>
      <c r="D33" s="174" t="s">
        <v>93</v>
      </c>
      <c r="E33" s="175">
        <f>+E32+100</f>
        <v>107</v>
      </c>
      <c r="F33" s="175"/>
      <c r="G33" s="542" t="str">
        <f t="shared" si="18"/>
        <v>2259-600-730</v>
      </c>
      <c r="H33" s="117"/>
      <c r="I33" s="442"/>
      <c r="J33" s="165">
        <f>+IF(K33="","",IF(K31=0,"",(K31*J31)/(K33*60)))</f>
        <v>0.92168859649122814</v>
      </c>
      <c r="K33" s="118">
        <v>38</v>
      </c>
      <c r="L33" s="104" t="s">
        <v>19</v>
      </c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173"/>
      <c r="Y33" s="467">
        <v>15.388301092896173</v>
      </c>
      <c r="Z33" s="365">
        <v>15.388301092896173</v>
      </c>
      <c r="AA33" s="465">
        <f t="shared" si="10"/>
        <v>0</v>
      </c>
      <c r="AB33" s="367"/>
      <c r="AC33" s="367"/>
      <c r="AD33" s="368">
        <f>+IFERROR(AD31/(K31*$AQ$3),"")</f>
        <v>1.4651053864168617</v>
      </c>
      <c r="AE33" s="369"/>
      <c r="AF33" s="347"/>
      <c r="AG33" s="347">
        <f t="shared" si="2"/>
        <v>0</v>
      </c>
      <c r="AH33" s="341">
        <f t="shared" si="3"/>
        <v>0</v>
      </c>
      <c r="AI33" s="341"/>
      <c r="AJ33" s="356"/>
      <c r="AK33" s="370">
        <f>+$AJ$4</f>
        <v>8.75</v>
      </c>
      <c r="AL33" s="349">
        <f>+IF(AK33=7.75,SUM(M33:S33)+T33*0.75,IF(AK33=8,SUM(M33:T33),IF(AK33=7.25,SUM(M33:S33)+T33*0.25,IF(AK33=8.25,SUM(M33:T33)+U33*0.25,IF(AK33=8.75,SUM(M33:T33)+U33*0.75,0)))))</f>
        <v>0</v>
      </c>
      <c r="AM33" s="341">
        <f>+AL33-AA33</f>
        <v>0</v>
      </c>
      <c r="AN33" s="341"/>
      <c r="AO33" s="341"/>
      <c r="AP33" s="341"/>
      <c r="AQ33" s="369"/>
      <c r="AR33" s="434"/>
      <c r="AT33" s="390">
        <v>1.4651053864168617</v>
      </c>
      <c r="AV33" s="390"/>
    </row>
    <row r="34" spans="2:58" s="98" customFormat="1" ht="62.25" customHeight="1" thickTop="1" x14ac:dyDescent="0.9">
      <c r="B34" s="342">
        <f>+B35</f>
        <v>8</v>
      </c>
      <c r="C34" s="405"/>
      <c r="D34" s="106"/>
      <c r="E34" s="106"/>
      <c r="F34" s="106"/>
      <c r="G34" s="540" t="s">
        <v>432</v>
      </c>
      <c r="H34" s="106"/>
      <c r="I34" s="106"/>
      <c r="J34" s="107" t="s">
        <v>20</v>
      </c>
      <c r="K34" s="108" t="s">
        <v>23</v>
      </c>
      <c r="L34" s="100" t="s">
        <v>21</v>
      </c>
      <c r="M34" s="448"/>
      <c r="N34" s="448"/>
      <c r="O34" s="448"/>
      <c r="P34" s="448"/>
      <c r="Q34" s="448"/>
      <c r="R34" s="448"/>
      <c r="S34" s="448"/>
      <c r="T34" s="448"/>
      <c r="U34" s="448"/>
      <c r="V34" s="448"/>
      <c r="W34" s="448"/>
      <c r="X34" s="447" t="str">
        <f t="shared" si="6"/>
        <v/>
      </c>
      <c r="Y34" s="466">
        <v>0</v>
      </c>
      <c r="Z34" s="533">
        <f>+X36</f>
        <v>-42</v>
      </c>
      <c r="AA34" s="447">
        <f t="shared" si="7"/>
        <v>0</v>
      </c>
      <c r="AB34" s="343">
        <f>+AC34+AA34</f>
        <v>6529</v>
      </c>
      <c r="AC34" s="343">
        <v>6529</v>
      </c>
      <c r="AD34" s="344"/>
      <c r="AE34" s="345"/>
      <c r="AF34" s="346"/>
      <c r="AG34" s="347">
        <f t="shared" si="2"/>
        <v>0</v>
      </c>
      <c r="AH34" s="341">
        <f t="shared" si="3"/>
        <v>0</v>
      </c>
      <c r="AI34" s="341"/>
      <c r="AJ34" s="341"/>
      <c r="AK34" s="348"/>
      <c r="AL34" s="349"/>
      <c r="AM34" s="341"/>
      <c r="AN34" s="341"/>
      <c r="AO34" s="341"/>
      <c r="AP34" s="341"/>
      <c r="AQ34" s="350"/>
      <c r="AR34" s="434"/>
      <c r="AT34" s="390"/>
      <c r="AV34" s="390"/>
    </row>
    <row r="35" spans="2:58" s="98" customFormat="1" ht="62.25" customHeight="1" x14ac:dyDescent="0.9">
      <c r="B35" s="351">
        <v>8</v>
      </c>
      <c r="C35" s="406">
        <f>+B35</f>
        <v>8</v>
      </c>
      <c r="D35" s="407" t="s">
        <v>431</v>
      </c>
      <c r="E35" s="111"/>
      <c r="F35" s="111" t="s">
        <v>35</v>
      </c>
      <c r="G35" s="541" t="str">
        <f t="shared" ref="G35:G37" si="20">+G34</f>
        <v>2158-755-712</v>
      </c>
      <c r="H35" s="111"/>
      <c r="I35" s="111" t="s">
        <v>33</v>
      </c>
      <c r="J35" s="113">
        <v>51.42</v>
      </c>
      <c r="K35" s="494">
        <v>53</v>
      </c>
      <c r="L35" s="101" t="s">
        <v>17</v>
      </c>
      <c r="M35" s="214">
        <v>26</v>
      </c>
      <c r="N35" s="214">
        <v>63</v>
      </c>
      <c r="O35" s="214">
        <v>28</v>
      </c>
      <c r="P35" s="214"/>
      <c r="Q35" s="214"/>
      <c r="R35" s="214"/>
      <c r="S35" s="214"/>
      <c r="T35" s="214"/>
      <c r="U35" s="214"/>
      <c r="V35" s="214"/>
      <c r="W35" s="214"/>
      <c r="X35" s="123">
        <f>+IF(H36="s",0,IF(AA35=0,0,IF(COUNTA(M35:W35)=AK37+0.25,SUMIF($C:$C,B35,$AA:$AA)/AK37,SUMIF($C:$C,B35,$AA:$AA)/(COUNTA(M35:W35)))))</f>
        <v>39</v>
      </c>
      <c r="Y35" s="466"/>
      <c r="Z35" s="534"/>
      <c r="AA35" s="134">
        <f t="shared" si="7"/>
        <v>117</v>
      </c>
      <c r="AB35" s="354">
        <f>+AA35+AC35</f>
        <v>6212</v>
      </c>
      <c r="AC35" s="354">
        <v>6095</v>
      </c>
      <c r="AD35" s="355">
        <f>+AB34-AB35</f>
        <v>317</v>
      </c>
      <c r="AE35" s="131">
        <f>+IF(((AA36+(AA37/2))*60)=0,"",(J35*AA35)/((AA36+(AA37/2))*60))</f>
        <v>2.78525</v>
      </c>
      <c r="AF35" s="347">
        <f>+AA36+AA37/2</f>
        <v>36</v>
      </c>
      <c r="AG35" s="347">
        <f t="shared" si="2"/>
        <v>36</v>
      </c>
      <c r="AH35" s="341">
        <f t="shared" si="3"/>
        <v>2160</v>
      </c>
      <c r="AI35" s="341">
        <f>+AA35*J35</f>
        <v>6016.14</v>
      </c>
      <c r="AJ35" s="356">
        <f>+AA35-(AF35*K35/K37)</f>
        <v>79.588235294117652</v>
      </c>
      <c r="AK35" s="348"/>
      <c r="AL35" s="349"/>
      <c r="AM35" s="341"/>
      <c r="AN35" s="341"/>
      <c r="AO35" s="341"/>
      <c r="AP35" s="341"/>
      <c r="AQ35" s="339"/>
      <c r="AR35" s="434">
        <v>1.45</v>
      </c>
      <c r="AT35" s="390">
        <v>434</v>
      </c>
      <c r="AV35" s="390">
        <f t="shared" ref="AV35" si="21">+AT35-AD35</f>
        <v>117</v>
      </c>
    </row>
    <row r="36" spans="2:58" s="98" customFormat="1" ht="62.25" customHeight="1" x14ac:dyDescent="0.9">
      <c r="B36" s="357">
        <f>+B35</f>
        <v>8</v>
      </c>
      <c r="C36" s="408"/>
      <c r="D36" s="184"/>
      <c r="E36" s="111">
        <f>+B35</f>
        <v>8</v>
      </c>
      <c r="F36" s="409"/>
      <c r="G36" s="541" t="str">
        <f t="shared" si="20"/>
        <v>2158-755-712</v>
      </c>
      <c r="H36" s="411"/>
      <c r="I36" s="113">
        <f>+IFERROR(IF(K37=0,0,IF((LOOKUP(2,1/(M36:W36&lt;&gt;""),M36:W36)-K37)&lt;0,0,IF(K37=0,"",LOOKUP(2,1/(M36:W36&lt;&gt;""),M36:W36)-K37))),0)</f>
        <v>0</v>
      </c>
      <c r="J36" s="113"/>
      <c r="K36" s="114" t="s">
        <v>22</v>
      </c>
      <c r="L36" s="102" t="s">
        <v>18</v>
      </c>
      <c r="M36" s="448">
        <v>12</v>
      </c>
      <c r="N36" s="448">
        <v>12</v>
      </c>
      <c r="O36" s="448">
        <v>12</v>
      </c>
      <c r="P36" s="448"/>
      <c r="Q36" s="448"/>
      <c r="R36" s="448"/>
      <c r="S36" s="448"/>
      <c r="T36" s="448"/>
      <c r="U36" s="448"/>
      <c r="V36" s="448"/>
      <c r="W36" s="448"/>
      <c r="X36" s="160">
        <f>+IF(H36="l",IF(COUNTA(M35:W35)=AK37+0.25,AA35-K35*AK37,AA35-(K35*COUNTA(M35:W35))),IF(H36="s",0,IF(COUNTA(M35:W35)=AK37+0.25,SUMIF($C:$C,B35,$AA:$AA)-K35*AK37,SUMIF($C:$C,B35,$AA:$AA)-K35*COUNTA(M35:W35))))</f>
        <v>-42</v>
      </c>
      <c r="Y36" s="466"/>
      <c r="Z36" s="534"/>
      <c r="AA36" s="462">
        <f t="shared" si="10"/>
        <v>36</v>
      </c>
      <c r="AB36" s="360"/>
      <c r="AC36" s="360"/>
      <c r="AD36" s="362"/>
      <c r="AE36" s="363"/>
      <c r="AF36" s="346"/>
      <c r="AG36" s="347">
        <f t="shared" si="2"/>
        <v>0</v>
      </c>
      <c r="AH36" s="341">
        <f t="shared" si="3"/>
        <v>0</v>
      </c>
      <c r="AI36" s="341"/>
      <c r="AJ36" s="341"/>
      <c r="AK36" s="348"/>
      <c r="AL36" s="349">
        <f>+IF(AK37=7.75,SUM(M36:S36)+T36*0.75,IF(AK37=8,SUM(M36:T36),IF(AK37=7.25,SUM(M36:S36)+T36*0.25,IF(AK37=8.25,SUM(M36:T36)+U36*0.25,IF(AK37=8.75,SUM(M36:T36)+U36*0.75,0)))))</f>
        <v>36</v>
      </c>
      <c r="AM36" s="341">
        <f>+AL36-AA36</f>
        <v>0</v>
      </c>
      <c r="AN36" s="341"/>
      <c r="AO36" s="341"/>
      <c r="AP36" s="341"/>
      <c r="AQ36" s="438"/>
      <c r="AR36" s="434"/>
      <c r="AT36" s="390"/>
      <c r="AV36" s="390"/>
    </row>
    <row r="37" spans="2:58" s="98" customFormat="1" ht="62.25" customHeight="1" thickBot="1" x14ac:dyDescent="0.95">
      <c r="B37" s="364">
        <f>+B35</f>
        <v>8</v>
      </c>
      <c r="C37" s="410"/>
      <c r="D37" s="174" t="s">
        <v>373</v>
      </c>
      <c r="E37" s="175">
        <f>+E36+100</f>
        <v>108</v>
      </c>
      <c r="F37" s="175"/>
      <c r="G37" s="542" t="str">
        <f t="shared" si="20"/>
        <v>2158-755-712</v>
      </c>
      <c r="H37" s="117"/>
      <c r="I37" s="442"/>
      <c r="J37" s="165">
        <f>+IF(K37="","",IF(K35=0,"",(K35*J35)/(K37*60)))</f>
        <v>0.89060784313725494</v>
      </c>
      <c r="K37" s="118">
        <v>51</v>
      </c>
      <c r="L37" s="104" t="s">
        <v>422</v>
      </c>
      <c r="M37" s="216"/>
      <c r="N37" s="216"/>
      <c r="O37" s="216"/>
      <c r="P37" s="216"/>
      <c r="Q37" s="216"/>
      <c r="R37" s="216"/>
      <c r="S37" s="216"/>
      <c r="T37" s="216"/>
      <c r="U37" s="216"/>
      <c r="V37" s="216"/>
      <c r="W37" s="216"/>
      <c r="X37" s="173"/>
      <c r="Y37" s="467">
        <v>12.75</v>
      </c>
      <c r="Z37" s="365">
        <v>12.75</v>
      </c>
      <c r="AA37" s="465">
        <f t="shared" si="10"/>
        <v>0</v>
      </c>
      <c r="AB37" s="367"/>
      <c r="AC37" s="367"/>
      <c r="AD37" s="368">
        <f>+IFERROR(AD35/(K35*$AQ$3),"")</f>
        <v>0.68355795148247978</v>
      </c>
      <c r="AE37" s="369"/>
      <c r="AF37" s="347"/>
      <c r="AG37" s="347">
        <f t="shared" si="2"/>
        <v>0</v>
      </c>
      <c r="AH37" s="341">
        <f t="shared" si="3"/>
        <v>0</v>
      </c>
      <c r="AI37" s="341"/>
      <c r="AJ37" s="356"/>
      <c r="AK37" s="370">
        <f>+$AJ$4</f>
        <v>8.75</v>
      </c>
      <c r="AL37" s="349">
        <f>+IF(AK37=7.75,SUM(M37:S37)+T37*0.75,IF(AK37=8,SUM(M37:T37),IF(AK37=7.25,SUM(M37:S37)+T37*0.25,IF(AK37=8.25,SUM(M37:T37)+U37*0.25,IF(AK37=8.75,SUM(M37:T37)+U37*0.75,0)))))</f>
        <v>0</v>
      </c>
      <c r="AM37" s="341">
        <f>+AL37-AA37</f>
        <v>0</v>
      </c>
      <c r="AN37" s="341"/>
      <c r="AO37" s="341"/>
      <c r="AP37" s="341"/>
      <c r="AQ37" s="369"/>
      <c r="AR37" s="434"/>
      <c r="AT37" s="390">
        <v>0.9358490566037736</v>
      </c>
      <c r="AV37" s="390"/>
    </row>
    <row r="38" spans="2:58" s="98" customFormat="1" ht="62.25" customHeight="1" thickTop="1" x14ac:dyDescent="0.9">
      <c r="B38" s="342">
        <f>+B39</f>
        <v>8</v>
      </c>
      <c r="C38" s="405"/>
      <c r="D38" s="106"/>
      <c r="E38" s="106"/>
      <c r="F38" s="106"/>
      <c r="G38" s="540" t="s">
        <v>497</v>
      </c>
      <c r="H38" s="106"/>
      <c r="I38" s="106"/>
      <c r="J38" s="107" t="s">
        <v>20</v>
      </c>
      <c r="K38" s="108" t="s">
        <v>23</v>
      </c>
      <c r="L38" s="100" t="s">
        <v>21</v>
      </c>
      <c r="M38" s="448">
        <v>50</v>
      </c>
      <c r="N38" s="448">
        <v>50</v>
      </c>
      <c r="O38" s="448"/>
      <c r="P38" s="448"/>
      <c r="Q38" s="448"/>
      <c r="R38" s="448"/>
      <c r="S38" s="448"/>
      <c r="T38" s="448"/>
      <c r="U38" s="448"/>
      <c r="V38" s="448"/>
      <c r="W38" s="448"/>
      <c r="X38" s="447">
        <f t="shared" si="6"/>
        <v>100</v>
      </c>
      <c r="Y38" s="466">
        <v>265</v>
      </c>
      <c r="Z38" s="533">
        <f>+X40</f>
        <v>117</v>
      </c>
      <c r="AA38" s="447">
        <f t="shared" si="7"/>
        <v>100</v>
      </c>
      <c r="AB38" s="343">
        <f>+AC38+AA38</f>
        <v>244</v>
      </c>
      <c r="AC38" s="343">
        <v>144</v>
      </c>
      <c r="AD38" s="344"/>
      <c r="AE38" s="345"/>
      <c r="AF38" s="346"/>
      <c r="AG38" s="347">
        <f t="shared" si="2"/>
        <v>0</v>
      </c>
      <c r="AH38" s="341">
        <f t="shared" si="3"/>
        <v>0</v>
      </c>
      <c r="AI38" s="341"/>
      <c r="AJ38" s="341"/>
      <c r="AK38" s="348"/>
      <c r="AL38" s="349"/>
      <c r="AM38" s="341"/>
      <c r="AN38" s="341"/>
      <c r="AO38" s="341"/>
      <c r="AP38" s="341"/>
      <c r="AQ38" s="350"/>
      <c r="AR38" s="434"/>
      <c r="AT38" s="390"/>
      <c r="AV38" s="390"/>
    </row>
    <row r="39" spans="2:58" s="98" customFormat="1" ht="62.25" customHeight="1" x14ac:dyDescent="0.9">
      <c r="B39" s="351">
        <v>8</v>
      </c>
      <c r="C39" s="406">
        <f>+B39</f>
        <v>8</v>
      </c>
      <c r="D39" s="407" t="s">
        <v>496</v>
      </c>
      <c r="E39" s="111"/>
      <c r="F39" s="111" t="s">
        <v>35</v>
      </c>
      <c r="G39" s="541" t="str">
        <f>+G38</f>
        <v>2397-582-401</v>
      </c>
      <c r="H39" s="111"/>
      <c r="I39" s="111" t="s">
        <v>41</v>
      </c>
      <c r="J39" s="113">
        <v>35.049999999999997</v>
      </c>
      <c r="K39" s="130">
        <v>75</v>
      </c>
      <c r="L39" s="101" t="s">
        <v>17</v>
      </c>
      <c r="M39" s="214"/>
      <c r="N39" s="214"/>
      <c r="O39" s="214"/>
      <c r="P39" s="214"/>
      <c r="Q39" s="214"/>
      <c r="R39" s="214"/>
      <c r="S39" s="214"/>
      <c r="T39" s="214"/>
      <c r="U39" s="214"/>
      <c r="V39" s="214"/>
      <c r="W39" s="214"/>
      <c r="X39" s="123">
        <f>+IF(H40="s",0,IF(AA39=0,0,IF(COUNTA(M39:W39)=AK41+0.25,SUMIF($C:$C,B39,$AA:$AA)/AK41,SUMIF($C:$C,B39,$AA:$AA)/(COUNTA(M39:W39)))))</f>
        <v>0</v>
      </c>
      <c r="Y39" s="466"/>
      <c r="Z39" s="534"/>
      <c r="AA39" s="134">
        <f t="shared" si="7"/>
        <v>0</v>
      </c>
      <c r="AB39" s="354">
        <f>+AA39+AC39</f>
        <v>0</v>
      </c>
      <c r="AC39" s="354">
        <v>0</v>
      </c>
      <c r="AD39" s="355">
        <f>+AB38-AB39</f>
        <v>244</v>
      </c>
      <c r="AE39" s="131">
        <f>+IF(((AA40+(AA41/2))*60)=0,"",(J39*AA39)/((AA40+(AA41/2))*60))</f>
        <v>0</v>
      </c>
      <c r="AF39" s="347">
        <f>+AA40+AA41/2</f>
        <v>126</v>
      </c>
      <c r="AG39" s="347">
        <f t="shared" si="2"/>
        <v>126</v>
      </c>
      <c r="AH39" s="341">
        <f t="shared" si="3"/>
        <v>7560</v>
      </c>
      <c r="AI39" s="341">
        <f>+AA39*J39</f>
        <v>0</v>
      </c>
      <c r="AJ39" s="356">
        <f>+AA39-(AF39*K39/K41)</f>
        <v>-192.85714285714286</v>
      </c>
      <c r="AK39" s="348"/>
      <c r="AL39" s="349"/>
      <c r="AM39" s="341"/>
      <c r="AN39" s="341"/>
      <c r="AO39" s="341"/>
      <c r="AP39" s="341"/>
      <c r="AQ39" s="339">
        <f>-500+AA38</f>
        <v>-400</v>
      </c>
      <c r="AR39" s="434">
        <v>1.45</v>
      </c>
      <c r="AT39" s="390">
        <v>144</v>
      </c>
      <c r="AV39" s="390">
        <f t="shared" ref="AV39" si="22">+AT39-AD39</f>
        <v>-100</v>
      </c>
    </row>
    <row r="40" spans="2:58" s="98" customFormat="1" ht="62.25" customHeight="1" x14ac:dyDescent="0.9">
      <c r="B40" s="357">
        <f>+B39</f>
        <v>8</v>
      </c>
      <c r="C40" s="408"/>
      <c r="D40" s="184"/>
      <c r="E40" s="111">
        <f>+B39</f>
        <v>8</v>
      </c>
      <c r="F40" s="409"/>
      <c r="G40" s="541" t="str">
        <f>+G39</f>
        <v>2397-582-401</v>
      </c>
      <c r="H40" s="411"/>
      <c r="I40" s="113">
        <f>+IFERROR(IF(K41=0,0,IF((LOOKUP(2,1/(M40:W40&lt;&gt;""),M40:W40)-K41)&lt;0,0,IF(K41=0,"",LOOKUP(2,1/(M40:W40&lt;&gt;""),M40:W40)-K41))),0)</f>
        <v>0</v>
      </c>
      <c r="J40" s="113"/>
      <c r="K40" s="114" t="s">
        <v>22</v>
      </c>
      <c r="L40" s="102" t="s">
        <v>18</v>
      </c>
      <c r="M40" s="448">
        <v>42</v>
      </c>
      <c r="N40" s="448">
        <v>42</v>
      </c>
      <c r="O40" s="448">
        <v>42</v>
      </c>
      <c r="P40" s="448"/>
      <c r="Q40" s="448"/>
      <c r="R40" s="448"/>
      <c r="S40" s="448"/>
      <c r="T40" s="448"/>
      <c r="U40" s="448"/>
      <c r="V40" s="448"/>
      <c r="W40" s="448"/>
      <c r="X40" s="160">
        <f>+IF(H40="l",IF(COUNTA(M39:W39)=AK41+0.25,AA39-K39*AK41,AA39-(K39*COUNTA(M39:W39))),IF(H40="s",0,IF(COUNTA(M39:W39)=AK41+0.25,SUMIF($C:$C,B39,$AA:$AA)-K39*AK41,SUMIF($C:$C,B39,$AA:$AA)-K39*COUNTA(M39:W39))))</f>
        <v>117</v>
      </c>
      <c r="Y40" s="466"/>
      <c r="Z40" s="534"/>
      <c r="AA40" s="462">
        <f t="shared" si="10"/>
        <v>126</v>
      </c>
      <c r="AB40" s="360"/>
      <c r="AC40" s="360"/>
      <c r="AD40" s="362"/>
      <c r="AE40" s="363"/>
      <c r="AF40" s="346"/>
      <c r="AG40" s="347">
        <f t="shared" si="2"/>
        <v>0</v>
      </c>
      <c r="AH40" s="341">
        <f t="shared" si="3"/>
        <v>0</v>
      </c>
      <c r="AI40" s="341"/>
      <c r="AJ40" s="341"/>
      <c r="AK40" s="348"/>
      <c r="AL40" s="349">
        <f>+IF(AK41=7.75,SUM(M40:S40)+T40*0.75,IF(AK41=8,SUM(M40:T40),IF(AK41=7.25,SUM(M40:S40)+T40*0.25,IF(AK41=8.25,SUM(M40:T40)+U40*0.25,IF(AK41=8.75,SUM(M40:T40)+U40*0.75,0)))))</f>
        <v>126</v>
      </c>
      <c r="AM40" s="341">
        <f>+AL40-AA40</f>
        <v>0</v>
      </c>
      <c r="AN40" s="341"/>
      <c r="AO40" s="341"/>
      <c r="AP40" s="341"/>
      <c r="AQ40" s="438"/>
      <c r="AR40" s="434"/>
      <c r="AT40" s="390"/>
      <c r="AV40" s="390"/>
    </row>
    <row r="41" spans="2:58" s="98" customFormat="1" ht="62.25" customHeight="1" thickBot="1" x14ac:dyDescent="0.95">
      <c r="B41" s="364">
        <f>+B39</f>
        <v>8</v>
      </c>
      <c r="C41" s="410"/>
      <c r="D41" s="174" t="s">
        <v>373</v>
      </c>
      <c r="E41" s="175">
        <f>+E40+100</f>
        <v>108</v>
      </c>
      <c r="F41" s="175"/>
      <c r="G41" s="542" t="str">
        <f>+G40</f>
        <v>2397-582-401</v>
      </c>
      <c r="H41" s="117"/>
      <c r="I41" s="442"/>
      <c r="J41" s="165">
        <f>+IF(K41="","",IF(K39=0,"",(K39*J39)/(K41*60)))</f>
        <v>0.89413265306122447</v>
      </c>
      <c r="K41" s="118">
        <v>49</v>
      </c>
      <c r="L41" s="104" t="s">
        <v>422</v>
      </c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173"/>
      <c r="Y41" s="467">
        <v>0</v>
      </c>
      <c r="Z41" s="371">
        <f>+IF(COUNTA(M39:W39)=$AJ$4+0.25,$AJ$4-(AA39/K39),COUNTA(M39:W39)-(AA39/K39))+Y41</f>
        <v>0</v>
      </c>
      <c r="AA41" s="465">
        <f t="shared" si="10"/>
        <v>0</v>
      </c>
      <c r="AB41" s="367"/>
      <c r="AC41" s="367"/>
      <c r="AD41" s="368">
        <f>+IFERROR(AD39/(K39*$AQ$3),"")</f>
        <v>0.37180952380952381</v>
      </c>
      <c r="AE41" s="369"/>
      <c r="AF41" s="347"/>
      <c r="AG41" s="347">
        <f t="shared" si="2"/>
        <v>0</v>
      </c>
      <c r="AH41" s="341">
        <f t="shared" si="3"/>
        <v>0</v>
      </c>
      <c r="AI41" s="341"/>
      <c r="AJ41" s="356"/>
      <c r="AK41" s="370">
        <f>+$AJ$4</f>
        <v>8.75</v>
      </c>
      <c r="AL41" s="349">
        <f>+IF(AK41=7.75,SUM(M41:S41)+T41*0.75,IF(AK41=8,SUM(M41:T41),IF(AK41=7.25,SUM(M41:S41)+T41*0.25,IF(AK41=8.25,SUM(M41:T41)+U41*0.25,IF(AK41=8.75,SUM(M41:T41)+U41*0.75,0)))))</f>
        <v>0</v>
      </c>
      <c r="AM41" s="341">
        <f>+AL41-AA41</f>
        <v>0</v>
      </c>
      <c r="AN41" s="341"/>
      <c r="AO41" s="341"/>
      <c r="AP41" s="341"/>
      <c r="AQ41" s="369"/>
      <c r="AR41" s="434"/>
      <c r="AT41" s="390">
        <v>0.2742857142857143</v>
      </c>
      <c r="AV41" s="390"/>
    </row>
    <row r="42" spans="2:58" s="98" customFormat="1" ht="62.25" customHeight="1" thickTop="1" x14ac:dyDescent="0.9">
      <c r="B42" s="342">
        <f>+B43</f>
        <v>11</v>
      </c>
      <c r="C42" s="405"/>
      <c r="D42" s="106"/>
      <c r="E42" s="106"/>
      <c r="F42" s="106"/>
      <c r="G42" s="540" t="s">
        <v>481</v>
      </c>
      <c r="H42" s="106"/>
      <c r="I42" s="106"/>
      <c r="J42" s="107" t="s">
        <v>20</v>
      </c>
      <c r="K42" s="108" t="s">
        <v>23</v>
      </c>
      <c r="L42" s="100" t="s">
        <v>21</v>
      </c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448"/>
      <c r="X42" s="447" t="str">
        <f t="shared" si="6"/>
        <v/>
      </c>
      <c r="Y42" s="466">
        <v>0</v>
      </c>
      <c r="Z42" s="533">
        <f>+X44</f>
        <v>-36</v>
      </c>
      <c r="AA42" s="447">
        <f t="shared" si="7"/>
        <v>0</v>
      </c>
      <c r="AB42" s="343">
        <f>+AC42+AA42</f>
        <v>4140</v>
      </c>
      <c r="AC42" s="343">
        <v>4140</v>
      </c>
      <c r="AD42" s="344"/>
      <c r="AE42" s="345"/>
      <c r="AF42" s="346"/>
      <c r="AG42" s="347">
        <f t="shared" si="2"/>
        <v>0</v>
      </c>
      <c r="AH42" s="341">
        <f t="shared" si="3"/>
        <v>0</v>
      </c>
      <c r="AI42" s="341"/>
      <c r="AJ42" s="341"/>
      <c r="AK42" s="348"/>
      <c r="AL42" s="349"/>
      <c r="AM42" s="341"/>
      <c r="AN42" s="341"/>
      <c r="AO42" s="341"/>
      <c r="AP42" s="341"/>
      <c r="AQ42" s="350"/>
      <c r="AR42" s="434"/>
      <c r="AT42" s="390"/>
      <c r="AV42" s="390"/>
    </row>
    <row r="43" spans="2:58" s="98" customFormat="1" ht="62.25" customHeight="1" x14ac:dyDescent="1.35">
      <c r="B43" s="351">
        <v>11</v>
      </c>
      <c r="C43" s="406">
        <f>+B43</f>
        <v>11</v>
      </c>
      <c r="D43" s="407" t="s">
        <v>480</v>
      </c>
      <c r="E43" s="111"/>
      <c r="F43" s="111" t="s">
        <v>35</v>
      </c>
      <c r="G43" s="541" t="str">
        <f t="shared" ref="G43:G45" si="23">+G42</f>
        <v>2396-593-600</v>
      </c>
      <c r="H43" s="111"/>
      <c r="I43" s="111" t="s">
        <v>33</v>
      </c>
      <c r="J43" s="113">
        <v>38.82</v>
      </c>
      <c r="K43" s="130">
        <v>60</v>
      </c>
      <c r="L43" s="101" t="s">
        <v>17</v>
      </c>
      <c r="M43" s="214">
        <v>35</v>
      </c>
      <c r="N43" s="214">
        <v>54</v>
      </c>
      <c r="O43" s="214">
        <v>55</v>
      </c>
      <c r="P43" s="214"/>
      <c r="Q43" s="214"/>
      <c r="R43" s="214"/>
      <c r="S43" s="214"/>
      <c r="T43" s="214"/>
      <c r="U43" s="214"/>
      <c r="V43" s="214"/>
      <c r="W43" s="214"/>
      <c r="X43" s="123">
        <f>+IF(H44="s",0,IF(AA43=0,0,IF(COUNTA(M43:W43)=AK45+0.25,SUMIF($C:$C,B43,$AA:$AA)/AK45,SUMIF($C:$C,B43,$AA:$AA)/(COUNTA(M43:W43)))))</f>
        <v>48</v>
      </c>
      <c r="Y43" s="466"/>
      <c r="Z43" s="534"/>
      <c r="AA43" s="134">
        <f t="shared" si="7"/>
        <v>144</v>
      </c>
      <c r="AB43" s="354">
        <f>+AA43+AC43</f>
        <v>3765</v>
      </c>
      <c r="AC43" s="354">
        <v>3621</v>
      </c>
      <c r="AD43" s="355">
        <f>+AB42-AB43</f>
        <v>375</v>
      </c>
      <c r="AE43" s="131">
        <f>+IF(((AA44+(AA45/2))*60)=0,"",(J43*AA43)/((AA44+(AA45/2))*60))</f>
        <v>0.73360629921259846</v>
      </c>
      <c r="AF43" s="347">
        <f>+AA44+AA45/2</f>
        <v>127</v>
      </c>
      <c r="AG43" s="347">
        <f t="shared" si="2"/>
        <v>127</v>
      </c>
      <c r="AH43" s="341">
        <f t="shared" si="3"/>
        <v>7620</v>
      </c>
      <c r="AI43" s="341">
        <f>+AA43*J43</f>
        <v>5590.08</v>
      </c>
      <c r="AJ43" s="356">
        <f>+AA43-(AF43*K43/K45)</f>
        <v>-33.209302325581405</v>
      </c>
      <c r="AK43" s="348"/>
      <c r="AL43" s="349"/>
      <c r="AM43" s="341"/>
      <c r="AN43" s="341"/>
      <c r="AO43" s="341"/>
      <c r="AP43" s="341"/>
      <c r="AQ43" s="339"/>
      <c r="AR43" s="434">
        <v>1.5</v>
      </c>
      <c r="AT43" s="390">
        <v>519</v>
      </c>
      <c r="AV43" s="390">
        <f t="shared" ref="AV43" si="24">+AT43-AD43</f>
        <v>144</v>
      </c>
      <c r="AW43" s="535"/>
      <c r="AX43" s="535"/>
      <c r="AY43" s="535"/>
      <c r="AZ43" s="535"/>
      <c r="BA43" s="535"/>
      <c r="BB43" s="535"/>
      <c r="BC43" s="535"/>
      <c r="BD43" s="535"/>
      <c r="BE43" s="535"/>
      <c r="BF43" s="535"/>
    </row>
    <row r="44" spans="2:58" s="98" customFormat="1" ht="62.25" customHeight="1" x14ac:dyDescent="0.9">
      <c r="B44" s="357">
        <f>+B43</f>
        <v>11</v>
      </c>
      <c r="C44" s="408"/>
      <c r="D44" s="184"/>
      <c r="E44" s="111">
        <f>+B43</f>
        <v>11</v>
      </c>
      <c r="F44" s="412"/>
      <c r="G44" s="541" t="str">
        <f t="shared" si="23"/>
        <v>2396-593-600</v>
      </c>
      <c r="H44" s="411" t="s">
        <v>412</v>
      </c>
      <c r="I44" s="113">
        <f>+IFERROR(IF(K45=0,0,IF((LOOKUP(2,1/(M44:W44&lt;&gt;""),M44:W44)-K45)&lt;0,0,IF(K45=0,"",LOOKUP(2,1/(M44:W44&lt;&gt;""),M44:W44)-K45))),0)</f>
        <v>0</v>
      </c>
      <c r="J44" s="113">
        <v>2</v>
      </c>
      <c r="K44" s="114" t="s">
        <v>22</v>
      </c>
      <c r="L44" s="102" t="s">
        <v>18</v>
      </c>
      <c r="M44" s="448">
        <v>42</v>
      </c>
      <c r="N44" s="448">
        <v>42</v>
      </c>
      <c r="O44" s="448">
        <v>40</v>
      </c>
      <c r="P44" s="448"/>
      <c r="Q44" s="448"/>
      <c r="R44" s="448"/>
      <c r="S44" s="448"/>
      <c r="T44" s="448"/>
      <c r="U44" s="448"/>
      <c r="V44" s="448"/>
      <c r="W44" s="448"/>
      <c r="X44" s="160">
        <f>+IF(H44="l",IF(COUNTA(M43:W43)=AK45+0.25,AA43-K43*AK45,AA43-(K43*COUNTA(M43:W43))),IF(H44="s",0,IF(COUNTA(M43:W43)=AK45+0.25,SUMIF($C:$C,B43,$AA:$AA)-K43*AK45,SUMIF($C:$C,B43,$AA:$AA)-K43*COUNTA(M43:W43))))</f>
        <v>-36</v>
      </c>
      <c r="Y44" s="466"/>
      <c r="Z44" s="534"/>
      <c r="AA44" s="462">
        <f t="shared" si="10"/>
        <v>124</v>
      </c>
      <c r="AB44" s="360"/>
      <c r="AC44" s="360"/>
      <c r="AD44" s="362"/>
      <c r="AE44" s="363"/>
      <c r="AF44" s="346"/>
      <c r="AG44" s="347">
        <f t="shared" si="2"/>
        <v>0</v>
      </c>
      <c r="AH44" s="341">
        <f t="shared" si="3"/>
        <v>0</v>
      </c>
      <c r="AI44" s="341"/>
      <c r="AJ44" s="341"/>
      <c r="AK44" s="348"/>
      <c r="AL44" s="349">
        <f>+IF(AK45=7.75,SUM(M44:S44)+T44*0.75,IF(AK45=8,SUM(M44:T44),IF(AK45=7.25,SUM(M44:S44)+T44*0.25,IF(AK45=8.25,SUM(M44:T44)+U44*0.25,IF(AK45=8.75,SUM(M44:T44)+U44*0.75,0)))))</f>
        <v>124</v>
      </c>
      <c r="AM44" s="341">
        <f>+AL44-AA44</f>
        <v>0</v>
      </c>
      <c r="AN44" s="341"/>
      <c r="AO44" s="341"/>
      <c r="AP44" s="341"/>
      <c r="AQ44" s="438"/>
      <c r="AR44" s="434"/>
      <c r="AT44" s="390"/>
      <c r="AV44" s="390"/>
    </row>
    <row r="45" spans="2:58" s="98" customFormat="1" ht="62.25" customHeight="1" thickBot="1" x14ac:dyDescent="0.95">
      <c r="B45" s="364">
        <f>+B43</f>
        <v>11</v>
      </c>
      <c r="C45" s="410"/>
      <c r="D45" s="174" t="s">
        <v>418</v>
      </c>
      <c r="E45" s="175">
        <f>+E44+100</f>
        <v>111</v>
      </c>
      <c r="F45" s="175"/>
      <c r="G45" s="542" t="str">
        <f t="shared" si="23"/>
        <v>2396-593-600</v>
      </c>
      <c r="H45" s="117"/>
      <c r="I45" s="442"/>
      <c r="J45" s="165">
        <f>+IF(K45="","",IF(K43=0,"",(K43*J43)/(K45*60)))</f>
        <v>0.90279069767441855</v>
      </c>
      <c r="K45" s="118">
        <v>43</v>
      </c>
      <c r="L45" s="104" t="s">
        <v>422</v>
      </c>
      <c r="M45" s="216">
        <v>2</v>
      </c>
      <c r="N45" s="216">
        <v>2</v>
      </c>
      <c r="O45" s="216">
        <v>2</v>
      </c>
      <c r="P45" s="216"/>
      <c r="Q45" s="216"/>
      <c r="R45" s="216"/>
      <c r="S45" s="216"/>
      <c r="T45" s="216"/>
      <c r="U45" s="216"/>
      <c r="V45" s="216"/>
      <c r="W45" s="216"/>
      <c r="X45" s="173"/>
      <c r="Y45" s="467">
        <v>10.253933333333334</v>
      </c>
      <c r="Z45" s="365">
        <v>10.253933333333334</v>
      </c>
      <c r="AA45" s="465">
        <f>+SUM(M45:W45)-U45*0.25</f>
        <v>6</v>
      </c>
      <c r="AB45" s="367"/>
      <c r="AC45" s="367"/>
      <c r="AD45" s="368">
        <f>+IFERROR(AD43/(K43*$AQ$3),"")</f>
        <v>0.7142857142857143</v>
      </c>
      <c r="AE45" s="369"/>
      <c r="AF45" s="347"/>
      <c r="AG45" s="347">
        <f t="shared" si="2"/>
        <v>0</v>
      </c>
      <c r="AH45" s="341">
        <f t="shared" si="3"/>
        <v>0</v>
      </c>
      <c r="AI45" s="341"/>
      <c r="AJ45" s="356"/>
      <c r="AK45" s="370">
        <f>+$AJ$4</f>
        <v>8.75</v>
      </c>
      <c r="AL45" s="349">
        <f>+IF(AK45=7.75,SUM(M45:S45)+T45*0.75,IF(AK45=8,SUM(M45:T45),IF(AK45=7.25,SUM(M45:S45)+T45*0.25,IF(AK45=8.25,SUM(M45:T45)+U45*0.25,IF(AK45=8.75,SUM(M45:T45)+U45*0.75,0)))))</f>
        <v>6</v>
      </c>
      <c r="AM45" s="341">
        <f>+AL45-AA45</f>
        <v>0</v>
      </c>
      <c r="AN45" s="341"/>
      <c r="AO45" s="341"/>
      <c r="AP45" s="341"/>
      <c r="AQ45" s="369"/>
      <c r="AR45" s="434"/>
      <c r="AT45" s="390">
        <v>0.98857142857142855</v>
      </c>
      <c r="AV45" s="390"/>
    </row>
    <row r="46" spans="2:58" s="98" customFormat="1" ht="62.25" customHeight="1" thickTop="1" x14ac:dyDescent="0.9">
      <c r="B46" s="342">
        <f>+B47</f>
        <v>11</v>
      </c>
      <c r="C46" s="405"/>
      <c r="D46" s="106"/>
      <c r="E46" s="106"/>
      <c r="F46" s="106"/>
      <c r="G46" s="540" t="s">
        <v>497</v>
      </c>
      <c r="H46" s="106"/>
      <c r="I46" s="106"/>
      <c r="J46" s="107" t="s">
        <v>20</v>
      </c>
      <c r="K46" s="108" t="s">
        <v>23</v>
      </c>
      <c r="L46" s="100" t="s">
        <v>21</v>
      </c>
      <c r="M46" s="448"/>
      <c r="N46" s="448">
        <v>50</v>
      </c>
      <c r="O46" s="448"/>
      <c r="P46" s="448"/>
      <c r="Q46" s="448"/>
      <c r="R46" s="448"/>
      <c r="S46" s="448"/>
      <c r="T46" s="448"/>
      <c r="U46" s="448"/>
      <c r="V46" s="448"/>
      <c r="W46" s="448"/>
      <c r="X46" s="447">
        <f t="shared" si="6"/>
        <v>50</v>
      </c>
      <c r="Y46" s="466">
        <v>0</v>
      </c>
      <c r="Z46" s="533">
        <f>+X48</f>
        <v>0</v>
      </c>
      <c r="AA46" s="447">
        <f t="shared" si="7"/>
        <v>50</v>
      </c>
      <c r="AB46" s="343">
        <f>+AC46+AA46</f>
        <v>150</v>
      </c>
      <c r="AC46" s="343">
        <v>100</v>
      </c>
      <c r="AD46" s="344"/>
      <c r="AE46" s="345"/>
      <c r="AF46" s="346"/>
      <c r="AG46" s="347">
        <f t="shared" si="2"/>
        <v>0</v>
      </c>
      <c r="AH46" s="341">
        <f t="shared" si="3"/>
        <v>0</v>
      </c>
      <c r="AI46" s="341"/>
      <c r="AJ46" s="341"/>
      <c r="AK46" s="348"/>
      <c r="AL46" s="349"/>
      <c r="AM46" s="341"/>
      <c r="AN46" s="341"/>
      <c r="AO46" s="341"/>
      <c r="AP46" s="341"/>
      <c r="AQ46" s="350"/>
      <c r="AR46" s="434"/>
      <c r="AT46" s="390"/>
      <c r="AV46" s="390"/>
    </row>
    <row r="47" spans="2:58" s="98" customFormat="1" ht="62.25" customHeight="1" x14ac:dyDescent="0.9">
      <c r="B47" s="351">
        <v>11</v>
      </c>
      <c r="C47" s="406">
        <v>12</v>
      </c>
      <c r="D47" s="407" t="s">
        <v>496</v>
      </c>
      <c r="E47" s="111"/>
      <c r="F47" s="111" t="s">
        <v>35</v>
      </c>
      <c r="G47" s="541" t="str">
        <f>+G46</f>
        <v>2397-582-401</v>
      </c>
      <c r="H47" s="111"/>
      <c r="I47" s="111" t="s">
        <v>41</v>
      </c>
      <c r="J47" s="113">
        <v>35.049999999999997</v>
      </c>
      <c r="K47" s="130">
        <v>75</v>
      </c>
      <c r="L47" s="101" t="s">
        <v>17</v>
      </c>
      <c r="M47" s="214"/>
      <c r="N47" s="214"/>
      <c r="O47" s="214"/>
      <c r="P47" s="214"/>
      <c r="Q47" s="214"/>
      <c r="R47" s="214"/>
      <c r="S47" s="214"/>
      <c r="T47" s="214"/>
      <c r="U47" s="214"/>
      <c r="V47" s="214"/>
      <c r="W47" s="214"/>
      <c r="X47" s="123">
        <f>+IF(H48="s",0,IF(AA47=0,0,IF(COUNTA(M47:W47)=AK49+0.25,SUMIF($C:$C,B47,$AA:$AA)/AK49,SUMIF($C:$C,B47,$AA:$AA)/(COUNTA(M47:W47)))))</f>
        <v>0</v>
      </c>
      <c r="Y47" s="466"/>
      <c r="Z47" s="534"/>
      <c r="AA47" s="134">
        <f t="shared" si="7"/>
        <v>0</v>
      </c>
      <c r="AB47" s="354">
        <f>+AA47+AC47</f>
        <v>0</v>
      </c>
      <c r="AC47" s="354">
        <v>0</v>
      </c>
      <c r="AD47" s="355">
        <f>+AB46-AB47</f>
        <v>150</v>
      </c>
      <c r="AE47" s="131">
        <f>+IF(((AA48+(AA49/2))*60)=0,"",(J47*AA47)/((AA48+(AA49/2))*60))</f>
        <v>0</v>
      </c>
      <c r="AF47" s="347">
        <f>+AA48+AA49/2</f>
        <v>2</v>
      </c>
      <c r="AG47" s="347">
        <f t="shared" si="2"/>
        <v>2</v>
      </c>
      <c r="AH47" s="341">
        <f t="shared" si="3"/>
        <v>120</v>
      </c>
      <c r="AI47" s="341">
        <f>+AA47*J47</f>
        <v>0</v>
      </c>
      <c r="AJ47" s="356">
        <f>+AA47-(AF47*K47/K49)</f>
        <v>-3.0612244897959182</v>
      </c>
      <c r="AK47" s="348"/>
      <c r="AL47" s="349"/>
      <c r="AM47" s="341"/>
      <c r="AN47" s="341"/>
      <c r="AO47" s="341"/>
      <c r="AP47" s="341"/>
      <c r="AQ47" s="339">
        <f>-300+AA46</f>
        <v>-250</v>
      </c>
      <c r="AR47" s="434"/>
      <c r="AT47" s="390">
        <v>100</v>
      </c>
      <c r="AV47" s="390">
        <f t="shared" ref="AV47" si="25">+AT47-AD47</f>
        <v>-50</v>
      </c>
    </row>
    <row r="48" spans="2:58" s="98" customFormat="1" ht="62.25" customHeight="1" x14ac:dyDescent="0.9">
      <c r="B48" s="357">
        <f>+B47</f>
        <v>11</v>
      </c>
      <c r="C48" s="408"/>
      <c r="D48" s="184"/>
      <c r="E48" s="111">
        <f>+B47</f>
        <v>11</v>
      </c>
      <c r="F48" s="409"/>
      <c r="G48" s="541" t="str">
        <f>+G47</f>
        <v>2397-582-401</v>
      </c>
      <c r="H48" s="411" t="s">
        <v>413</v>
      </c>
      <c r="I48" s="113">
        <f>+IFERROR(IF(K49=0,0,IF((LOOKUP(2,1/(M48:W48&lt;&gt;""),M48:W48)-K49)&lt;0,0,IF(K49=0,"",LOOKUP(2,1/(M48:W48&lt;&gt;""),M48:W48)-K49))),0)</f>
        <v>0</v>
      </c>
      <c r="J48" s="113"/>
      <c r="K48" s="114" t="s">
        <v>22</v>
      </c>
      <c r="L48" s="102" t="s">
        <v>18</v>
      </c>
      <c r="M48" s="448"/>
      <c r="N48" s="448"/>
      <c r="O48" s="448">
        <v>2</v>
      </c>
      <c r="P48" s="448"/>
      <c r="Q48" s="448"/>
      <c r="R48" s="448"/>
      <c r="S48" s="448"/>
      <c r="T48" s="448"/>
      <c r="U48" s="448"/>
      <c r="V48" s="448"/>
      <c r="W48" s="448"/>
      <c r="X48" s="160">
        <f>+IF(H48="l",IF(COUNTA(M47:W47)=AK49+0.25,AA47-K47*AK49,AA47-(K47*COUNTA(M47:W47))),IF(H48="s",0,IF(COUNTA(M47:W47)=AK49+0.25,SUMIF($C:$C,B47,$AA:$AA)-K47*AK49,SUMIF($C:$C,B47,$AA:$AA)-K47*COUNTA(M47:W47))))</f>
        <v>0</v>
      </c>
      <c r="Y48" s="466"/>
      <c r="Z48" s="534"/>
      <c r="AA48" s="462">
        <f t="shared" si="10"/>
        <v>2</v>
      </c>
      <c r="AB48" s="360"/>
      <c r="AC48" s="360"/>
      <c r="AD48" s="362"/>
      <c r="AE48" s="363"/>
      <c r="AF48" s="346"/>
      <c r="AG48" s="347">
        <f t="shared" si="2"/>
        <v>0</v>
      </c>
      <c r="AH48" s="341">
        <f t="shared" si="3"/>
        <v>0</v>
      </c>
      <c r="AI48" s="341"/>
      <c r="AJ48" s="341"/>
      <c r="AK48" s="348"/>
      <c r="AL48" s="349">
        <f>+IF(AK49=7.75,SUM(M48:S48)+T48*0.75,IF(AK49=8,SUM(M48:T48),IF(AK49=7.25,SUM(M48:S48)+T48*0.25,IF(AK49=8.25,SUM(M48:T48)+U48*0.25,IF(AK49=8.75,SUM(M48:T48)+U48*0.75,0)))))</f>
        <v>2</v>
      </c>
      <c r="AM48" s="341">
        <f>+AL48-AA48</f>
        <v>0</v>
      </c>
      <c r="AN48" s="341"/>
      <c r="AO48" s="341"/>
      <c r="AP48" s="341"/>
      <c r="AQ48" s="438"/>
      <c r="AR48" s="434"/>
      <c r="AT48" s="390"/>
      <c r="AV48" s="390"/>
    </row>
    <row r="49" spans="2:58" s="98" customFormat="1" ht="62.25" customHeight="1" thickBot="1" x14ac:dyDescent="0.95">
      <c r="B49" s="364">
        <f>+B47</f>
        <v>11</v>
      </c>
      <c r="C49" s="410"/>
      <c r="D49" s="174" t="s">
        <v>418</v>
      </c>
      <c r="E49" s="175">
        <f>+E48+100</f>
        <v>111</v>
      </c>
      <c r="F49" s="175"/>
      <c r="G49" s="542" t="str">
        <f>+G48</f>
        <v>2397-582-401</v>
      </c>
      <c r="H49" s="117"/>
      <c r="I49" s="442"/>
      <c r="J49" s="165">
        <f>+IF(K49="","",IF(K47=0,"",(K47*J47)/(K49*60)))</f>
        <v>0.89413265306122447</v>
      </c>
      <c r="K49" s="118">
        <v>49</v>
      </c>
      <c r="L49" s="104" t="s">
        <v>19</v>
      </c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173"/>
      <c r="Y49" s="467"/>
      <c r="Z49" s="371"/>
      <c r="AA49" s="465">
        <f t="shared" si="10"/>
        <v>0</v>
      </c>
      <c r="AB49" s="367"/>
      <c r="AC49" s="367"/>
      <c r="AD49" s="368">
        <f>+IFERROR(AD47/(K47*$AQ$3),"")</f>
        <v>0.22857142857142856</v>
      </c>
      <c r="AE49" s="369"/>
      <c r="AF49" s="347"/>
      <c r="AG49" s="347">
        <f t="shared" si="2"/>
        <v>0</v>
      </c>
      <c r="AH49" s="341">
        <f t="shared" si="3"/>
        <v>0</v>
      </c>
      <c r="AI49" s="341"/>
      <c r="AJ49" s="356"/>
      <c r="AK49" s="370">
        <f>+$AJ$4</f>
        <v>8.75</v>
      </c>
      <c r="AL49" s="349">
        <f>+IF(AK49=7.75,SUM(M49:S49)+T49*0.75,IF(AK49=8,SUM(M49:T49),IF(AK49=7.25,SUM(M49:S49)+T49*0.25,IF(AK49=8.25,SUM(M49:T49)+U49*0.25,IF(AK49=8.75,SUM(M49:T49)+U49*0.75,0)))))</f>
        <v>0</v>
      </c>
      <c r="AM49" s="341">
        <f>+AL49-AA49</f>
        <v>0</v>
      </c>
      <c r="AN49" s="341"/>
      <c r="AO49" s="341"/>
      <c r="AP49" s="341"/>
      <c r="AQ49" s="369"/>
      <c r="AR49" s="434"/>
      <c r="AT49" s="390">
        <v>0.19047619047619047</v>
      </c>
      <c r="AV49" s="390"/>
    </row>
    <row r="50" spans="2:58" s="98" customFormat="1" ht="62.25" customHeight="1" thickTop="1" x14ac:dyDescent="0.9">
      <c r="B50" s="342">
        <f>+B51</f>
        <v>13</v>
      </c>
      <c r="C50" s="405"/>
      <c r="D50" s="106"/>
      <c r="E50" s="106"/>
      <c r="F50" s="106"/>
      <c r="G50" s="540" t="s">
        <v>497</v>
      </c>
      <c r="H50" s="106"/>
      <c r="I50" s="106"/>
      <c r="J50" s="107" t="s">
        <v>20</v>
      </c>
      <c r="K50" s="108" t="s">
        <v>23</v>
      </c>
      <c r="L50" s="100" t="s">
        <v>21</v>
      </c>
      <c r="M50" s="448">
        <v>50</v>
      </c>
      <c r="N50" s="448">
        <v>50</v>
      </c>
      <c r="O50" s="448"/>
      <c r="P50" s="448"/>
      <c r="Q50" s="448"/>
      <c r="R50" s="448"/>
      <c r="S50" s="448"/>
      <c r="T50" s="448"/>
      <c r="U50" s="448"/>
      <c r="V50" s="448"/>
      <c r="W50" s="448"/>
      <c r="X50" s="447">
        <f t="shared" si="6"/>
        <v>100</v>
      </c>
      <c r="Y50" s="466">
        <v>-656.25</v>
      </c>
      <c r="Z50" s="533">
        <f>+X52</f>
        <v>-225</v>
      </c>
      <c r="AA50" s="447">
        <f t="shared" si="7"/>
        <v>100</v>
      </c>
      <c r="AB50" s="343">
        <f>+AC50+AA50</f>
        <v>497</v>
      </c>
      <c r="AC50" s="343">
        <v>397</v>
      </c>
      <c r="AD50" s="344"/>
      <c r="AE50" s="345"/>
      <c r="AF50" s="346"/>
      <c r="AG50" s="347">
        <f t="shared" si="2"/>
        <v>0</v>
      </c>
      <c r="AH50" s="341">
        <f t="shared" si="3"/>
        <v>0</v>
      </c>
      <c r="AI50" s="341"/>
      <c r="AJ50" s="341"/>
      <c r="AK50" s="348"/>
      <c r="AL50" s="349"/>
      <c r="AM50" s="341"/>
      <c r="AN50" s="341"/>
      <c r="AO50" s="341"/>
      <c r="AP50" s="341"/>
      <c r="AQ50" s="350"/>
      <c r="AR50" s="434"/>
      <c r="AT50" s="390"/>
      <c r="AV50" s="390"/>
    </row>
    <row r="51" spans="2:58" s="98" customFormat="1" ht="62.25" customHeight="1" x14ac:dyDescent="0.9">
      <c r="B51" s="351">
        <v>13</v>
      </c>
      <c r="C51" s="406">
        <f>+B51</f>
        <v>13</v>
      </c>
      <c r="D51" s="407" t="s">
        <v>496</v>
      </c>
      <c r="E51" s="111"/>
      <c r="F51" s="111" t="s">
        <v>35</v>
      </c>
      <c r="G51" s="541" t="str">
        <f>+G50</f>
        <v>2397-582-401</v>
      </c>
      <c r="H51" s="111"/>
      <c r="I51" s="111" t="s">
        <v>41</v>
      </c>
      <c r="J51" s="113">
        <v>35.049999999999997</v>
      </c>
      <c r="K51" s="130">
        <v>75</v>
      </c>
      <c r="L51" s="101" t="s">
        <v>17</v>
      </c>
      <c r="M51" s="214">
        <v>0</v>
      </c>
      <c r="N51" s="214">
        <v>0</v>
      </c>
      <c r="O51" s="214">
        <v>0</v>
      </c>
      <c r="P51" s="214"/>
      <c r="Q51" s="214"/>
      <c r="R51" s="214"/>
      <c r="S51" s="214"/>
      <c r="T51" s="214"/>
      <c r="U51" s="214"/>
      <c r="V51" s="214"/>
      <c r="W51" s="214"/>
      <c r="X51" s="123">
        <f>+IF(H52="s",0,IF(AA51=0,0,IF(COUNTA(M51:W51)=AK53+0.25,SUMIF($C:$C,B51,$AA:$AA)/AK53,SUMIF($C:$C,B51,$AA:$AA)/(COUNTA(M51:W51)))))</f>
        <v>0</v>
      </c>
      <c r="Y51" s="466"/>
      <c r="Z51" s="534"/>
      <c r="AA51" s="134">
        <f t="shared" si="7"/>
        <v>0</v>
      </c>
      <c r="AB51" s="354">
        <f>+AA51+AC51</f>
        <v>0</v>
      </c>
      <c r="AC51" s="354">
        <v>0</v>
      </c>
      <c r="AD51" s="355">
        <f>+AB50-AB51</f>
        <v>497</v>
      </c>
      <c r="AE51" s="131">
        <f>+IF(((AA52+(AA53/2))*60)=0,"",(J51*AA51)/((AA52+(AA53/2))*60))</f>
        <v>0</v>
      </c>
      <c r="AF51" s="347">
        <f>+AA52+AA53/2</f>
        <v>129</v>
      </c>
      <c r="AG51" s="347">
        <f t="shared" si="2"/>
        <v>129</v>
      </c>
      <c r="AH51" s="341">
        <f t="shared" si="3"/>
        <v>7740</v>
      </c>
      <c r="AI51" s="341">
        <f>+AA51*J51</f>
        <v>0</v>
      </c>
      <c r="AJ51" s="356">
        <f>+AA51-(AF51*K51/K53)</f>
        <v>-197.44897959183675</v>
      </c>
      <c r="AK51" s="348"/>
      <c r="AL51" s="349"/>
      <c r="AM51" s="341"/>
      <c r="AN51" s="341"/>
      <c r="AO51" s="341"/>
      <c r="AP51" s="341"/>
      <c r="AQ51" s="339">
        <f>-500+AA50</f>
        <v>-400</v>
      </c>
      <c r="AR51" s="434">
        <v>1</v>
      </c>
      <c r="AT51" s="390">
        <v>397</v>
      </c>
      <c r="AV51" s="390">
        <f t="shared" ref="AV51" si="26">+AT51-AD51</f>
        <v>-100</v>
      </c>
    </row>
    <row r="52" spans="2:58" s="98" customFormat="1" ht="62.25" customHeight="1" x14ac:dyDescent="0.9">
      <c r="B52" s="357">
        <f>+B51</f>
        <v>13</v>
      </c>
      <c r="C52" s="408"/>
      <c r="D52" s="184"/>
      <c r="E52" s="111">
        <f>+B51</f>
        <v>13</v>
      </c>
      <c r="F52" s="409"/>
      <c r="G52" s="541" t="str">
        <f>+G51</f>
        <v>2397-582-401</v>
      </c>
      <c r="H52" s="411" t="s">
        <v>413</v>
      </c>
      <c r="I52" s="113">
        <f>+IFERROR(IF(K53=0,0,IF((LOOKUP(2,1/(M52:W52&lt;&gt;""),M52:W52)-K53)&lt;0,0,IF(K53=0,"",LOOKUP(2,1/(M52:W52&lt;&gt;""),M52:W52)-K53))),0)</f>
        <v>0</v>
      </c>
      <c r="J52" s="113"/>
      <c r="K52" s="114" t="s">
        <v>22</v>
      </c>
      <c r="L52" s="102" t="s">
        <v>18</v>
      </c>
      <c r="M52" s="448">
        <v>43</v>
      </c>
      <c r="N52" s="448">
        <v>43</v>
      </c>
      <c r="O52" s="448">
        <v>43</v>
      </c>
      <c r="P52" s="448"/>
      <c r="Q52" s="448"/>
      <c r="R52" s="448"/>
      <c r="S52" s="448"/>
      <c r="T52" s="448"/>
      <c r="U52" s="448"/>
      <c r="V52" s="448"/>
      <c r="W52" s="448"/>
      <c r="X52" s="160">
        <f>+IF(H52="l",IF(COUNTA(M51:W51)=AK53+0.25,AA51-K51*AK53,AA51-(K51*COUNTA(M51:W51))),IF(H52="s",0,IF(COUNTA(M51:W51)=AK53+0.25,SUMIF($C:$C,B51,$AA:$AA)-K51*AK53,SUMIF($C:$C,B51,$AA:$AA)-K51*COUNTA(M51:W51))))</f>
        <v>-225</v>
      </c>
      <c r="Y52" s="466"/>
      <c r="Z52" s="534"/>
      <c r="AA52" s="462">
        <f t="shared" si="10"/>
        <v>129</v>
      </c>
      <c r="AB52" s="360"/>
      <c r="AC52" s="360"/>
      <c r="AD52" s="362"/>
      <c r="AE52" s="363"/>
      <c r="AF52" s="346"/>
      <c r="AG52" s="347">
        <f t="shared" si="2"/>
        <v>0</v>
      </c>
      <c r="AH52" s="341">
        <f t="shared" si="3"/>
        <v>0</v>
      </c>
      <c r="AI52" s="341"/>
      <c r="AJ52" s="341"/>
      <c r="AK52" s="348"/>
      <c r="AL52" s="349">
        <f>+IF(AK53=7.75,SUM(M52:S52)+T52*0.75,IF(AK53=8,SUM(M52:T52),IF(AK53=7.25,SUM(M52:S52)+T52*0.25,IF(AK53=8.25,SUM(M52:T52)+U52*0.25,IF(AK53=8.75,SUM(M52:T52)+U52*0.75,0)))))</f>
        <v>129</v>
      </c>
      <c r="AM52" s="341">
        <f>+AL52-AA52</f>
        <v>0</v>
      </c>
      <c r="AN52" s="341"/>
      <c r="AO52" s="341"/>
      <c r="AP52" s="341"/>
      <c r="AQ52" s="438"/>
      <c r="AR52" s="434"/>
      <c r="AT52" s="390"/>
      <c r="AV52" s="390"/>
    </row>
    <row r="53" spans="2:58" s="98" customFormat="1" ht="62.25" customHeight="1" thickBot="1" x14ac:dyDescent="0.95">
      <c r="B53" s="364">
        <f>+B51</f>
        <v>13</v>
      </c>
      <c r="C53" s="410"/>
      <c r="D53" s="174" t="s">
        <v>379</v>
      </c>
      <c r="E53" s="175">
        <f>+E52+100</f>
        <v>113</v>
      </c>
      <c r="F53" s="175"/>
      <c r="G53" s="542" t="str">
        <f>+G52</f>
        <v>2397-582-401</v>
      </c>
      <c r="H53" s="117"/>
      <c r="I53" s="442"/>
      <c r="J53" s="165">
        <f>+IF(K53="","",IF(K51=0,"",(K51*J51)/(K53*60)))</f>
        <v>0.89413265306122447</v>
      </c>
      <c r="K53" s="118">
        <v>49</v>
      </c>
      <c r="L53" s="104" t="s">
        <v>19</v>
      </c>
      <c r="M53" s="216"/>
      <c r="N53" s="216"/>
      <c r="O53" s="216"/>
      <c r="P53" s="216"/>
      <c r="Q53" s="216"/>
      <c r="R53" s="216"/>
      <c r="S53" s="216"/>
      <c r="T53" s="216"/>
      <c r="U53" s="216"/>
      <c r="V53" s="216"/>
      <c r="W53" s="216"/>
      <c r="X53" s="173"/>
      <c r="Y53" s="467">
        <v>12.585799999999999</v>
      </c>
      <c r="Z53" s="371">
        <f>+IF(COUNTA(M51:W51)=$AJ$4+0.25,$AJ$4-(AA51/K51),COUNTA(M51:W51)-(AA51/K51))+Y53</f>
        <v>15.585799999999999</v>
      </c>
      <c r="AA53" s="465">
        <f t="shared" si="10"/>
        <v>0</v>
      </c>
      <c r="AB53" s="367"/>
      <c r="AC53" s="367"/>
      <c r="AD53" s="368">
        <f>+IFERROR(AD51/(K51*$AQ$3),"")</f>
        <v>0.7573333333333333</v>
      </c>
      <c r="AE53" s="369"/>
      <c r="AF53" s="347"/>
      <c r="AG53" s="347">
        <f t="shared" si="2"/>
        <v>0</v>
      </c>
      <c r="AH53" s="341">
        <f t="shared" si="3"/>
        <v>0</v>
      </c>
      <c r="AI53" s="341"/>
      <c r="AJ53" s="356"/>
      <c r="AK53" s="370">
        <f>+$AJ$4</f>
        <v>8.75</v>
      </c>
      <c r="AL53" s="349">
        <f>+IF(AK53=7.75,SUM(M53:S53)+T53*0.75,IF(AK53=8,SUM(M53:T53),IF(AK53=7.25,SUM(M53:S53)+T53*0.25,IF(AK53=8.25,SUM(M53:T53)+U53*0.25,IF(AK53=8.75,SUM(M53:T53)+U53*0.75,0)))))</f>
        <v>0</v>
      </c>
      <c r="AM53" s="341">
        <f>+AL53-AA53</f>
        <v>0</v>
      </c>
      <c r="AN53" s="341"/>
      <c r="AO53" s="341"/>
      <c r="AP53" s="341"/>
      <c r="AQ53" s="369"/>
      <c r="AR53" s="434"/>
      <c r="AT53" s="390">
        <v>0.60495238095238091</v>
      </c>
      <c r="AV53" s="390"/>
    </row>
    <row r="54" spans="2:58" s="98" customFormat="1" ht="58.5" customHeight="1" thickTop="1" x14ac:dyDescent="0.9">
      <c r="B54" s="373">
        <f>+B55</f>
        <v>14</v>
      </c>
      <c r="C54" s="405"/>
      <c r="D54" s="106"/>
      <c r="E54" s="106"/>
      <c r="F54" s="106"/>
      <c r="G54" s="540" t="s">
        <v>481</v>
      </c>
      <c r="H54" s="106"/>
      <c r="I54" s="106"/>
      <c r="J54" s="107" t="s">
        <v>20</v>
      </c>
      <c r="K54" s="108" t="s">
        <v>23</v>
      </c>
      <c r="L54" s="100" t="s">
        <v>21</v>
      </c>
      <c r="M54" s="448">
        <v>120</v>
      </c>
      <c r="N54" s="448">
        <v>60</v>
      </c>
      <c r="O54" s="448"/>
      <c r="P54" s="448"/>
      <c r="Q54" s="448"/>
      <c r="R54" s="448"/>
      <c r="S54" s="448"/>
      <c r="T54" s="448"/>
      <c r="U54" s="448"/>
      <c r="V54" s="448"/>
      <c r="W54" s="448"/>
      <c r="X54" s="447">
        <f t="shared" si="6"/>
        <v>180</v>
      </c>
      <c r="Y54" s="466">
        <v>0</v>
      </c>
      <c r="Z54" s="533">
        <f>+X56</f>
        <v>0</v>
      </c>
      <c r="AA54" s="447">
        <f t="shared" si="7"/>
        <v>180</v>
      </c>
      <c r="AB54" s="343">
        <f>+AC54+AA54</f>
        <v>4560</v>
      </c>
      <c r="AC54" s="343">
        <v>4380</v>
      </c>
      <c r="AD54" s="344"/>
      <c r="AE54" s="345"/>
      <c r="AF54" s="346"/>
      <c r="AG54" s="347">
        <f t="shared" si="2"/>
        <v>0</v>
      </c>
      <c r="AH54" s="341">
        <f t="shared" si="3"/>
        <v>0</v>
      </c>
      <c r="AI54" s="341"/>
      <c r="AJ54" s="341"/>
      <c r="AK54" s="348"/>
      <c r="AL54" s="349"/>
      <c r="AM54" s="341"/>
      <c r="AN54" s="341"/>
      <c r="AO54" s="341"/>
      <c r="AP54" s="341"/>
      <c r="AQ54" s="350"/>
      <c r="AR54" s="434"/>
      <c r="AT54" s="390"/>
      <c r="AV54" s="390"/>
    </row>
    <row r="55" spans="2:58" s="98" customFormat="1" ht="58.5" customHeight="1" x14ac:dyDescent="0.9">
      <c r="B55" s="374">
        <v>14</v>
      </c>
      <c r="C55" s="406">
        <f>+B55</f>
        <v>14</v>
      </c>
      <c r="D55" s="407" t="s">
        <v>480</v>
      </c>
      <c r="E55" s="111"/>
      <c r="F55" s="111" t="s">
        <v>35</v>
      </c>
      <c r="G55" s="541" t="str">
        <f t="shared" ref="G55:G57" si="27">+G54</f>
        <v>2396-593-600</v>
      </c>
      <c r="H55" s="111"/>
      <c r="I55" s="111" t="s">
        <v>33</v>
      </c>
      <c r="J55" s="113">
        <v>38.82</v>
      </c>
      <c r="K55" s="130">
        <v>60</v>
      </c>
      <c r="L55" s="101" t="s">
        <v>17</v>
      </c>
      <c r="M55" s="214">
        <v>60</v>
      </c>
      <c r="N55" s="214">
        <v>60</v>
      </c>
      <c r="O55" s="214">
        <v>60</v>
      </c>
      <c r="P55" s="214"/>
      <c r="Q55" s="214"/>
      <c r="R55" s="214"/>
      <c r="S55" s="214"/>
      <c r="T55" s="214"/>
      <c r="U55" s="214"/>
      <c r="V55" s="214"/>
      <c r="W55" s="214"/>
      <c r="X55" s="123">
        <f>+IF(H56="s",0,IF(AA55=0,0,IF(COUNTA(M55:W55)=AK57+0.25,SUMIF($C:$C,B55,$AA:$AA)/AK57,SUMIF($C:$C,B55,$AA:$AA)/(COUNTA(M55:W55)))))</f>
        <v>60</v>
      </c>
      <c r="Y55" s="466"/>
      <c r="Z55" s="534"/>
      <c r="AA55" s="134">
        <f t="shared" si="7"/>
        <v>180</v>
      </c>
      <c r="AB55" s="354">
        <f>+AA55+AC55</f>
        <v>3740</v>
      </c>
      <c r="AC55" s="354">
        <v>3560</v>
      </c>
      <c r="AD55" s="355">
        <f>+AB54-AB55</f>
        <v>820</v>
      </c>
      <c r="AE55" s="131">
        <f>+IF(((AA56+(AA57/2))*60)=0,"",(J55*AA55)/((AA56+(AA57/2))*60))</f>
        <v>0.90279069767441866</v>
      </c>
      <c r="AF55" s="347">
        <f>+AA56+AA57/2</f>
        <v>129</v>
      </c>
      <c r="AG55" s="347">
        <f t="shared" si="2"/>
        <v>129</v>
      </c>
      <c r="AH55" s="341">
        <f t="shared" si="3"/>
        <v>7740</v>
      </c>
      <c r="AI55" s="341">
        <f>+AA55*J55</f>
        <v>6987.6</v>
      </c>
      <c r="AJ55" s="356">
        <f>+AA55-(AF55*K55/K57)</f>
        <v>0</v>
      </c>
      <c r="AK55" s="348"/>
      <c r="AL55" s="349"/>
      <c r="AM55" s="341"/>
      <c r="AN55" s="341"/>
      <c r="AO55" s="341"/>
      <c r="AP55" s="341"/>
      <c r="AQ55" s="339">
        <f t="shared" ref="AQ55" si="28">IF(AR55=0,"",AT55-(($AQ$3*K55)+($AQ$3*K55)*AR55)+AA54)</f>
        <v>-312.5</v>
      </c>
      <c r="AR55" s="434">
        <v>1.5</v>
      </c>
      <c r="AT55" s="390">
        <v>820</v>
      </c>
      <c r="AV55" s="390">
        <f t="shared" ref="AV55" si="29">+AT55-AD55</f>
        <v>0</v>
      </c>
    </row>
    <row r="56" spans="2:58" s="98" customFormat="1" ht="58.5" customHeight="1" x14ac:dyDescent="0.9">
      <c r="B56" s="357">
        <f>+B55</f>
        <v>14</v>
      </c>
      <c r="C56" s="408"/>
      <c r="D56" s="184"/>
      <c r="E56" s="111">
        <f>+B55</f>
        <v>14</v>
      </c>
      <c r="F56" s="409"/>
      <c r="G56" s="541" t="str">
        <f t="shared" si="27"/>
        <v>2396-593-600</v>
      </c>
      <c r="H56" s="411" t="s">
        <v>413</v>
      </c>
      <c r="I56" s="113">
        <f>+IFERROR(IF(K57=0,0,IF((LOOKUP(2,1/(M56:W56&lt;&gt;""),M56:W56)-K57)&lt;0,0,IF(K57=0,"",LOOKUP(2,1/(M56:W56&lt;&gt;""),M56:W56)-K57))),0)</f>
        <v>0</v>
      </c>
      <c r="J56" s="113">
        <v>2</v>
      </c>
      <c r="K56" s="114" t="s">
        <v>22</v>
      </c>
      <c r="L56" s="102" t="s">
        <v>18</v>
      </c>
      <c r="M56" s="448">
        <v>41</v>
      </c>
      <c r="N56" s="448">
        <v>41</v>
      </c>
      <c r="O56" s="448">
        <v>41</v>
      </c>
      <c r="P56" s="448"/>
      <c r="Q56" s="448"/>
      <c r="R56" s="448"/>
      <c r="S56" s="448"/>
      <c r="T56" s="448"/>
      <c r="U56" s="448"/>
      <c r="V56" s="448"/>
      <c r="W56" s="448"/>
      <c r="X56" s="160">
        <f>+IF(H56="l",IF(COUNTA(M55:W55)=AK57+0.25,AA55-K55*AK57,AA55-(K55*COUNTA(M55:W55))),IF(H56="s",0,IF(COUNTA(M55:W55)=AK57+0.25,SUMIF($C:$C,B55,$AA:$AA)-K55*AK57,SUMIF($C:$C,B55,$AA:$AA)-K55*COUNTA(M55:W55))))</f>
        <v>0</v>
      </c>
      <c r="Y56" s="466"/>
      <c r="Z56" s="534"/>
      <c r="AA56" s="462">
        <f t="shared" si="10"/>
        <v>123</v>
      </c>
      <c r="AB56" s="360"/>
      <c r="AC56" s="360"/>
      <c r="AD56" s="362"/>
      <c r="AE56" s="363"/>
      <c r="AF56" s="346"/>
      <c r="AG56" s="347">
        <f t="shared" si="2"/>
        <v>0</v>
      </c>
      <c r="AH56" s="341">
        <f t="shared" si="3"/>
        <v>0</v>
      </c>
      <c r="AI56" s="341"/>
      <c r="AJ56" s="341"/>
      <c r="AK56" s="348"/>
      <c r="AL56" s="349">
        <f>+IF(AK57=7.75,SUM(M56:S56)+T56*0.75,IF(AK57=8,SUM(M56:T56),IF(AK57=7.25,SUM(M56:S56)+T56*0.25,IF(AK57=8.25,SUM(M56:T56)+U56*0.25,IF(AK57=8.75,SUM(M56:T56)+U56*0.75,0)))))</f>
        <v>123</v>
      </c>
      <c r="AM56" s="341">
        <f>+AL56-AA56</f>
        <v>0</v>
      </c>
      <c r="AN56" s="341"/>
      <c r="AO56" s="341"/>
      <c r="AP56" s="341"/>
      <c r="AQ56" s="438"/>
      <c r="AR56" s="434"/>
      <c r="AT56" s="390"/>
      <c r="AV56" s="390"/>
    </row>
    <row r="57" spans="2:58" s="98" customFormat="1" ht="58.5" customHeight="1" thickBot="1" x14ac:dyDescent="0.95">
      <c r="B57" s="364">
        <f>+B55</f>
        <v>14</v>
      </c>
      <c r="C57" s="410"/>
      <c r="D57" s="174" t="s">
        <v>112</v>
      </c>
      <c r="E57" s="175">
        <f>+E56+100</f>
        <v>114</v>
      </c>
      <c r="F57" s="175"/>
      <c r="G57" s="542" t="str">
        <f t="shared" si="27"/>
        <v>2396-593-600</v>
      </c>
      <c r="H57" s="117"/>
      <c r="I57" s="442"/>
      <c r="J57" s="165">
        <f>+IF(K57="","",IF(K55=0,"",(K55*J55)/(K57*60)))</f>
        <v>0.90279069767441855</v>
      </c>
      <c r="K57" s="118">
        <v>43</v>
      </c>
      <c r="L57" s="104" t="s">
        <v>19</v>
      </c>
      <c r="M57" s="216">
        <v>4</v>
      </c>
      <c r="N57" s="216">
        <v>4</v>
      </c>
      <c r="O57" s="216">
        <v>4</v>
      </c>
      <c r="P57" s="216"/>
      <c r="Q57" s="216"/>
      <c r="R57" s="216"/>
      <c r="S57" s="216"/>
      <c r="T57" s="216"/>
      <c r="U57" s="216"/>
      <c r="V57" s="216"/>
      <c r="W57" s="216"/>
      <c r="X57" s="173"/>
      <c r="Y57" s="467">
        <v>10.166666666666668</v>
      </c>
      <c r="Z57" s="365">
        <v>10.166666666666668</v>
      </c>
      <c r="AA57" s="465">
        <f t="shared" si="10"/>
        <v>12</v>
      </c>
      <c r="AB57" s="367"/>
      <c r="AC57" s="367"/>
      <c r="AD57" s="368">
        <f>+IFERROR(AD55/(K55*$AQ$3),"")</f>
        <v>1.5619047619047619</v>
      </c>
      <c r="AE57" s="369"/>
      <c r="AF57" s="347"/>
      <c r="AG57" s="347">
        <f t="shared" si="2"/>
        <v>0</v>
      </c>
      <c r="AH57" s="341">
        <f t="shared" si="3"/>
        <v>0</v>
      </c>
      <c r="AI57" s="341"/>
      <c r="AJ57" s="356"/>
      <c r="AK57" s="370">
        <f>+$AJ$4</f>
        <v>8.75</v>
      </c>
      <c r="AL57" s="349">
        <f>+IF(AK57=7.75,SUM(M57:S57)+T57*0.75,IF(AK57=8,SUM(M57:T57),IF(AK57=7.25,SUM(M57:S57)+T57*0.25,IF(AK57=8.25,SUM(M57:T57)+U57*0.25,IF(AK57=8.75,SUM(M57:T57)+U57*0.75,0)))))</f>
        <v>12</v>
      </c>
      <c r="AM57" s="341">
        <f>+AL57-AA57</f>
        <v>0</v>
      </c>
      <c r="AN57" s="341"/>
      <c r="AO57" s="341"/>
      <c r="AP57" s="341"/>
      <c r="AQ57" s="369"/>
      <c r="AR57" s="434"/>
      <c r="AT57" s="390">
        <v>1.5619047619047619</v>
      </c>
      <c r="AV57" s="390"/>
    </row>
    <row r="58" spans="2:58" s="98" customFormat="1" ht="62.25" customHeight="1" thickTop="1" x14ac:dyDescent="0.9">
      <c r="B58" s="342">
        <f>+B59</f>
        <v>15</v>
      </c>
      <c r="C58" s="405"/>
      <c r="D58" s="106"/>
      <c r="E58" s="106"/>
      <c r="F58" s="106"/>
      <c r="G58" s="540" t="s">
        <v>486</v>
      </c>
      <c r="H58" s="106"/>
      <c r="I58" s="106"/>
      <c r="J58" s="107" t="s">
        <v>20</v>
      </c>
      <c r="K58" s="108" t="s">
        <v>23</v>
      </c>
      <c r="L58" s="100" t="s">
        <v>21</v>
      </c>
      <c r="M58" s="448"/>
      <c r="N58" s="448"/>
      <c r="O58" s="448"/>
      <c r="P58" s="448"/>
      <c r="Q58" s="448"/>
      <c r="R58" s="448"/>
      <c r="S58" s="448"/>
      <c r="T58" s="448"/>
      <c r="U58" s="448"/>
      <c r="V58" s="448"/>
      <c r="W58" s="448"/>
      <c r="X58" s="447" t="str">
        <f t="shared" si="6"/>
        <v/>
      </c>
      <c r="Y58" s="466">
        <v>0</v>
      </c>
      <c r="Z58" s="533">
        <f>+X60</f>
        <v>-69</v>
      </c>
      <c r="AA58" s="447">
        <f t="shared" si="7"/>
        <v>0</v>
      </c>
      <c r="AB58" s="343">
        <f>+AC58+AA58</f>
        <v>4355</v>
      </c>
      <c r="AC58" s="343">
        <v>4355</v>
      </c>
      <c r="AD58" s="344"/>
      <c r="AE58" s="345"/>
      <c r="AF58" s="346"/>
      <c r="AG58" s="347">
        <f t="shared" si="2"/>
        <v>0</v>
      </c>
      <c r="AH58" s="341">
        <f t="shared" si="3"/>
        <v>0</v>
      </c>
      <c r="AI58" s="341"/>
      <c r="AJ58" s="341"/>
      <c r="AK58" s="348"/>
      <c r="AL58" s="349"/>
      <c r="AM58" s="341"/>
      <c r="AN58" s="341"/>
      <c r="AO58" s="341"/>
      <c r="AP58" s="341"/>
      <c r="AQ58" s="350"/>
      <c r="AR58" s="434"/>
      <c r="AT58" s="390"/>
      <c r="AV58" s="390"/>
    </row>
    <row r="59" spans="2:58" s="98" customFormat="1" ht="62.25" customHeight="1" x14ac:dyDescent="1.35">
      <c r="B59" s="351">
        <v>15</v>
      </c>
      <c r="C59" s="406">
        <f>+B59</f>
        <v>15</v>
      </c>
      <c r="D59" s="407" t="s">
        <v>485</v>
      </c>
      <c r="E59" s="111"/>
      <c r="F59" s="111" t="s">
        <v>475</v>
      </c>
      <c r="G59" s="541"/>
      <c r="H59" s="111"/>
      <c r="I59" s="111" t="s">
        <v>487</v>
      </c>
      <c r="J59" s="113">
        <v>30.1</v>
      </c>
      <c r="K59" s="130">
        <v>100</v>
      </c>
      <c r="L59" s="101" t="s">
        <v>17</v>
      </c>
      <c r="M59" s="214">
        <v>61</v>
      </c>
      <c r="N59" s="214">
        <v>90</v>
      </c>
      <c r="O59" s="214">
        <v>80</v>
      </c>
      <c r="P59" s="214"/>
      <c r="Q59" s="214"/>
      <c r="R59" s="214"/>
      <c r="S59" s="214"/>
      <c r="T59" s="214"/>
      <c r="U59" s="214"/>
      <c r="V59" s="214"/>
      <c r="W59" s="214"/>
      <c r="X59" s="123">
        <f>+IF(H60="s",0,IF(AA59=0,0,IF(COUNTA(M59:W59)=AK61+0.25,SUMIF($C:$C,B59,$AA:$AA)/AK61,SUMIF($C:$C,B59,$AA:$AA)/(COUNTA(M59:W59)))))</f>
        <v>77</v>
      </c>
      <c r="Y59" s="466"/>
      <c r="Z59" s="534"/>
      <c r="AA59" s="134">
        <f t="shared" si="7"/>
        <v>231</v>
      </c>
      <c r="AB59" s="354">
        <f>+AA59+AC59</f>
        <v>3212</v>
      </c>
      <c r="AC59" s="354">
        <v>2981</v>
      </c>
      <c r="AD59" s="355">
        <f>+AB58-AB59</f>
        <v>1143</v>
      </c>
      <c r="AE59" s="131">
        <f>+IF(((AA60+(AA61/2))*60)=0,"",(J59*AA59)/((AA60+(AA61/2))*60))</f>
        <v>0.68979166666666669</v>
      </c>
      <c r="AF59" s="347">
        <f>+AA60+AA61/2</f>
        <v>168</v>
      </c>
      <c r="AG59" s="347">
        <f t="shared" si="2"/>
        <v>168</v>
      </c>
      <c r="AH59" s="341">
        <f t="shared" si="3"/>
        <v>10080</v>
      </c>
      <c r="AI59" s="341">
        <f>+AA59*J59</f>
        <v>6953.1</v>
      </c>
      <c r="AJ59" s="356">
        <f>+AA59-(AF59*K59/K61)</f>
        <v>-69</v>
      </c>
      <c r="AK59" s="348"/>
      <c r="AL59" s="349"/>
      <c r="AM59" s="341"/>
      <c r="AN59" s="341"/>
      <c r="AO59" s="341"/>
      <c r="AP59" s="341"/>
      <c r="AQ59" s="339"/>
      <c r="AR59" s="434">
        <v>1.5</v>
      </c>
      <c r="AT59" s="390">
        <v>1374</v>
      </c>
      <c r="AV59" s="390">
        <f t="shared" ref="AV59" si="30">+AT59-AD59</f>
        <v>231</v>
      </c>
      <c r="AW59" s="535"/>
      <c r="AX59" s="535"/>
      <c r="AY59" s="535"/>
      <c r="AZ59" s="535"/>
      <c r="BA59" s="535"/>
      <c r="BB59" s="535"/>
      <c r="BC59" s="535"/>
      <c r="BD59" s="535"/>
      <c r="BE59" s="535"/>
      <c r="BF59" s="535"/>
    </row>
    <row r="60" spans="2:58" s="98" customFormat="1" ht="62.25" customHeight="1" x14ac:dyDescent="0.9">
      <c r="B60" s="357">
        <f>+B59</f>
        <v>15</v>
      </c>
      <c r="C60" s="408"/>
      <c r="D60" s="184"/>
      <c r="E60" s="111">
        <f>+B59</f>
        <v>15</v>
      </c>
      <c r="F60" s="412"/>
      <c r="G60" s="541"/>
      <c r="H60" s="411" t="s">
        <v>412</v>
      </c>
      <c r="I60" s="113">
        <f>+IFERROR(IF(K61=0,0,IF((LOOKUP(2,1/(M60:W60&lt;&gt;""),M60:W60)-K61)&lt;0,0,IF(K61=0,"",LOOKUP(2,1/(M60:W60&lt;&gt;""),M60:W60)-K61))),0)</f>
        <v>0</v>
      </c>
      <c r="J60" s="113"/>
      <c r="K60" s="114" t="s">
        <v>22</v>
      </c>
      <c r="L60" s="102" t="s">
        <v>18</v>
      </c>
      <c r="M60" s="448">
        <v>55</v>
      </c>
      <c r="N60" s="448">
        <v>55</v>
      </c>
      <c r="O60" s="448">
        <v>55</v>
      </c>
      <c r="P60" s="448"/>
      <c r="Q60" s="448"/>
      <c r="R60" s="448"/>
      <c r="S60" s="448"/>
      <c r="T60" s="448"/>
      <c r="U60" s="448"/>
      <c r="V60" s="448"/>
      <c r="W60" s="448"/>
      <c r="X60" s="160">
        <f>+IF(H60="l",IF(COUNTA(M59:W59)=AK61+0.25,AA59-K59*AK61,AA59-(K59*COUNTA(M59:W59))),IF(H60="s",0,IF(COUNTA(M59:W59)=AK61+0.25,SUMIF($C:$C,B59,$AA:$AA)-K59*AK61,SUMIF($C:$C,B59,$AA:$AA)-K59*COUNTA(M59:W59))))</f>
        <v>-69</v>
      </c>
      <c r="Y60" s="466"/>
      <c r="Z60" s="534"/>
      <c r="AA60" s="462">
        <f t="shared" si="10"/>
        <v>165</v>
      </c>
      <c r="AB60" s="360"/>
      <c r="AC60" s="360"/>
      <c r="AD60" s="362"/>
      <c r="AE60" s="363"/>
      <c r="AF60" s="346"/>
      <c r="AG60" s="347">
        <f t="shared" si="2"/>
        <v>0</v>
      </c>
      <c r="AH60" s="341">
        <f t="shared" si="3"/>
        <v>0</v>
      </c>
      <c r="AI60" s="341"/>
      <c r="AJ60" s="341"/>
      <c r="AK60" s="348"/>
      <c r="AL60" s="349">
        <f>+IF(AK61=7.75,SUM(M60:S60)+T60*0.75,IF(AK61=8,SUM(M60:T60),IF(AK61=7.25,SUM(M60:S60)+T60*0.25,IF(AK61=8.25,SUM(M60:T60)+U60*0.25,IF(AK61=8.75,SUM(M60:T60)+U60*0.75,0)))))</f>
        <v>165</v>
      </c>
      <c r="AM60" s="341">
        <f>+AL60-AA60</f>
        <v>0</v>
      </c>
      <c r="AN60" s="341"/>
      <c r="AO60" s="341"/>
      <c r="AP60" s="341"/>
      <c r="AQ60" s="438"/>
      <c r="AR60" s="434"/>
      <c r="AT60" s="390"/>
      <c r="AV60" s="390"/>
    </row>
    <row r="61" spans="2:58" s="98" customFormat="1" ht="62.25" customHeight="1" thickBot="1" x14ac:dyDescent="0.95">
      <c r="B61" s="364">
        <f>+B59</f>
        <v>15</v>
      </c>
      <c r="C61" s="410"/>
      <c r="D61" s="174" t="s">
        <v>93</v>
      </c>
      <c r="E61" s="175">
        <f>+E60+100</f>
        <v>115</v>
      </c>
      <c r="F61" s="175"/>
      <c r="G61" s="542"/>
      <c r="H61" s="117"/>
      <c r="I61" s="442"/>
      <c r="J61" s="165">
        <f>+IF(K61="","",IF(K59=0,"",(K59*J59)/(K61*60)))</f>
        <v>0.89583333333333337</v>
      </c>
      <c r="K61" s="118">
        <v>56</v>
      </c>
      <c r="L61" s="104" t="s">
        <v>19</v>
      </c>
      <c r="M61" s="216">
        <v>2</v>
      </c>
      <c r="N61" s="216">
        <v>2</v>
      </c>
      <c r="O61" s="216">
        <v>2</v>
      </c>
      <c r="P61" s="216"/>
      <c r="Q61" s="216"/>
      <c r="R61" s="216"/>
      <c r="S61" s="216"/>
      <c r="T61" s="216"/>
      <c r="U61" s="216"/>
      <c r="V61" s="216"/>
      <c r="W61" s="216"/>
      <c r="X61" s="173"/>
      <c r="Y61" s="467">
        <v>25.922800000000002</v>
      </c>
      <c r="Z61" s="365">
        <v>25.922800000000002</v>
      </c>
      <c r="AA61" s="465">
        <f t="shared" si="10"/>
        <v>6</v>
      </c>
      <c r="AB61" s="367"/>
      <c r="AC61" s="367"/>
      <c r="AD61" s="368">
        <f>+IFERROR(AD59/(K59*$AQ$3),"")</f>
        <v>1.3062857142857143</v>
      </c>
      <c r="AE61" s="369"/>
      <c r="AF61" s="347"/>
      <c r="AG61" s="347">
        <f t="shared" si="2"/>
        <v>0</v>
      </c>
      <c r="AH61" s="341">
        <f t="shared" si="3"/>
        <v>0</v>
      </c>
      <c r="AI61" s="341"/>
      <c r="AJ61" s="356"/>
      <c r="AK61" s="370">
        <f>+$AJ$4</f>
        <v>8.75</v>
      </c>
      <c r="AL61" s="349">
        <f>+IF(AK61=7.75,SUM(M61:S61)+T61*0.75,IF(AK61=8,SUM(M61:T61),IF(AK61=7.25,SUM(M61:S61)+T61*0.25,IF(AK61=8.25,SUM(M61:T61)+U61*0.25,IF(AK61=8.75,SUM(M61:T61)+U61*0.75,0)))))</f>
        <v>6</v>
      </c>
      <c r="AM61" s="341">
        <f>+AL61-AA61</f>
        <v>0</v>
      </c>
      <c r="AN61" s="341"/>
      <c r="AO61" s="341"/>
      <c r="AP61" s="341"/>
      <c r="AQ61" s="369"/>
      <c r="AR61" s="434"/>
      <c r="AT61" s="390">
        <v>1.5702857142857143</v>
      </c>
      <c r="AV61" s="390"/>
    </row>
    <row r="62" spans="2:58" s="98" customFormat="1" ht="62.25" customHeight="1" thickTop="1" x14ac:dyDescent="0.9">
      <c r="B62" s="342">
        <f>+B63</f>
        <v>15</v>
      </c>
      <c r="C62" s="405"/>
      <c r="D62" s="106"/>
      <c r="E62" s="106"/>
      <c r="F62" s="106"/>
      <c r="G62" s="539" t="s">
        <v>508</v>
      </c>
      <c r="H62" s="106"/>
      <c r="I62" s="106"/>
      <c r="J62" s="107" t="s">
        <v>20</v>
      </c>
      <c r="K62" s="108" t="s">
        <v>23</v>
      </c>
      <c r="L62" s="100" t="s">
        <v>21</v>
      </c>
      <c r="M62" s="448">
        <v>140</v>
      </c>
      <c r="N62" s="448">
        <v>133</v>
      </c>
      <c r="O62" s="448"/>
      <c r="P62" s="448"/>
      <c r="Q62" s="448"/>
      <c r="R62" s="448"/>
      <c r="S62" s="448"/>
      <c r="T62" s="448"/>
      <c r="U62" s="448"/>
      <c r="V62" s="448"/>
      <c r="W62" s="448"/>
      <c r="X62" s="447">
        <f t="shared" ref="X62" si="31">IF(AQ63="","",SUM(M62:W62)-(-(AQ63-SUM(M62:W62))/$AQ$3)*SUM($M$2:$W$2))</f>
        <v>273</v>
      </c>
      <c r="Y62" s="466">
        <v>0</v>
      </c>
      <c r="Z62" s="533">
        <f>+X64</f>
        <v>0</v>
      </c>
      <c r="AA62" s="447">
        <f t="shared" ref="AA62:AA63" si="32">+SUM(L62:W62)</f>
        <v>273</v>
      </c>
      <c r="AB62" s="343">
        <f>+AC62+AA62</f>
        <v>273</v>
      </c>
      <c r="AC62" s="343"/>
      <c r="AD62" s="344"/>
      <c r="AE62" s="345"/>
      <c r="AF62" s="346"/>
      <c r="AG62" s="347">
        <f t="shared" ref="AG62:AG65" si="33">TRUNC(AF62)+(AF62-TRUNC(AF62))*60/100</f>
        <v>0</v>
      </c>
      <c r="AH62" s="341">
        <f t="shared" ref="AH62:AH65" si="34">+AF62*60</f>
        <v>0</v>
      </c>
      <c r="AI62" s="341"/>
      <c r="AJ62" s="341"/>
      <c r="AK62" s="348"/>
      <c r="AL62" s="349"/>
      <c r="AM62" s="341"/>
      <c r="AN62" s="341"/>
      <c r="AO62" s="341"/>
      <c r="AP62" s="341"/>
      <c r="AQ62" s="350"/>
      <c r="AR62" s="434"/>
      <c r="AT62" s="390"/>
      <c r="AV62" s="390"/>
    </row>
    <row r="63" spans="2:58" s="98" customFormat="1" ht="62.25" customHeight="1" x14ac:dyDescent="1.35">
      <c r="B63" s="351">
        <v>15</v>
      </c>
      <c r="C63" s="406">
        <f>+B63</f>
        <v>15</v>
      </c>
      <c r="D63" s="407" t="s">
        <v>507</v>
      </c>
      <c r="E63" s="111"/>
      <c r="F63" s="111" t="s">
        <v>475</v>
      </c>
      <c r="G63" s="539" t="str">
        <f>+G62</f>
        <v>OPRAH</v>
      </c>
      <c r="H63" s="111"/>
      <c r="I63" s="111" t="s">
        <v>487</v>
      </c>
      <c r="J63" s="113"/>
      <c r="K63" s="130">
        <v>100</v>
      </c>
      <c r="L63" s="101" t="s">
        <v>17</v>
      </c>
      <c r="M63" s="214"/>
      <c r="N63" s="214"/>
      <c r="O63" s="214"/>
      <c r="P63" s="214"/>
      <c r="Q63" s="214"/>
      <c r="R63" s="214"/>
      <c r="S63" s="214"/>
      <c r="T63" s="214"/>
      <c r="U63" s="214"/>
      <c r="V63" s="214"/>
      <c r="W63" s="214"/>
      <c r="X63" s="123">
        <f>+IF(H64="s",0,IF(AA63=0,0,IF(COUNTA(M63:W63)=AK65+0.25,SUMIF($C:$C,B63,$AA:$AA)/AK65,SUMIF($C:$C,B63,$AA:$AA)/(COUNTA(M63:W63)))))</f>
        <v>0</v>
      </c>
      <c r="Y63" s="466"/>
      <c r="Z63" s="534"/>
      <c r="AA63" s="134">
        <f t="shared" si="32"/>
        <v>0</v>
      </c>
      <c r="AB63" s="354">
        <f>+AA63+AC63</f>
        <v>0</v>
      </c>
      <c r="AC63" s="354"/>
      <c r="AD63" s="355">
        <f>+AB62-AB63</f>
        <v>273</v>
      </c>
      <c r="AE63" s="131" t="str">
        <f>+IF(((AA64+(AA65/2))*60)=0,"",(J63*AA63)/((AA64+(AA65/2))*60))</f>
        <v/>
      </c>
      <c r="AF63" s="347">
        <f>+AA64+AA65/2</f>
        <v>0</v>
      </c>
      <c r="AG63" s="347">
        <f t="shared" si="33"/>
        <v>0</v>
      </c>
      <c r="AH63" s="341">
        <f t="shared" si="34"/>
        <v>0</v>
      </c>
      <c r="AI63" s="341">
        <f>+AA63*J63</f>
        <v>0</v>
      </c>
      <c r="AJ63" s="356">
        <f>+AA63-(AF63*K63/K65)</f>
        <v>0</v>
      </c>
      <c r="AK63" s="348"/>
      <c r="AL63" s="349"/>
      <c r="AM63" s="341"/>
      <c r="AN63" s="341"/>
      <c r="AO63" s="341"/>
      <c r="AP63" s="341"/>
      <c r="AQ63" s="339">
        <f>-600+AA62</f>
        <v>-327</v>
      </c>
      <c r="AR63" s="434"/>
      <c r="AT63" s="390"/>
      <c r="AV63" s="390">
        <f t="shared" ref="AV63" si="35">+AT63-AD63</f>
        <v>-273</v>
      </c>
      <c r="AW63" s="535"/>
      <c r="AX63" s="535"/>
      <c r="AY63" s="535"/>
      <c r="AZ63" s="535"/>
      <c r="BA63" s="535"/>
      <c r="BB63" s="535"/>
      <c r="BC63" s="535"/>
      <c r="BD63" s="535"/>
      <c r="BE63" s="535"/>
      <c r="BF63" s="535"/>
    </row>
    <row r="64" spans="2:58" s="98" customFormat="1" ht="62.25" customHeight="1" x14ac:dyDescent="0.9">
      <c r="B64" s="357">
        <f>+B63</f>
        <v>15</v>
      </c>
      <c r="C64" s="408"/>
      <c r="D64" s="184"/>
      <c r="E64" s="111">
        <f>+B63</f>
        <v>15</v>
      </c>
      <c r="F64" s="412"/>
      <c r="G64" s="539" t="str">
        <f>+G62</f>
        <v>OPRAH</v>
      </c>
      <c r="H64" s="411" t="s">
        <v>412</v>
      </c>
      <c r="I64" s="113">
        <f>+IFERROR(IF(K65=0,0,IF((LOOKUP(2,1/(M64:W64&lt;&gt;""),M64:W64)-K65)&lt;0,0,IF(K65=0,"",LOOKUP(2,1/(M64:W64&lt;&gt;""),M64:W64)-K65))),0)</f>
        <v>0</v>
      </c>
      <c r="J64" s="113"/>
      <c r="K64" s="114" t="s">
        <v>22</v>
      </c>
      <c r="L64" s="102" t="s">
        <v>18</v>
      </c>
      <c r="M64" s="448"/>
      <c r="N64" s="448"/>
      <c r="O64" s="448"/>
      <c r="P64" s="448"/>
      <c r="Q64" s="448"/>
      <c r="R64" s="448"/>
      <c r="S64" s="448"/>
      <c r="T64" s="448"/>
      <c r="U64" s="448"/>
      <c r="V64" s="448"/>
      <c r="W64" s="448"/>
      <c r="X64" s="160">
        <f>+IF(H64="l",IF(COUNTA(M63:W63)=AK65+0.25,AA63-K63*AK65,AA63-(K63*COUNTA(M63:W63))),IF(H64="s",0,IF(COUNTA(M63:W63)=AK65+0.25,SUMIF($C:$C,B63,$AA:$AA)-K63*AK65,SUMIF($C:$C,B63,$AA:$AA)-K63*COUNTA(M63:W63))))</f>
        <v>0</v>
      </c>
      <c r="Y64" s="466"/>
      <c r="Z64" s="534"/>
      <c r="AA64" s="462">
        <f t="shared" ref="AA64:AA65" si="36">+SUM(M64:W64)-U64*0.25</f>
        <v>0</v>
      </c>
      <c r="AB64" s="360"/>
      <c r="AC64" s="360"/>
      <c r="AD64" s="362"/>
      <c r="AE64" s="363"/>
      <c r="AF64" s="346"/>
      <c r="AG64" s="347">
        <f t="shared" si="33"/>
        <v>0</v>
      </c>
      <c r="AH64" s="341">
        <f t="shared" si="34"/>
        <v>0</v>
      </c>
      <c r="AI64" s="341"/>
      <c r="AJ64" s="341"/>
      <c r="AK64" s="348"/>
      <c r="AL64" s="349">
        <f>+IF(AK65=7.75,SUM(M64:S64)+T64*0.75,IF(AK65=8,SUM(M64:T64),IF(AK65=7.25,SUM(M64:S64)+T64*0.25,IF(AK65=8.25,SUM(M64:T64)+U64*0.25,IF(AK65=8.75,SUM(M64:T64)+U64*0.75,0)))))</f>
        <v>0</v>
      </c>
      <c r="AM64" s="341">
        <f>+AL64-AA64</f>
        <v>0</v>
      </c>
      <c r="AN64" s="341"/>
      <c r="AO64" s="341"/>
      <c r="AP64" s="341"/>
      <c r="AQ64" s="438"/>
      <c r="AR64" s="434"/>
      <c r="AT64" s="390"/>
      <c r="AV64" s="390"/>
    </row>
    <row r="65" spans="2:59" s="98" customFormat="1" ht="62.25" customHeight="1" thickBot="1" x14ac:dyDescent="0.95">
      <c r="B65" s="364">
        <f>+B63</f>
        <v>15</v>
      </c>
      <c r="C65" s="410"/>
      <c r="D65" s="174" t="s">
        <v>93</v>
      </c>
      <c r="E65" s="175">
        <f>+E64+100</f>
        <v>115</v>
      </c>
      <c r="F65" s="175"/>
      <c r="G65" s="539" t="str">
        <f>+G62</f>
        <v>OPRAH</v>
      </c>
      <c r="H65" s="117"/>
      <c r="I65" s="442"/>
      <c r="J65" s="165">
        <f>+IF(K65="","",IF(K63=0,"",(K63*J63)/(K65*60)))</f>
        <v>0</v>
      </c>
      <c r="K65" s="118">
        <v>56</v>
      </c>
      <c r="L65" s="104" t="s">
        <v>19</v>
      </c>
      <c r="M65" s="216"/>
      <c r="N65" s="216"/>
      <c r="O65" s="216"/>
      <c r="P65" s="216"/>
      <c r="Q65" s="216"/>
      <c r="R65" s="216"/>
      <c r="S65" s="216"/>
      <c r="T65" s="216"/>
      <c r="U65" s="216"/>
      <c r="V65" s="216"/>
      <c r="W65" s="216"/>
      <c r="X65" s="173"/>
      <c r="Y65" s="467">
        <v>0</v>
      </c>
      <c r="Z65" s="371">
        <f>+IF(COUNTA(M63:W63)=$AJ$4+0.25,$AJ$4-(AA63/K63),COUNTA(M63:W63)-(AA63/K63))+Y65</f>
        <v>0</v>
      </c>
      <c r="AA65" s="465">
        <f t="shared" si="36"/>
        <v>0</v>
      </c>
      <c r="AB65" s="367"/>
      <c r="AC65" s="367"/>
      <c r="AD65" s="368">
        <f>+IFERROR(AD63/(K63*$AQ$3),"")</f>
        <v>0.312</v>
      </c>
      <c r="AE65" s="369"/>
      <c r="AF65" s="347"/>
      <c r="AG65" s="347">
        <f t="shared" si="33"/>
        <v>0</v>
      </c>
      <c r="AH65" s="341">
        <f t="shared" si="34"/>
        <v>0</v>
      </c>
      <c r="AI65" s="341"/>
      <c r="AJ65" s="356"/>
      <c r="AK65" s="370">
        <f>+$AJ$4</f>
        <v>8.75</v>
      </c>
      <c r="AL65" s="349">
        <f>+IF(AK65=7.75,SUM(M65:S65)+T65*0.75,IF(AK65=8,SUM(M65:T65),IF(AK65=7.25,SUM(M65:S65)+T65*0.25,IF(AK65=8.25,SUM(M65:T65)+U65*0.25,IF(AK65=8.75,SUM(M65:T65)+U65*0.75,0)))))</f>
        <v>0</v>
      </c>
      <c r="AM65" s="341">
        <f>+AL65-AA65</f>
        <v>0</v>
      </c>
      <c r="AN65" s="341"/>
      <c r="AO65" s="341"/>
      <c r="AP65" s="341"/>
      <c r="AQ65" s="369"/>
      <c r="AR65" s="434"/>
      <c r="AT65" s="390"/>
      <c r="AV65" s="390"/>
    </row>
    <row r="66" spans="2:59" s="98" customFormat="1" ht="62.25" customHeight="1" thickTop="1" x14ac:dyDescent="0.9">
      <c r="B66" s="373">
        <f>+B67</f>
        <v>16</v>
      </c>
      <c r="C66" s="405"/>
      <c r="D66" s="106"/>
      <c r="E66" s="106"/>
      <c r="F66" s="106"/>
      <c r="G66" s="540" t="s">
        <v>499</v>
      </c>
      <c r="H66" s="106"/>
      <c r="I66" s="106"/>
      <c r="J66" s="107" t="s">
        <v>20</v>
      </c>
      <c r="K66" s="108" t="s">
        <v>23</v>
      </c>
      <c r="L66" s="100" t="s">
        <v>21</v>
      </c>
      <c r="M66" s="448">
        <v>71</v>
      </c>
      <c r="N66" s="448">
        <v>70</v>
      </c>
      <c r="O66" s="448"/>
      <c r="P66" s="448"/>
      <c r="Q66" s="448"/>
      <c r="R66" s="448"/>
      <c r="S66" s="448"/>
      <c r="T66" s="448"/>
      <c r="U66" s="448"/>
      <c r="V66" s="448"/>
      <c r="W66" s="448"/>
      <c r="X66" s="447">
        <f t="shared" si="6"/>
        <v>141</v>
      </c>
      <c r="Y66" s="466">
        <v>-875</v>
      </c>
      <c r="Z66" s="533">
        <f>+X68</f>
        <v>-300</v>
      </c>
      <c r="AA66" s="447">
        <f t="shared" si="7"/>
        <v>141</v>
      </c>
      <c r="AB66" s="343">
        <f>+AC66+AA66</f>
        <v>834</v>
      </c>
      <c r="AC66" s="343">
        <v>693</v>
      </c>
      <c r="AD66" s="344"/>
      <c r="AE66" s="345"/>
      <c r="AF66" s="346"/>
      <c r="AG66" s="347">
        <f t="shared" si="2"/>
        <v>0</v>
      </c>
      <c r="AH66" s="341">
        <f t="shared" si="3"/>
        <v>0</v>
      </c>
      <c r="AI66" s="341"/>
      <c r="AJ66" s="341"/>
      <c r="AK66" s="348"/>
      <c r="AL66" s="349"/>
      <c r="AM66" s="341"/>
      <c r="AN66" s="341"/>
      <c r="AO66" s="341"/>
      <c r="AP66" s="341"/>
      <c r="AQ66" s="350"/>
      <c r="AR66" s="434"/>
      <c r="AT66" s="390"/>
      <c r="AV66" s="390"/>
    </row>
    <row r="67" spans="2:59" s="98" customFormat="1" ht="62.25" customHeight="1" x14ac:dyDescent="0.9">
      <c r="B67" s="374">
        <v>16</v>
      </c>
      <c r="C67" s="406">
        <f>+B67</f>
        <v>16</v>
      </c>
      <c r="D67" s="407" t="s">
        <v>498</v>
      </c>
      <c r="E67" s="111"/>
      <c r="F67" s="111" t="s">
        <v>475</v>
      </c>
      <c r="G67" s="541" t="str">
        <f>+G66</f>
        <v>WINFREY</v>
      </c>
      <c r="H67" s="111"/>
      <c r="I67" s="111" t="s">
        <v>41</v>
      </c>
      <c r="J67" s="113">
        <v>24.4</v>
      </c>
      <c r="K67" s="130">
        <v>100</v>
      </c>
      <c r="L67" s="101" t="s">
        <v>17</v>
      </c>
      <c r="M67" s="214">
        <v>0</v>
      </c>
      <c r="N67" s="214">
        <v>0</v>
      </c>
      <c r="O67" s="214">
        <v>0</v>
      </c>
      <c r="P67" s="214"/>
      <c r="Q67" s="214"/>
      <c r="R67" s="214"/>
      <c r="S67" s="214"/>
      <c r="T67" s="214"/>
      <c r="U67" s="214"/>
      <c r="V67" s="214"/>
      <c r="W67" s="214"/>
      <c r="X67" s="123">
        <f>+IF(H68="s",0,IF(AA67=0,0,IF(COUNTA(M67:W67)=AK69+0.25,SUMIF($C:$C,B67,$AA:$AA)/AK69,SUMIF($C:$C,B67,$AA:$AA)/(COUNTA(M67:W67)))))</f>
        <v>0</v>
      </c>
      <c r="Y67" s="466"/>
      <c r="Z67" s="534"/>
      <c r="AA67" s="134">
        <f t="shared" si="7"/>
        <v>0</v>
      </c>
      <c r="AB67" s="354">
        <f>+AA67+AC67</f>
        <v>0</v>
      </c>
      <c r="AC67" s="354">
        <v>0</v>
      </c>
      <c r="AD67" s="355">
        <f>+AB66-AB67</f>
        <v>834</v>
      </c>
      <c r="AE67" s="131">
        <f>+IF(((AA68+(AA69/2))*60)=0,"",(J67*AA67)/((AA68+(AA69/2))*60))</f>
        <v>0</v>
      </c>
      <c r="AF67" s="347">
        <f>+AA68+AA69/2</f>
        <v>138</v>
      </c>
      <c r="AG67" s="347">
        <f t="shared" si="2"/>
        <v>138</v>
      </c>
      <c r="AH67" s="341">
        <f t="shared" si="3"/>
        <v>8280</v>
      </c>
      <c r="AI67" s="341">
        <f>+AA67*J67</f>
        <v>0</v>
      </c>
      <c r="AJ67" s="356">
        <f>+AA67-(AF67*K67/K69)</f>
        <v>-300</v>
      </c>
      <c r="AK67" s="348"/>
      <c r="AL67" s="349"/>
      <c r="AM67" s="341"/>
      <c r="AN67" s="341"/>
      <c r="AO67" s="341"/>
      <c r="AP67" s="341"/>
      <c r="AQ67" s="339">
        <f>-400+AA66</f>
        <v>-259</v>
      </c>
      <c r="AR67" s="434">
        <v>1</v>
      </c>
      <c r="AT67" s="390">
        <v>693</v>
      </c>
      <c r="AV67" s="390">
        <f t="shared" ref="AV67" si="37">+AT67-AD67</f>
        <v>-141</v>
      </c>
      <c r="AW67" s="536"/>
      <c r="AX67" s="536"/>
      <c r="AY67" s="536"/>
      <c r="AZ67" s="536"/>
      <c r="BA67" s="536"/>
      <c r="BB67" s="536"/>
      <c r="BC67" s="536"/>
      <c r="BD67" s="536"/>
      <c r="BE67" s="536"/>
      <c r="BF67" s="536"/>
      <c r="BG67" s="536"/>
    </row>
    <row r="68" spans="2:59" s="98" customFormat="1" ht="62.25" customHeight="1" x14ac:dyDescent="0.9">
      <c r="B68" s="357">
        <f>+B67</f>
        <v>16</v>
      </c>
      <c r="C68" s="408"/>
      <c r="D68" s="184"/>
      <c r="E68" s="111">
        <f>+B67</f>
        <v>16</v>
      </c>
      <c r="F68" s="409"/>
      <c r="G68" s="541" t="str">
        <f>+G67</f>
        <v>WINFREY</v>
      </c>
      <c r="H68" s="411" t="s">
        <v>413</v>
      </c>
      <c r="I68" s="113">
        <f>+IFERROR(IF(K69=0,0,IF((LOOKUP(2,1/(M68:W68&lt;&gt;""),M68:W68)-K69)&lt;0,0,IF(K69=0,"",LOOKUP(2,1/(M68:W68&lt;&gt;""),M68:W68)-K69))),0)</f>
        <v>0</v>
      </c>
      <c r="J68" s="113"/>
      <c r="K68" s="114" t="s">
        <v>22</v>
      </c>
      <c r="L68" s="102" t="s">
        <v>18</v>
      </c>
      <c r="M68" s="448">
        <v>46</v>
      </c>
      <c r="N68" s="448">
        <v>46</v>
      </c>
      <c r="O68" s="448">
        <v>46</v>
      </c>
      <c r="P68" s="448"/>
      <c r="Q68" s="448"/>
      <c r="R68" s="448"/>
      <c r="S68" s="448"/>
      <c r="T68" s="448"/>
      <c r="U68" s="448"/>
      <c r="V68" s="448"/>
      <c r="W68" s="448"/>
      <c r="X68" s="160">
        <f>+IF(H68="l",IF(COUNTA(M67:W67)=AK69+0.25,AA67-K67*AK69,AA67-(K67*COUNTA(M67:W67))),IF(H68="s",0,IF(COUNTA(M67:W67)=AK69+0.25,SUMIF($C:$C,B67,$AA:$AA)-K67*AK69,SUMIF($C:$C,B67,$AA:$AA)-K67*COUNTA(M67:W67))))</f>
        <v>-300</v>
      </c>
      <c r="Y68" s="466"/>
      <c r="Z68" s="534"/>
      <c r="AA68" s="462">
        <f t="shared" si="10"/>
        <v>138</v>
      </c>
      <c r="AB68" s="360"/>
      <c r="AC68" s="360"/>
      <c r="AD68" s="362"/>
      <c r="AE68" s="363"/>
      <c r="AF68" s="346"/>
      <c r="AG68" s="347">
        <f t="shared" si="2"/>
        <v>0</v>
      </c>
      <c r="AH68" s="341">
        <f t="shared" si="3"/>
        <v>0</v>
      </c>
      <c r="AI68" s="341"/>
      <c r="AJ68" s="341"/>
      <c r="AK68" s="348"/>
      <c r="AL68" s="349">
        <f>+IF(AK69=7.75,SUM(M68:S68)+T68*0.75,IF(AK69=8,SUM(M68:T68),IF(AK69=7.25,SUM(M68:S68)+T68*0.25,IF(AK69=8.25,SUM(M68:T68)+U68*0.25,IF(AK69=8.75,SUM(M68:T68)+U68*0.75,0)))))</f>
        <v>138</v>
      </c>
      <c r="AM68" s="341">
        <f>+AL68-AA68</f>
        <v>0</v>
      </c>
      <c r="AN68" s="341"/>
      <c r="AO68" s="341"/>
      <c r="AP68" s="341"/>
      <c r="AQ68" s="438"/>
      <c r="AR68" s="434"/>
      <c r="AT68" s="390"/>
      <c r="AV68" s="390"/>
    </row>
    <row r="69" spans="2:59" s="98" customFormat="1" ht="62.25" customHeight="1" thickBot="1" x14ac:dyDescent="0.95">
      <c r="B69" s="375">
        <f>+B67</f>
        <v>16</v>
      </c>
      <c r="C69" s="410"/>
      <c r="D69" s="413" t="s">
        <v>152</v>
      </c>
      <c r="E69" s="175">
        <f>+E68+100</f>
        <v>116</v>
      </c>
      <c r="F69" s="175"/>
      <c r="G69" s="542" t="str">
        <f>+G68</f>
        <v>WINFREY</v>
      </c>
      <c r="H69" s="117"/>
      <c r="I69" s="442"/>
      <c r="J69" s="165">
        <f>+IF(K69="","",IF(K67=0,"",(K67*J67)/(K69*60)))</f>
        <v>0.88405797101449279</v>
      </c>
      <c r="K69" s="118">
        <v>46</v>
      </c>
      <c r="L69" s="104" t="s">
        <v>19</v>
      </c>
      <c r="M69" s="216"/>
      <c r="N69" s="216"/>
      <c r="O69" s="216"/>
      <c r="P69" s="216"/>
      <c r="Q69" s="216"/>
      <c r="R69" s="216"/>
      <c r="S69" s="216"/>
      <c r="T69" s="216"/>
      <c r="U69" s="216"/>
      <c r="V69" s="216"/>
      <c r="W69" s="216"/>
      <c r="X69" s="173"/>
      <c r="Y69" s="467">
        <v>12.542899999999999</v>
      </c>
      <c r="Z69" s="371">
        <f>+IF(COUNTA(M67:W67)=$AJ$4+0.25,$AJ$4-(AA67/K67),COUNTA(M67:W67)-(AA67/K67))+Y69</f>
        <v>15.542899999999999</v>
      </c>
      <c r="AA69" s="465">
        <f t="shared" si="10"/>
        <v>0</v>
      </c>
      <c r="AB69" s="367"/>
      <c r="AC69" s="367"/>
      <c r="AD69" s="368">
        <f>+IFERROR(AD67/(K67*$AQ$3),"")</f>
        <v>0.95314285714285718</v>
      </c>
      <c r="AE69" s="369"/>
      <c r="AF69" s="347"/>
      <c r="AG69" s="347">
        <f t="shared" si="2"/>
        <v>0</v>
      </c>
      <c r="AH69" s="341">
        <f t="shared" si="3"/>
        <v>0</v>
      </c>
      <c r="AI69" s="341"/>
      <c r="AJ69" s="356"/>
      <c r="AK69" s="370">
        <f>+$AJ$4</f>
        <v>8.75</v>
      </c>
      <c r="AL69" s="349">
        <f>+IF(AK69=7.75,SUM(M69:S69)+T69*0.75,IF(AK69=8,SUM(M69:T69),IF(AK69=7.25,SUM(M69:S69)+T69*0.25,IF(AK69=8.25,SUM(M69:T69)+U69*0.25,IF(AK69=8.75,SUM(M69:T69)+U69*0.75,0)))))</f>
        <v>0</v>
      </c>
      <c r="AM69" s="341">
        <f>+AL69-AA69</f>
        <v>0</v>
      </c>
      <c r="AN69" s="341"/>
      <c r="AO69" s="341"/>
      <c r="AP69" s="341"/>
      <c r="AQ69" s="369"/>
      <c r="AR69" s="434"/>
      <c r="AT69" s="390">
        <v>0.79200000000000004</v>
      </c>
      <c r="AV69" s="390"/>
    </row>
    <row r="70" spans="2:59" s="98" customFormat="1" ht="62.25" customHeight="1" thickTop="1" x14ac:dyDescent="0.9">
      <c r="B70" s="342">
        <f>+B71</f>
        <v>17</v>
      </c>
      <c r="C70" s="405"/>
      <c r="D70" s="106"/>
      <c r="E70" s="106"/>
      <c r="F70" s="106"/>
      <c r="G70" s="540" t="s">
        <v>442</v>
      </c>
      <c r="H70" s="106"/>
      <c r="I70" s="111"/>
      <c r="J70" s="107" t="s">
        <v>20</v>
      </c>
      <c r="K70" s="108" t="s">
        <v>23</v>
      </c>
      <c r="L70" s="100" t="s">
        <v>21</v>
      </c>
      <c r="M70" s="448"/>
      <c r="N70" s="448"/>
      <c r="O70" s="448"/>
      <c r="P70" s="448"/>
      <c r="Q70" s="448"/>
      <c r="R70" s="448"/>
      <c r="S70" s="448"/>
      <c r="T70" s="448"/>
      <c r="U70" s="448"/>
      <c r="V70" s="448"/>
      <c r="W70" s="448"/>
      <c r="X70" s="447" t="str">
        <f t="shared" si="6"/>
        <v/>
      </c>
      <c r="Y70" s="466">
        <v>-190.75</v>
      </c>
      <c r="Z70" s="533">
        <f>+X72</f>
        <v>-69</v>
      </c>
      <c r="AA70" s="447">
        <f t="shared" si="7"/>
        <v>0</v>
      </c>
      <c r="AB70" s="343">
        <f>+AC70+AA70</f>
        <v>4680</v>
      </c>
      <c r="AC70" s="343">
        <v>4680</v>
      </c>
      <c r="AD70" s="344"/>
      <c r="AE70" s="345"/>
      <c r="AF70" s="346"/>
      <c r="AG70" s="347">
        <f t="shared" ref="AG70:AG81" si="38">TRUNC(AF70)+(AF70-TRUNC(AF70))*60/100</f>
        <v>0</v>
      </c>
      <c r="AH70" s="341">
        <f t="shared" ref="AH70:AH81" si="39">+AF70*60</f>
        <v>0</v>
      </c>
      <c r="AI70" s="341"/>
      <c r="AJ70" s="341"/>
      <c r="AK70" s="348"/>
      <c r="AL70" s="349"/>
      <c r="AM70" s="341"/>
      <c r="AN70" s="341"/>
      <c r="AO70" s="341"/>
      <c r="AP70" s="341"/>
      <c r="AQ70" s="350"/>
      <c r="AR70" s="434"/>
      <c r="AT70" s="390"/>
      <c r="AV70" s="390"/>
    </row>
    <row r="71" spans="2:59" s="98" customFormat="1" ht="62.25" customHeight="1" x14ac:dyDescent="0.9">
      <c r="B71" s="351">
        <v>17</v>
      </c>
      <c r="C71" s="406">
        <f>+B71</f>
        <v>17</v>
      </c>
      <c r="D71" s="407" t="s">
        <v>441</v>
      </c>
      <c r="E71" s="111"/>
      <c r="F71" s="111" t="s">
        <v>35</v>
      </c>
      <c r="G71" s="541" t="str">
        <f t="shared" ref="G71:G73" si="40">+G70</f>
        <v>2259-600-730</v>
      </c>
      <c r="H71" s="111"/>
      <c r="I71" s="111" t="s">
        <v>33</v>
      </c>
      <c r="J71" s="113">
        <v>34.450000000000003</v>
      </c>
      <c r="K71" s="130">
        <v>61</v>
      </c>
      <c r="L71" s="101" t="s">
        <v>17</v>
      </c>
      <c r="M71" s="214">
        <v>39</v>
      </c>
      <c r="N71" s="214">
        <v>56</v>
      </c>
      <c r="O71" s="214">
        <v>19</v>
      </c>
      <c r="P71" s="214"/>
      <c r="Q71" s="214"/>
      <c r="R71" s="214"/>
      <c r="S71" s="214"/>
      <c r="T71" s="214"/>
      <c r="U71" s="214"/>
      <c r="V71" s="214"/>
      <c r="W71" s="214"/>
      <c r="X71" s="123">
        <f>+IF(H72="s",0,IF(AA71=0,0,IF(COUNTA(M71:W71)=AK73+0.25,SUMIF($C:$C,B71,$AA:$AA)/AK73,SUMIF($C:$C,B71,$AA:$AA)/(COUNTA(M71:W71)))))</f>
        <v>38</v>
      </c>
      <c r="Y71" s="466"/>
      <c r="Z71" s="534"/>
      <c r="AA71" s="134">
        <f t="shared" si="7"/>
        <v>114</v>
      </c>
      <c r="AB71" s="354">
        <f>+AA71+AC71</f>
        <v>4553</v>
      </c>
      <c r="AC71" s="354">
        <v>4439</v>
      </c>
      <c r="AD71" s="355">
        <f>+AB70-AB71</f>
        <v>127</v>
      </c>
      <c r="AE71" s="131">
        <f>+IF(((AA72+(AA73/2))*60)=0,"",(J71*AA71)/((AA72+(AA73/2))*60))</f>
        <v>0.57416666666666671</v>
      </c>
      <c r="AF71" s="347">
        <f>+AA72+AA73/2</f>
        <v>114</v>
      </c>
      <c r="AG71" s="347">
        <f t="shared" si="38"/>
        <v>114</v>
      </c>
      <c r="AH71" s="341">
        <f t="shared" si="39"/>
        <v>6840</v>
      </c>
      <c r="AI71" s="341">
        <f>+AA71*J71</f>
        <v>3927.3</v>
      </c>
      <c r="AJ71" s="356">
        <f>+AA71-(AF71*K71/K73)</f>
        <v>-69</v>
      </c>
      <c r="AK71" s="348"/>
      <c r="AL71" s="349"/>
      <c r="AM71" s="341"/>
      <c r="AN71" s="341"/>
      <c r="AO71" s="341"/>
      <c r="AP71" s="341"/>
      <c r="AQ71" s="339"/>
      <c r="AR71" s="434">
        <v>1.5</v>
      </c>
      <c r="AT71" s="390">
        <v>241</v>
      </c>
      <c r="AV71" s="390">
        <f t="shared" ref="AV71" si="41">+AT71-AD71</f>
        <v>114</v>
      </c>
    </row>
    <row r="72" spans="2:59" s="98" customFormat="1" ht="62.25" customHeight="1" x14ac:dyDescent="0.9">
      <c r="B72" s="357">
        <f>+B71</f>
        <v>17</v>
      </c>
      <c r="C72" s="408"/>
      <c r="D72" s="184"/>
      <c r="E72" s="111">
        <f>+B71</f>
        <v>17</v>
      </c>
      <c r="F72" s="409"/>
      <c r="G72" s="541" t="str">
        <f t="shared" si="40"/>
        <v>2259-600-730</v>
      </c>
      <c r="H72" s="411" t="s">
        <v>413</v>
      </c>
      <c r="I72" s="113">
        <f>+IFERROR(IF(K73=0,0,IF((LOOKUP(2,1/(M72:W72&lt;&gt;""),M72:W72)-K73)&lt;0,0,IF(K73=0,"",LOOKUP(2,1/(M72:W72&lt;&gt;""),M72:W72)-K73))),0)</f>
        <v>0</v>
      </c>
      <c r="J72" s="113">
        <v>1</v>
      </c>
      <c r="K72" s="114" t="s">
        <v>22</v>
      </c>
      <c r="L72" s="102" t="s">
        <v>18</v>
      </c>
      <c r="M72" s="448">
        <v>38</v>
      </c>
      <c r="N72" s="448">
        <v>38</v>
      </c>
      <c r="O72" s="448">
        <v>38</v>
      </c>
      <c r="P72" s="448"/>
      <c r="Q72" s="448"/>
      <c r="R72" s="448"/>
      <c r="S72" s="448"/>
      <c r="T72" s="448"/>
      <c r="U72" s="448"/>
      <c r="V72" s="448"/>
      <c r="W72" s="448"/>
      <c r="X72" s="160">
        <f>+IF(H72="l",IF(COUNTA(M71:W71)=AK73+0.25,AA71-K71*AK73,AA71-(K71*COUNTA(M71:W71))),IF(H72="s",0,IF(COUNTA(M71:W71)=AK73+0.25,SUMIF($C:$C,B71,$AA:$AA)-K71*AK73,SUMIF($C:$C,B71,$AA:$AA)-K71*COUNTA(M71:W71))))</f>
        <v>-69</v>
      </c>
      <c r="Y72" s="466"/>
      <c r="Z72" s="534"/>
      <c r="AA72" s="462">
        <f t="shared" si="10"/>
        <v>114</v>
      </c>
      <c r="AB72" s="360"/>
      <c r="AC72" s="360"/>
      <c r="AD72" s="362"/>
      <c r="AE72" s="363"/>
      <c r="AF72" s="346"/>
      <c r="AG72" s="347">
        <f t="shared" si="38"/>
        <v>0</v>
      </c>
      <c r="AH72" s="341">
        <f t="shared" si="39"/>
        <v>0</v>
      </c>
      <c r="AI72" s="341"/>
      <c r="AJ72" s="341"/>
      <c r="AK72" s="348"/>
      <c r="AL72" s="349">
        <f>+IF(AK73=7.75,SUM(M72:S72)+T72*0.75,IF(AK73=8,SUM(M72:T72),IF(AK73=7.25,SUM(M72:S72)+T72*0.25,IF(AK73=8.25,SUM(M72:T72)+U72*0.25,IF(AK73=8.75,SUM(M72:T72)+U72*0.75,0)))))</f>
        <v>114</v>
      </c>
      <c r="AM72" s="341">
        <f>+AL72-AA72</f>
        <v>0</v>
      </c>
      <c r="AN72" s="341"/>
      <c r="AO72" s="341"/>
      <c r="AP72" s="341"/>
      <c r="AQ72" s="438"/>
      <c r="AR72" s="434"/>
      <c r="AT72" s="390"/>
      <c r="AV72" s="390"/>
    </row>
    <row r="73" spans="2:59" s="98" customFormat="1" ht="62.25" customHeight="1" thickBot="1" x14ac:dyDescent="0.95">
      <c r="B73" s="364">
        <f>+B71</f>
        <v>17</v>
      </c>
      <c r="C73" s="410"/>
      <c r="D73" s="174" t="s">
        <v>379</v>
      </c>
      <c r="E73" s="175">
        <f>+E72+100</f>
        <v>117</v>
      </c>
      <c r="F73" s="175"/>
      <c r="G73" s="542" t="str">
        <f t="shared" si="40"/>
        <v>2259-600-730</v>
      </c>
      <c r="H73" s="117"/>
      <c r="I73" s="442"/>
      <c r="J73" s="165">
        <f>+IF(K73="","",IF(K71=0,"",(K71*J71)/(K73*60)))</f>
        <v>0.92168859649122814</v>
      </c>
      <c r="K73" s="118">
        <v>38</v>
      </c>
      <c r="L73" s="104" t="s">
        <v>19</v>
      </c>
      <c r="M73" s="216"/>
      <c r="N73" s="216"/>
      <c r="O73" s="216"/>
      <c r="P73" s="216"/>
      <c r="Q73" s="216"/>
      <c r="R73" s="216"/>
      <c r="S73" s="216"/>
      <c r="T73" s="216"/>
      <c r="U73" s="216"/>
      <c r="V73" s="216"/>
      <c r="W73" s="216"/>
      <c r="X73" s="173"/>
      <c r="Y73" s="467">
        <v>69.216101639344259</v>
      </c>
      <c r="Z73" s="365">
        <v>69.216101639344259</v>
      </c>
      <c r="AA73" s="465">
        <f t="shared" si="10"/>
        <v>0</v>
      </c>
      <c r="AB73" s="367"/>
      <c r="AC73" s="367"/>
      <c r="AD73" s="368">
        <f>+IFERROR(AD71/(K71*$AQ$3),"")</f>
        <v>0.23793911007025761</v>
      </c>
      <c r="AE73" s="369"/>
      <c r="AF73" s="347"/>
      <c r="AG73" s="347">
        <f t="shared" si="38"/>
        <v>0</v>
      </c>
      <c r="AH73" s="341">
        <f t="shared" si="39"/>
        <v>0</v>
      </c>
      <c r="AI73" s="341"/>
      <c r="AJ73" s="356"/>
      <c r="AK73" s="370">
        <f>+$AJ$4</f>
        <v>8.75</v>
      </c>
      <c r="AL73" s="349">
        <f>+IF(AK73=7.75,SUM(M73:S73)+T73*0.75,IF(AK73=8,SUM(M73:T73),IF(AK73=7.25,SUM(M73:S73)+T73*0.25,IF(AK73=8.25,SUM(M73:T73)+U73*0.25,IF(AK73=8.75,SUM(M73:T73)+U73*0.75,0)))))</f>
        <v>0</v>
      </c>
      <c r="AM73" s="341">
        <f>+AL73-AA73</f>
        <v>0</v>
      </c>
      <c r="AN73" s="341"/>
      <c r="AO73" s="341"/>
      <c r="AP73" s="341"/>
      <c r="AQ73" s="369"/>
      <c r="AR73" s="434"/>
      <c r="AT73" s="390">
        <v>0.45152224824355974</v>
      </c>
      <c r="AV73" s="390"/>
    </row>
    <row r="74" spans="2:59" s="98" customFormat="1" ht="62.25" customHeight="1" thickTop="1" x14ac:dyDescent="0.9">
      <c r="B74" s="342">
        <f>+B75</f>
        <v>17</v>
      </c>
      <c r="C74" s="405"/>
      <c r="D74" s="106"/>
      <c r="E74" s="106"/>
      <c r="F74" s="106"/>
      <c r="G74" s="540" t="s">
        <v>494</v>
      </c>
      <c r="H74" s="106"/>
      <c r="I74" s="111"/>
      <c r="J74" s="107" t="s">
        <v>20</v>
      </c>
      <c r="K74" s="108" t="s">
        <v>23</v>
      </c>
      <c r="L74" s="100" t="s">
        <v>21</v>
      </c>
      <c r="M74" s="448">
        <v>50</v>
      </c>
      <c r="N74" s="448">
        <v>50</v>
      </c>
      <c r="O74" s="448"/>
      <c r="P74" s="448"/>
      <c r="Q74" s="448"/>
      <c r="R74" s="448"/>
      <c r="S74" s="448"/>
      <c r="T74" s="448"/>
      <c r="U74" s="448"/>
      <c r="V74" s="448"/>
      <c r="W74" s="448"/>
      <c r="X74" s="447">
        <f t="shared" ref="X74:X78" si="42">IF(AQ75="","",SUM(M74:W74)-(-(AQ75-SUM(M74:W74))/$AQ$3)*SUM($M$2:$W$2))</f>
        <v>100</v>
      </c>
      <c r="Y74" s="466">
        <v>0</v>
      </c>
      <c r="Z74" s="533">
        <f>+X76</f>
        <v>0</v>
      </c>
      <c r="AA74" s="447">
        <f t="shared" ref="AA74:AA79" si="43">+SUM(L74:W74)</f>
        <v>100</v>
      </c>
      <c r="AB74" s="343">
        <f>+AC74+AA74</f>
        <v>250</v>
      </c>
      <c r="AC74" s="343">
        <v>150</v>
      </c>
      <c r="AD74" s="344"/>
      <c r="AE74" s="345"/>
      <c r="AF74" s="346"/>
      <c r="AG74" s="347">
        <f t="shared" si="38"/>
        <v>0</v>
      </c>
      <c r="AH74" s="341">
        <f t="shared" si="39"/>
        <v>0</v>
      </c>
      <c r="AI74" s="341"/>
      <c r="AJ74" s="341"/>
      <c r="AK74" s="348"/>
      <c r="AL74" s="349"/>
      <c r="AM74" s="341"/>
      <c r="AN74" s="341"/>
      <c r="AO74" s="341"/>
      <c r="AP74" s="341"/>
      <c r="AQ74" s="350"/>
      <c r="AR74" s="434"/>
      <c r="AT74" s="390"/>
      <c r="AV74" s="390"/>
    </row>
    <row r="75" spans="2:59" s="98" customFormat="1" ht="62.25" customHeight="1" x14ac:dyDescent="0.9">
      <c r="B75" s="351">
        <v>17</v>
      </c>
      <c r="C75" s="406">
        <f>+B75</f>
        <v>17</v>
      </c>
      <c r="D75" s="407" t="s">
        <v>493</v>
      </c>
      <c r="E75" s="111"/>
      <c r="F75" s="111" t="s">
        <v>35</v>
      </c>
      <c r="G75" s="541" t="str">
        <f>+G74</f>
        <v>2395-582-401</v>
      </c>
      <c r="H75" s="111"/>
      <c r="I75" s="111" t="s">
        <v>33</v>
      </c>
      <c r="J75" s="113">
        <v>41.85</v>
      </c>
      <c r="K75" s="130">
        <v>57</v>
      </c>
      <c r="L75" s="101" t="s">
        <v>17</v>
      </c>
      <c r="M75" s="214"/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123">
        <f>+IF(H76="s",0,IF(AA75=0,0,IF(COUNTA(M75:W75)=AK77+0.25,SUMIF($C:$C,B75,$AA:$AA)/AK77,SUMIF($C:$C,B75,$AA:$AA)/(COUNTA(M75:W75)))))</f>
        <v>0</v>
      </c>
      <c r="Y75" s="466"/>
      <c r="Z75" s="534"/>
      <c r="AA75" s="134">
        <f t="shared" si="43"/>
        <v>0</v>
      </c>
      <c r="AB75" s="354">
        <f>+AA75+AC75</f>
        <v>0</v>
      </c>
      <c r="AC75" s="354">
        <v>0</v>
      </c>
      <c r="AD75" s="355">
        <f>+AB74-AB75</f>
        <v>250</v>
      </c>
      <c r="AE75" s="131">
        <f>+IF(((AA76+(AA77/2))*60)=0,"",(J75*AA75)/((AA76+(AA77/2))*60))</f>
        <v>0</v>
      </c>
      <c r="AF75" s="347">
        <f>+AA76+AA77/2</f>
        <v>6</v>
      </c>
      <c r="AG75" s="347">
        <f t="shared" si="38"/>
        <v>6</v>
      </c>
      <c r="AH75" s="341">
        <f t="shared" si="39"/>
        <v>360</v>
      </c>
      <c r="AI75" s="341">
        <f>+AA75*J75</f>
        <v>0</v>
      </c>
      <c r="AJ75" s="356">
        <f>+AA75-(AF75*K75/K77)</f>
        <v>-7.2765957446808507</v>
      </c>
      <c r="AK75" s="348"/>
      <c r="AL75" s="349"/>
      <c r="AM75" s="341"/>
      <c r="AN75" s="341"/>
      <c r="AO75" s="341"/>
      <c r="AP75" s="341"/>
      <c r="AQ75" s="339">
        <f>-480+AA74</f>
        <v>-380</v>
      </c>
      <c r="AR75" s="434"/>
      <c r="AT75" s="390">
        <v>150</v>
      </c>
      <c r="AV75" s="390">
        <f t="shared" ref="AV75" si="44">+AT75-AD75</f>
        <v>-100</v>
      </c>
    </row>
    <row r="76" spans="2:59" s="98" customFormat="1" ht="62.25" customHeight="1" x14ac:dyDescent="0.9">
      <c r="B76" s="357">
        <f>+B75</f>
        <v>17</v>
      </c>
      <c r="C76" s="408"/>
      <c r="D76" s="184"/>
      <c r="E76" s="111">
        <f>+B75</f>
        <v>17</v>
      </c>
      <c r="F76" s="409"/>
      <c r="G76" s="541" t="str">
        <f>+G74</f>
        <v>2395-582-401</v>
      </c>
      <c r="H76" s="411" t="s">
        <v>413</v>
      </c>
      <c r="I76" s="113">
        <f>+IFERROR(IF(K77=0,0,IF((LOOKUP(2,1/(M76:W76&lt;&gt;""),M76:W76)-K77)&lt;0,0,IF(K77=0,"",LOOKUP(2,1/(M76:W76&lt;&gt;""),M76:W76)-K77))),0)</f>
        <v>0</v>
      </c>
      <c r="J76" s="113"/>
      <c r="K76" s="114" t="s">
        <v>22</v>
      </c>
      <c r="L76" s="102" t="s">
        <v>18</v>
      </c>
      <c r="M76" s="448">
        <v>2</v>
      </c>
      <c r="N76" s="448">
        <v>2</v>
      </c>
      <c r="O76" s="448">
        <v>2</v>
      </c>
      <c r="P76" s="448"/>
      <c r="Q76" s="448"/>
      <c r="R76" s="448"/>
      <c r="S76" s="448"/>
      <c r="T76" s="448"/>
      <c r="U76" s="448"/>
      <c r="V76" s="448"/>
      <c r="W76" s="448"/>
      <c r="X76" s="160">
        <f>+IF(H76="l",IF(COUNTA(M75:W75)=AK77+0.25,AA75-K75*AK77,AA75-(K75*COUNTA(M75:W75))),IF(H76="s",0,IF(COUNTA(M75:W75)=AK77+0.25,SUMIF($C:$C,B75,$AA:$AA)-K75*AK77,SUMIF($C:$C,B75,$AA:$AA)-K75*COUNTA(M75:W75))))</f>
        <v>0</v>
      </c>
      <c r="Y76" s="466"/>
      <c r="Z76" s="534"/>
      <c r="AA76" s="462">
        <f t="shared" ref="AA76:AA81" si="45">+SUM(M76:W76)-U76*0.25</f>
        <v>6</v>
      </c>
      <c r="AB76" s="360"/>
      <c r="AC76" s="360"/>
      <c r="AD76" s="362"/>
      <c r="AE76" s="363"/>
      <c r="AF76" s="346"/>
      <c r="AG76" s="347">
        <f t="shared" si="38"/>
        <v>0</v>
      </c>
      <c r="AH76" s="341">
        <f t="shared" si="39"/>
        <v>0</v>
      </c>
      <c r="AI76" s="341"/>
      <c r="AJ76" s="341"/>
      <c r="AK76" s="348"/>
      <c r="AL76" s="349">
        <f>+IF(AK77=7.75,SUM(M76:S76)+T76*0.75,IF(AK77=8,SUM(M76:T76),IF(AK77=7.25,SUM(M76:S76)+T76*0.25,IF(AK77=8.25,SUM(M76:T76)+U76*0.25,IF(AK77=8.75,SUM(M76:T76)+U76*0.75,0)))))</f>
        <v>6</v>
      </c>
      <c r="AM76" s="341">
        <f>+AL76-AA76</f>
        <v>0</v>
      </c>
      <c r="AN76" s="341"/>
      <c r="AO76" s="341"/>
      <c r="AP76" s="341"/>
      <c r="AQ76" s="438"/>
      <c r="AR76" s="434"/>
      <c r="AT76" s="390"/>
      <c r="AV76" s="390"/>
    </row>
    <row r="77" spans="2:59" s="98" customFormat="1" ht="62.25" customHeight="1" thickBot="1" x14ac:dyDescent="0.95">
      <c r="B77" s="364">
        <f>+B75</f>
        <v>17</v>
      </c>
      <c r="C77" s="410"/>
      <c r="D77" s="174" t="s">
        <v>379</v>
      </c>
      <c r="E77" s="175">
        <f>+E76+100</f>
        <v>117</v>
      </c>
      <c r="F77" s="175"/>
      <c r="G77" s="542" t="str">
        <f>+G74</f>
        <v>2395-582-401</v>
      </c>
      <c r="H77" s="117"/>
      <c r="I77" s="442"/>
      <c r="J77" s="165">
        <f>+IF(K77="","",IF(K75=0,"",(K75*J75)/(K77*60)))</f>
        <v>0.84590425531914903</v>
      </c>
      <c r="K77" s="118">
        <v>47</v>
      </c>
      <c r="L77" s="104" t="s">
        <v>19</v>
      </c>
      <c r="M77" s="216"/>
      <c r="N77" s="216"/>
      <c r="O77" s="216"/>
      <c r="P77" s="216"/>
      <c r="Q77" s="216"/>
      <c r="R77" s="216"/>
      <c r="S77" s="216"/>
      <c r="T77" s="216"/>
      <c r="U77" s="216"/>
      <c r="V77" s="216"/>
      <c r="W77" s="216"/>
      <c r="X77" s="173"/>
      <c r="Y77" s="467">
        <v>0</v>
      </c>
      <c r="Z77" s="371">
        <f>+IF(COUNTA(M75:W75)=$AJ$4+0.25,$AJ$4-(AA75/K75),COUNTA(M75:W75)-(AA75/K75))+Y77</f>
        <v>0</v>
      </c>
      <c r="AA77" s="465">
        <f t="shared" si="45"/>
        <v>0</v>
      </c>
      <c r="AB77" s="367"/>
      <c r="AC77" s="367"/>
      <c r="AD77" s="368">
        <f>+IFERROR(AD75/(K75*$AQ$3),"")</f>
        <v>0.50125313283208017</v>
      </c>
      <c r="AE77" s="369"/>
      <c r="AF77" s="347"/>
      <c r="AG77" s="347">
        <f t="shared" si="38"/>
        <v>0</v>
      </c>
      <c r="AH77" s="341">
        <f t="shared" si="39"/>
        <v>0</v>
      </c>
      <c r="AI77" s="341"/>
      <c r="AJ77" s="356"/>
      <c r="AK77" s="370">
        <f>+$AJ$4</f>
        <v>8.75</v>
      </c>
      <c r="AL77" s="349">
        <f>+IF(AK77=7.75,SUM(M77:S77)+T77*0.75,IF(AK77=8,SUM(M77:T77),IF(AK77=7.25,SUM(M77:S77)+T77*0.25,IF(AK77=8.25,SUM(M77:T77)+U77*0.25,IF(AK77=8.75,SUM(M77:T77)+U77*0.75,0)))))</f>
        <v>0</v>
      </c>
      <c r="AM77" s="341">
        <f>+AL77-AA77</f>
        <v>0</v>
      </c>
      <c r="AN77" s="341"/>
      <c r="AO77" s="341"/>
      <c r="AP77" s="341"/>
      <c r="AQ77" s="369"/>
      <c r="AR77" s="434"/>
      <c r="AT77" s="390">
        <v>0.3007518796992481</v>
      </c>
      <c r="AV77" s="390"/>
    </row>
    <row r="78" spans="2:59" s="98" customFormat="1" ht="62.25" customHeight="1" thickTop="1" x14ac:dyDescent="0.9">
      <c r="B78" s="373">
        <f>+B79</f>
        <v>18</v>
      </c>
      <c r="C78" s="405"/>
      <c r="D78" s="106"/>
      <c r="E78" s="106"/>
      <c r="F78" s="106"/>
      <c r="G78" s="540" t="s">
        <v>481</v>
      </c>
      <c r="H78" s="106"/>
      <c r="I78" s="106"/>
      <c r="J78" s="107" t="s">
        <v>20</v>
      </c>
      <c r="K78" s="108" t="s">
        <v>23</v>
      </c>
      <c r="L78" s="100" t="s">
        <v>21</v>
      </c>
      <c r="M78" s="448">
        <v>60</v>
      </c>
      <c r="N78" s="448">
        <v>120</v>
      </c>
      <c r="O78" s="448"/>
      <c r="P78" s="448"/>
      <c r="Q78" s="448"/>
      <c r="R78" s="448"/>
      <c r="S78" s="448"/>
      <c r="T78" s="448"/>
      <c r="U78" s="448"/>
      <c r="V78" s="448"/>
      <c r="W78" s="448"/>
      <c r="X78" s="447">
        <f t="shared" si="42"/>
        <v>180</v>
      </c>
      <c r="Y78" s="466">
        <v>0</v>
      </c>
      <c r="Z78" s="533">
        <f>+X80</f>
        <v>0</v>
      </c>
      <c r="AA78" s="447">
        <f t="shared" si="43"/>
        <v>180</v>
      </c>
      <c r="AB78" s="343">
        <f>+AC78+AA78</f>
        <v>4530</v>
      </c>
      <c r="AC78" s="343">
        <v>4350</v>
      </c>
      <c r="AD78" s="344"/>
      <c r="AE78" s="345"/>
      <c r="AF78" s="346"/>
      <c r="AG78" s="347">
        <f t="shared" si="38"/>
        <v>0</v>
      </c>
      <c r="AH78" s="341">
        <f t="shared" si="39"/>
        <v>0</v>
      </c>
      <c r="AI78" s="341"/>
      <c r="AJ78" s="341"/>
      <c r="AK78" s="348"/>
      <c r="AL78" s="349"/>
      <c r="AM78" s="341"/>
      <c r="AN78" s="341"/>
      <c r="AO78" s="341"/>
      <c r="AP78" s="341"/>
      <c r="AQ78" s="350"/>
      <c r="AR78" s="434"/>
      <c r="AT78" s="390"/>
      <c r="AV78" s="390"/>
    </row>
    <row r="79" spans="2:59" s="98" customFormat="1" ht="62.25" customHeight="1" x14ac:dyDescent="0.9">
      <c r="B79" s="374">
        <v>18</v>
      </c>
      <c r="C79" s="406">
        <f>+B79</f>
        <v>18</v>
      </c>
      <c r="D79" s="407" t="s">
        <v>480</v>
      </c>
      <c r="E79" s="111"/>
      <c r="F79" s="111" t="s">
        <v>35</v>
      </c>
      <c r="G79" s="541" t="str">
        <f t="shared" ref="G79:G81" si="46">+G78</f>
        <v>2396-593-600</v>
      </c>
      <c r="H79" s="111"/>
      <c r="I79" s="111" t="s">
        <v>33</v>
      </c>
      <c r="J79" s="113">
        <v>38.82</v>
      </c>
      <c r="K79" s="130">
        <v>60</v>
      </c>
      <c r="L79" s="101" t="s">
        <v>17</v>
      </c>
      <c r="M79" s="214">
        <v>60</v>
      </c>
      <c r="N79" s="214">
        <v>60</v>
      </c>
      <c r="O79" s="214">
        <v>60</v>
      </c>
      <c r="P79" s="214"/>
      <c r="Q79" s="214"/>
      <c r="R79" s="214"/>
      <c r="S79" s="214"/>
      <c r="T79" s="214"/>
      <c r="U79" s="214"/>
      <c r="V79" s="214"/>
      <c r="W79" s="214"/>
      <c r="X79" s="123">
        <f>+IF(H80="s",0,IF(AA79=0,0,IF(COUNTA(M79:W79)=AK81+0.25,SUMIF($C:$C,B79,$AA:$AA)/AK81,SUMIF($C:$C,B79,$AA:$AA)/(COUNTA(M79:W79)))))</f>
        <v>60</v>
      </c>
      <c r="Y79" s="466"/>
      <c r="Z79" s="534"/>
      <c r="AA79" s="134">
        <f t="shared" si="43"/>
        <v>180</v>
      </c>
      <c r="AB79" s="354">
        <f>+AA79+AC79</f>
        <v>3712</v>
      </c>
      <c r="AC79" s="354">
        <v>3532</v>
      </c>
      <c r="AD79" s="355">
        <f>+AB78-AB79</f>
        <v>818</v>
      </c>
      <c r="AE79" s="131">
        <f>+IF(((AA80+(AA81/2))*60)=0,"",(J79*AA79)/((AA80+(AA81/2))*60))</f>
        <v>0.90279069767441866</v>
      </c>
      <c r="AF79" s="347">
        <f>+AA80+AA81/2</f>
        <v>129</v>
      </c>
      <c r="AG79" s="347">
        <f t="shared" si="38"/>
        <v>129</v>
      </c>
      <c r="AH79" s="341">
        <f t="shared" si="39"/>
        <v>7740</v>
      </c>
      <c r="AI79" s="341">
        <f>+AA79*J79</f>
        <v>6987.6</v>
      </c>
      <c r="AJ79" s="356">
        <f>+AA79-(AF79*K79/K81)</f>
        <v>0</v>
      </c>
      <c r="AK79" s="348"/>
      <c r="AL79" s="349"/>
      <c r="AM79" s="341"/>
      <c r="AN79" s="341"/>
      <c r="AO79" s="341"/>
      <c r="AP79" s="341"/>
      <c r="AQ79" s="339">
        <f t="shared" ref="AQ79" si="47">IF(AR79=0,"",AT79-(($AQ$3*K79)+($AQ$3*K79)*AR79)+AA78)</f>
        <v>-314.5</v>
      </c>
      <c r="AR79" s="434">
        <v>1.5</v>
      </c>
      <c r="AT79" s="390">
        <v>818</v>
      </c>
      <c r="AV79" s="390">
        <f t="shared" ref="AV79" si="48">+AT79-AD79</f>
        <v>0</v>
      </c>
    </row>
    <row r="80" spans="2:59" s="98" customFormat="1" ht="62.25" customHeight="1" x14ac:dyDescent="0.9">
      <c r="B80" s="357">
        <f>+B79</f>
        <v>18</v>
      </c>
      <c r="C80" s="408"/>
      <c r="D80" s="184"/>
      <c r="E80" s="111">
        <f>+B79</f>
        <v>18</v>
      </c>
      <c r="F80" s="409"/>
      <c r="G80" s="541" t="str">
        <f t="shared" si="46"/>
        <v>2396-593-600</v>
      </c>
      <c r="H80" s="411" t="s">
        <v>413</v>
      </c>
      <c r="I80" s="113">
        <f>+IFERROR(IF(K81=0,0,IF((LOOKUP(2,1/(M80:W80&lt;&gt;""),M80:W80)-K81)&lt;0,0,IF(K81=0,"",LOOKUP(2,1/(M80:W80&lt;&gt;""),M80:W80)-K81))),0)</f>
        <v>0</v>
      </c>
      <c r="J80" s="113">
        <v>2</v>
      </c>
      <c r="K80" s="114" t="s">
        <v>22</v>
      </c>
      <c r="L80" s="102" t="s">
        <v>18</v>
      </c>
      <c r="M80" s="448">
        <v>43</v>
      </c>
      <c r="N80" s="448">
        <v>43</v>
      </c>
      <c r="O80" s="448">
        <v>43</v>
      </c>
      <c r="P80" s="448"/>
      <c r="Q80" s="448"/>
      <c r="R80" s="448"/>
      <c r="S80" s="448"/>
      <c r="T80" s="448"/>
      <c r="U80" s="448"/>
      <c r="V80" s="448"/>
      <c r="W80" s="448"/>
      <c r="X80" s="160">
        <f>+IF(H80="l",IF(COUNTA(M79:W79)=AK81+0.25,AA79-K79*AK81,AA79-(K79*COUNTA(M79:W79))),IF(H80="s",0,IF(COUNTA(M79:W79)=AK81+0.25,SUMIF($C:$C,B79,$AA:$AA)-K79*AK81,SUMIF($C:$C,B79,$AA:$AA)-K79*COUNTA(M79:W79))))</f>
        <v>0</v>
      </c>
      <c r="Y80" s="466"/>
      <c r="Z80" s="534"/>
      <c r="AA80" s="462">
        <f t="shared" si="45"/>
        <v>129</v>
      </c>
      <c r="AB80" s="361"/>
      <c r="AC80" s="361"/>
      <c r="AD80" s="362"/>
      <c r="AE80" s="363"/>
      <c r="AF80" s="346"/>
      <c r="AG80" s="347">
        <f t="shared" si="38"/>
        <v>0</v>
      </c>
      <c r="AH80" s="341">
        <f t="shared" si="39"/>
        <v>0</v>
      </c>
      <c r="AI80" s="341"/>
      <c r="AJ80" s="341"/>
      <c r="AK80" s="348"/>
      <c r="AL80" s="349">
        <f>+IF(AK81=7.75,SUM(M80:S80)+T80*0.75,IF(AK81=8,SUM(M80:T80),IF(AK81=7.25,SUM(M80:S80)+T80*0.25,IF(AK81=8.25,SUM(M80:T80)+U80*0.25,IF(AK81=8.75,SUM(M80:T80)+U80*0.75,0)))))</f>
        <v>129</v>
      </c>
      <c r="AM80" s="341">
        <f>+AL80-AA80</f>
        <v>0</v>
      </c>
      <c r="AN80" s="341"/>
      <c r="AO80" s="341"/>
      <c r="AP80" s="341"/>
      <c r="AQ80" s="438"/>
      <c r="AR80" s="434"/>
      <c r="AT80" s="390"/>
      <c r="AV80" s="390"/>
    </row>
    <row r="81" spans="2:48" s="98" customFormat="1" ht="62.25" customHeight="1" thickBot="1" x14ac:dyDescent="0.95">
      <c r="B81" s="375">
        <f>+B79</f>
        <v>18</v>
      </c>
      <c r="C81" s="410"/>
      <c r="D81" s="413" t="s">
        <v>308</v>
      </c>
      <c r="E81" s="175">
        <f>+E80+100</f>
        <v>118</v>
      </c>
      <c r="F81" s="175"/>
      <c r="G81" s="542" t="str">
        <f t="shared" si="46"/>
        <v>2396-593-600</v>
      </c>
      <c r="H81" s="117"/>
      <c r="I81" s="442"/>
      <c r="J81" s="165">
        <f>+IF(K81="","",IF(K79=0,"",(K79*J79)/(K81*60)))</f>
        <v>0.90279069767441855</v>
      </c>
      <c r="K81" s="118">
        <v>43</v>
      </c>
      <c r="L81" s="104" t="s">
        <v>19</v>
      </c>
      <c r="M81" s="216"/>
      <c r="N81" s="216"/>
      <c r="O81" s="216"/>
      <c r="P81" s="216"/>
      <c r="Q81" s="216"/>
      <c r="R81" s="216"/>
      <c r="S81" s="216"/>
      <c r="T81" s="216"/>
      <c r="U81" s="216"/>
      <c r="V81" s="216"/>
      <c r="W81" s="216"/>
      <c r="X81" s="173"/>
      <c r="Y81" s="467">
        <v>12.46</v>
      </c>
      <c r="Z81" s="365">
        <v>12.46</v>
      </c>
      <c r="AA81" s="465">
        <f t="shared" si="45"/>
        <v>0</v>
      </c>
      <c r="AB81" s="367"/>
      <c r="AC81" s="367"/>
      <c r="AD81" s="368">
        <f>+IFERROR(AD79/(K79*$AQ$3),"")</f>
        <v>1.5580952380952382</v>
      </c>
      <c r="AE81" s="369"/>
      <c r="AF81" s="347"/>
      <c r="AG81" s="347">
        <f t="shared" si="38"/>
        <v>0</v>
      </c>
      <c r="AH81" s="341">
        <f t="shared" si="39"/>
        <v>0</v>
      </c>
      <c r="AI81" s="341"/>
      <c r="AJ81" s="356"/>
      <c r="AK81" s="370">
        <f>+$AJ$4</f>
        <v>8.75</v>
      </c>
      <c r="AL81" s="349">
        <f>+IF(AK81=7.75,SUM(M81:S81)+T81*0.75,IF(AK81=8,SUM(M81:T81),IF(AK81=7.25,SUM(M81:S81)+T81*0.25,IF(AK81=8.25,SUM(M81:T81)+U81*0.25,IF(AK81=8.75,SUM(M81:T81)+U81*0.75,0)))))</f>
        <v>0</v>
      </c>
      <c r="AM81" s="341">
        <f>+AL81-AA81</f>
        <v>0</v>
      </c>
      <c r="AN81" s="341"/>
      <c r="AO81" s="341"/>
      <c r="AP81" s="341"/>
      <c r="AQ81" s="369"/>
      <c r="AR81" s="434"/>
      <c r="AT81" s="390">
        <v>1.5580952380952382</v>
      </c>
      <c r="AV81" s="390"/>
    </row>
    <row r="82" spans="2:48" s="419" customFormat="1" ht="91.5" customHeight="1" thickTop="1" thickBot="1" x14ac:dyDescent="0.95">
      <c r="B82" s="414"/>
      <c r="C82" s="414"/>
      <c r="D82" s="415"/>
      <c r="E82" s="415"/>
      <c r="F82" s="415"/>
      <c r="G82" s="415"/>
      <c r="H82" s="415"/>
      <c r="I82" s="415"/>
      <c r="J82" s="415"/>
      <c r="K82" s="415"/>
      <c r="L82" s="416"/>
      <c r="M82" s="416"/>
      <c r="N82" s="416"/>
      <c r="O82" s="416"/>
      <c r="P82" s="416"/>
      <c r="Q82" s="416"/>
      <c r="R82" s="416"/>
      <c r="S82" s="416"/>
      <c r="T82" s="416"/>
      <c r="U82" s="416"/>
      <c r="V82" s="416"/>
      <c r="W82" s="416"/>
      <c r="X82" s="415"/>
      <c r="Y82" s="415"/>
      <c r="Z82" s="415"/>
      <c r="AA82" s="415"/>
      <c r="AB82" s="415"/>
      <c r="AC82" s="415"/>
      <c r="AD82" s="415"/>
      <c r="AE82" s="417"/>
      <c r="AF82" s="418"/>
      <c r="AG82" s="418"/>
      <c r="AK82" s="420"/>
      <c r="AL82" s="421"/>
      <c r="AR82" s="435"/>
    </row>
    <row r="83" spans="2:48" s="419" customFormat="1" ht="91.5" customHeight="1" thickTop="1" thickBot="1" x14ac:dyDescent="0.95">
      <c r="B83" s="414"/>
      <c r="C83" s="414"/>
      <c r="D83" s="415"/>
      <c r="E83" s="415"/>
      <c r="F83" s="415"/>
      <c r="G83" s="415"/>
      <c r="H83" s="415"/>
      <c r="I83" s="415"/>
      <c r="J83" s="415"/>
      <c r="K83" s="415"/>
      <c r="L83" s="378" t="s">
        <v>21</v>
      </c>
      <c r="M83" s="379">
        <f t="shared" ref="M83:W83" si="49">+SUMIF($L$6:$L$82,$L$83,M6:M82)</f>
        <v>1131</v>
      </c>
      <c r="N83" s="379">
        <f t="shared" si="49"/>
        <v>1205</v>
      </c>
      <c r="O83" s="379">
        <f t="shared" si="49"/>
        <v>0</v>
      </c>
      <c r="P83" s="379">
        <f t="shared" si="49"/>
        <v>0</v>
      </c>
      <c r="Q83" s="379">
        <f t="shared" si="49"/>
        <v>0</v>
      </c>
      <c r="R83" s="379">
        <f t="shared" si="49"/>
        <v>0</v>
      </c>
      <c r="S83" s="379">
        <f t="shared" si="49"/>
        <v>0</v>
      </c>
      <c r="T83" s="379">
        <f t="shared" si="49"/>
        <v>0</v>
      </c>
      <c r="U83" s="379">
        <f t="shared" si="49"/>
        <v>0</v>
      </c>
      <c r="V83" s="379">
        <f t="shared" si="49"/>
        <v>0</v>
      </c>
      <c r="W83" s="379">
        <f t="shared" si="49"/>
        <v>0</v>
      </c>
      <c r="X83" s="332"/>
      <c r="Y83" s="332"/>
      <c r="Z83" s="537">
        <f>+SUM(M83:W83)</f>
        <v>2336</v>
      </c>
      <c r="AA83" s="538"/>
      <c r="AB83" s="415"/>
      <c r="AC83" s="415"/>
      <c r="AD83" s="415"/>
      <c r="AE83" s="417"/>
      <c r="AF83" s="418"/>
      <c r="AG83" s="418"/>
      <c r="AK83" s="420"/>
      <c r="AR83" s="435"/>
    </row>
    <row r="84" spans="2:48" s="419" customFormat="1" ht="91.5" customHeight="1" thickTop="1" thickBot="1" x14ac:dyDescent="0.95">
      <c r="B84" s="414"/>
      <c r="C84" s="414"/>
      <c r="D84" s="415"/>
      <c r="E84" s="415"/>
      <c r="F84" s="415"/>
      <c r="G84" s="415"/>
      <c r="H84" s="415"/>
      <c r="I84" s="415"/>
      <c r="J84" s="415"/>
      <c r="K84" s="415"/>
      <c r="L84" s="380"/>
      <c r="M84" s="376"/>
      <c r="N84" s="376"/>
      <c r="O84" s="376"/>
      <c r="P84" s="376"/>
      <c r="Q84" s="376"/>
      <c r="R84" s="376"/>
      <c r="S84" s="376"/>
      <c r="T84" s="376"/>
      <c r="U84" s="376"/>
      <c r="V84" s="376"/>
      <c r="W84" s="376"/>
      <c r="X84" s="332"/>
      <c r="Y84" s="332"/>
      <c r="Z84" s="332"/>
      <c r="AA84" s="332"/>
      <c r="AB84" s="415"/>
      <c r="AC84" s="415"/>
      <c r="AD84" s="415"/>
      <c r="AE84" s="417"/>
      <c r="AF84" s="418"/>
      <c r="AG84" s="418"/>
      <c r="AK84" s="420"/>
      <c r="AR84" s="435"/>
    </row>
    <row r="85" spans="2:48" s="419" customFormat="1" ht="91.5" customHeight="1" thickTop="1" thickBot="1" x14ac:dyDescent="0.95">
      <c r="B85" s="414"/>
      <c r="C85" s="414"/>
      <c r="D85" s="415"/>
      <c r="E85" s="415"/>
      <c r="F85" s="415"/>
      <c r="G85" s="415"/>
      <c r="H85" s="415"/>
      <c r="I85" s="415"/>
      <c r="J85" s="415"/>
      <c r="K85" s="415"/>
      <c r="L85" s="378" t="s">
        <v>17</v>
      </c>
      <c r="M85" s="379">
        <f t="shared" ref="M85:W85" si="50">+SUMIF($L$6:$L$82,$L$85,M6:M82)</f>
        <v>521</v>
      </c>
      <c r="N85" s="379">
        <f t="shared" si="50"/>
        <v>630</v>
      </c>
      <c r="O85" s="379">
        <f t="shared" si="50"/>
        <v>575</v>
      </c>
      <c r="P85" s="379">
        <f t="shared" si="50"/>
        <v>0</v>
      </c>
      <c r="Q85" s="379">
        <f t="shared" si="50"/>
        <v>0</v>
      </c>
      <c r="R85" s="379">
        <f t="shared" si="50"/>
        <v>0</v>
      </c>
      <c r="S85" s="379">
        <f t="shared" si="50"/>
        <v>0</v>
      </c>
      <c r="T85" s="379">
        <f t="shared" si="50"/>
        <v>0</v>
      </c>
      <c r="U85" s="379">
        <f t="shared" si="50"/>
        <v>0</v>
      </c>
      <c r="V85" s="379">
        <f t="shared" si="50"/>
        <v>0</v>
      </c>
      <c r="W85" s="379">
        <f t="shared" si="50"/>
        <v>0</v>
      </c>
      <c r="X85" s="332"/>
      <c r="Y85" s="332"/>
      <c r="Z85" s="537">
        <f>+SUM(M85:W85)</f>
        <v>1726</v>
      </c>
      <c r="AA85" s="538"/>
      <c r="AB85" s="415"/>
      <c r="AC85" s="415"/>
      <c r="AD85" s="415"/>
      <c r="AE85" s="417"/>
      <c r="AF85" s="418"/>
      <c r="AG85" s="418"/>
      <c r="AK85" s="420"/>
      <c r="AR85" s="435"/>
    </row>
    <row r="86" spans="2:48" s="419" customFormat="1" ht="91.5" customHeight="1" thickTop="1" thickBot="1" x14ac:dyDescent="0.95">
      <c r="B86" s="414"/>
      <c r="C86" s="414"/>
      <c r="D86" s="415"/>
      <c r="E86" s="415"/>
      <c r="F86" s="415"/>
      <c r="G86" s="415"/>
      <c r="H86" s="415"/>
      <c r="I86" s="415"/>
      <c r="J86" s="415"/>
      <c r="K86" s="415"/>
      <c r="L86" s="380"/>
      <c r="M86" s="376"/>
      <c r="N86" s="376"/>
      <c r="O86" s="376"/>
      <c r="P86" s="376"/>
      <c r="Q86" s="376"/>
      <c r="R86" s="376"/>
      <c r="S86" s="376"/>
      <c r="T86" s="376"/>
      <c r="U86" s="376"/>
      <c r="V86" s="376"/>
      <c r="W86" s="376"/>
      <c r="X86" s="332"/>
      <c r="Y86" s="332"/>
      <c r="Z86" s="332"/>
      <c r="AA86" s="332"/>
      <c r="AB86" s="415"/>
      <c r="AC86" s="415"/>
      <c r="AD86" s="415"/>
      <c r="AE86" s="417"/>
      <c r="AF86" s="418"/>
      <c r="AG86" s="418"/>
      <c r="AK86" s="420"/>
      <c r="AR86" s="435"/>
    </row>
    <row r="87" spans="2:48" s="419" customFormat="1" ht="91.5" customHeight="1" thickTop="1" thickBot="1" x14ac:dyDescent="0.95">
      <c r="B87" s="414"/>
      <c r="C87" s="414"/>
      <c r="D87" s="422"/>
      <c r="E87" s="422"/>
      <c r="F87" s="422"/>
      <c r="G87" s="422"/>
      <c r="H87" s="422"/>
      <c r="I87" s="422"/>
      <c r="J87" s="423"/>
      <c r="K87" s="422"/>
      <c r="L87" s="378" t="s">
        <v>19</v>
      </c>
      <c r="M87" s="379">
        <f t="shared" ref="M87:W87" si="51">+SUMIF($L$6:$L$82,$L$87,M6:M82)</f>
        <v>8</v>
      </c>
      <c r="N87" s="379">
        <f t="shared" si="51"/>
        <v>8</v>
      </c>
      <c r="O87" s="379">
        <f t="shared" si="51"/>
        <v>8</v>
      </c>
      <c r="P87" s="379">
        <f t="shared" si="51"/>
        <v>0</v>
      </c>
      <c r="Q87" s="379">
        <f t="shared" si="51"/>
        <v>0</v>
      </c>
      <c r="R87" s="379">
        <f t="shared" si="51"/>
        <v>0</v>
      </c>
      <c r="S87" s="379">
        <f t="shared" si="51"/>
        <v>0</v>
      </c>
      <c r="T87" s="379">
        <f t="shared" si="51"/>
        <v>0</v>
      </c>
      <c r="U87" s="379">
        <f t="shared" si="51"/>
        <v>0</v>
      </c>
      <c r="V87" s="379">
        <f t="shared" si="51"/>
        <v>0</v>
      </c>
      <c r="W87" s="379">
        <f t="shared" si="51"/>
        <v>0</v>
      </c>
      <c r="X87" s="381"/>
      <c r="Y87" s="381"/>
      <c r="Z87" s="332"/>
      <c r="AA87" s="332"/>
      <c r="AB87" s="415"/>
      <c r="AC87" s="415"/>
      <c r="AD87" s="415"/>
      <c r="AE87" s="417"/>
      <c r="AF87" s="418"/>
      <c r="AG87" s="418"/>
      <c r="AK87" s="420"/>
      <c r="AR87" s="435"/>
    </row>
    <row r="88" spans="2:48" s="419" customFormat="1" ht="62.25" customHeight="1" thickTop="1" x14ac:dyDescent="0.9">
      <c r="B88" s="414"/>
      <c r="C88" s="414"/>
      <c r="D88" s="422"/>
      <c r="E88" s="422"/>
      <c r="F88" s="422"/>
      <c r="G88" s="422"/>
      <c r="H88" s="422"/>
      <c r="I88" s="424"/>
      <c r="J88" s="423"/>
      <c r="K88" s="422"/>
      <c r="L88" s="380"/>
      <c r="M88" s="382"/>
      <c r="N88" s="377"/>
      <c r="O88" s="377"/>
      <c r="P88" s="377"/>
      <c r="Q88" s="377"/>
      <c r="R88" s="377"/>
      <c r="S88" s="377"/>
      <c r="T88" s="377"/>
      <c r="U88" s="377"/>
      <c r="V88" s="377"/>
      <c r="W88" s="377"/>
      <c r="X88" s="332"/>
      <c r="Y88" s="332"/>
      <c r="Z88" s="332"/>
      <c r="AA88" s="332"/>
      <c r="AB88" s="415"/>
      <c r="AC88" s="415"/>
      <c r="AD88" s="425"/>
      <c r="AE88" s="417"/>
      <c r="AF88" s="418"/>
      <c r="AG88" s="418"/>
      <c r="AK88" s="420"/>
      <c r="AR88" s="435"/>
    </row>
    <row r="89" spans="2:48" s="98" customFormat="1" ht="62.25" customHeight="1" thickBot="1" x14ac:dyDescent="0.95">
      <c r="B89" s="94"/>
      <c r="C89" s="94"/>
      <c r="D89" s="92"/>
      <c r="E89" s="92"/>
      <c r="F89" s="92"/>
      <c r="G89" s="92"/>
      <c r="H89" s="92"/>
      <c r="I89" s="91"/>
      <c r="J89" s="93"/>
      <c r="K89" s="92"/>
      <c r="L89" s="384"/>
      <c r="M89" s="340"/>
      <c r="N89" s="340"/>
      <c r="O89" s="340"/>
      <c r="P89" s="340"/>
      <c r="Q89" s="340"/>
      <c r="R89" s="340"/>
      <c r="S89" s="340"/>
      <c r="T89" s="340"/>
      <c r="U89" s="340"/>
      <c r="V89" s="340"/>
      <c r="W89" s="340"/>
      <c r="X89" s="340"/>
      <c r="Y89" s="340"/>
      <c r="Z89" s="340"/>
      <c r="AA89" s="340"/>
      <c r="AB89" s="91"/>
      <c r="AC89" s="91"/>
      <c r="AD89" s="91"/>
      <c r="AE89" s="95"/>
      <c r="AF89" s="158"/>
      <c r="AG89" s="158"/>
      <c r="AK89" s="183"/>
      <c r="AR89" s="434"/>
    </row>
    <row r="90" spans="2:48" s="98" customFormat="1" ht="88.5" customHeight="1" thickTop="1" thickBot="1" x14ac:dyDescent="0.95">
      <c r="B90" s="94"/>
      <c r="C90" s="94"/>
      <c r="D90" s="92"/>
      <c r="E90" s="92"/>
      <c r="F90" s="92"/>
      <c r="G90" s="92"/>
      <c r="H90" s="92"/>
      <c r="I90" s="91"/>
      <c r="J90" s="93"/>
      <c r="K90" s="212" t="s">
        <v>18</v>
      </c>
      <c r="L90" s="385" t="s">
        <v>180</v>
      </c>
      <c r="M90" s="379">
        <f t="shared" ref="M90:W90" si="52">+IF(M93=0,0,SUMIFS($J$6:$J$82,$L$6:$L$82,$K$90))</f>
        <v>14</v>
      </c>
      <c r="N90" s="379">
        <f t="shared" si="52"/>
        <v>14</v>
      </c>
      <c r="O90" s="379">
        <f t="shared" si="52"/>
        <v>14</v>
      </c>
      <c r="P90" s="379">
        <f t="shared" si="52"/>
        <v>0</v>
      </c>
      <c r="Q90" s="379">
        <f t="shared" si="52"/>
        <v>0</v>
      </c>
      <c r="R90" s="379">
        <f t="shared" si="52"/>
        <v>0</v>
      </c>
      <c r="S90" s="379">
        <f t="shared" si="52"/>
        <v>0</v>
      </c>
      <c r="T90" s="379">
        <f t="shared" si="52"/>
        <v>0</v>
      </c>
      <c r="U90" s="379">
        <f t="shared" si="52"/>
        <v>0</v>
      </c>
      <c r="V90" s="379">
        <f t="shared" si="52"/>
        <v>0</v>
      </c>
      <c r="W90" s="379">
        <f t="shared" si="52"/>
        <v>0</v>
      </c>
      <c r="X90" s="383"/>
      <c r="Y90" s="383"/>
      <c r="Z90" s="340"/>
      <c r="AA90" s="340"/>
      <c r="AB90" s="91"/>
      <c r="AC90" s="91"/>
      <c r="AD90" s="91"/>
      <c r="AE90" s="95"/>
      <c r="AF90" s="158"/>
      <c r="AG90" s="158"/>
      <c r="AK90" s="183"/>
      <c r="AR90" s="434"/>
    </row>
    <row r="91" spans="2:48" s="98" customFormat="1" ht="62.25" customHeight="1" thickTop="1" x14ac:dyDescent="0.9">
      <c r="B91" s="94"/>
      <c r="C91" s="94"/>
      <c r="D91" s="92"/>
      <c r="E91" s="92"/>
      <c r="F91" s="92"/>
      <c r="G91" s="92"/>
      <c r="H91" s="92"/>
      <c r="I91" s="92"/>
      <c r="J91" s="93"/>
      <c r="K91" s="212"/>
      <c r="L91" s="384"/>
      <c r="M91" s="386"/>
      <c r="N91" s="386"/>
      <c r="O91" s="386"/>
      <c r="P91" s="386"/>
      <c r="Q91" s="386"/>
      <c r="R91" s="386"/>
      <c r="S91" s="386"/>
      <c r="T91" s="386"/>
      <c r="U91" s="386"/>
      <c r="V91" s="386"/>
      <c r="W91" s="386"/>
      <c r="X91" s="340"/>
      <c r="Y91" s="340"/>
      <c r="Z91" s="340"/>
      <c r="AA91" s="340"/>
      <c r="AB91" s="91"/>
      <c r="AC91" s="91"/>
      <c r="AD91" s="91"/>
      <c r="AE91" s="95"/>
      <c r="AF91" s="158"/>
      <c r="AG91" s="158"/>
      <c r="AK91" s="183"/>
      <c r="AR91" s="434"/>
    </row>
    <row r="92" spans="2:48" s="98" customFormat="1" ht="62.25" customHeight="1" thickBot="1" x14ac:dyDescent="0.95">
      <c r="B92" s="94"/>
      <c r="C92" s="94"/>
      <c r="D92" s="92"/>
      <c r="E92" s="92"/>
      <c r="F92" s="92"/>
      <c r="G92" s="92"/>
      <c r="H92" s="92"/>
      <c r="I92" s="92"/>
      <c r="J92" s="93"/>
      <c r="K92" s="212"/>
      <c r="L92" s="384"/>
      <c r="M92" s="340"/>
      <c r="N92" s="340"/>
      <c r="O92" s="340"/>
      <c r="P92" s="340"/>
      <c r="Q92" s="387"/>
      <c r="R92" s="387"/>
      <c r="S92" s="387"/>
      <c r="T92" s="387"/>
      <c r="U92" s="387"/>
      <c r="V92" s="387"/>
      <c r="W92" s="387"/>
      <c r="X92" s="340"/>
      <c r="Y92" s="340"/>
      <c r="Z92" s="340"/>
      <c r="AA92" s="340"/>
      <c r="AB92" s="91"/>
      <c r="AC92" s="91"/>
      <c r="AD92" s="91"/>
      <c r="AE92" s="95"/>
      <c r="AF92" s="158"/>
      <c r="AG92" s="158"/>
      <c r="AK92" s="183"/>
      <c r="AR92" s="434"/>
    </row>
    <row r="93" spans="2:48" s="98" customFormat="1" ht="98.25" customHeight="1" thickTop="1" thickBot="1" x14ac:dyDescent="0.95">
      <c r="B93" s="94"/>
      <c r="C93" s="94"/>
      <c r="D93" s="92"/>
      <c r="E93" s="92"/>
      <c r="F93" s="92"/>
      <c r="G93" s="92"/>
      <c r="H93" s="92"/>
      <c r="I93" s="92"/>
      <c r="J93" s="93"/>
      <c r="K93" s="212"/>
      <c r="L93" s="385" t="s">
        <v>18</v>
      </c>
      <c r="M93" s="379">
        <f t="shared" ref="M93:W93" si="53">+SUMIF($L$6:$L$82,$L$93,M6:M82)</f>
        <v>545</v>
      </c>
      <c r="N93" s="379">
        <f t="shared" si="53"/>
        <v>545</v>
      </c>
      <c r="O93" s="379">
        <f t="shared" si="53"/>
        <v>545</v>
      </c>
      <c r="P93" s="379">
        <f t="shared" si="53"/>
        <v>0</v>
      </c>
      <c r="Q93" s="379">
        <f t="shared" si="53"/>
        <v>0</v>
      </c>
      <c r="R93" s="379">
        <f t="shared" si="53"/>
        <v>0</v>
      </c>
      <c r="S93" s="379">
        <f t="shared" si="53"/>
        <v>0</v>
      </c>
      <c r="T93" s="379">
        <f t="shared" si="53"/>
        <v>0</v>
      </c>
      <c r="U93" s="379">
        <f t="shared" si="53"/>
        <v>0</v>
      </c>
      <c r="V93" s="379">
        <f t="shared" si="53"/>
        <v>0</v>
      </c>
      <c r="W93" s="379">
        <f t="shared" si="53"/>
        <v>0</v>
      </c>
      <c r="X93" s="340"/>
      <c r="Y93" s="340"/>
      <c r="Z93" s="340"/>
      <c r="AA93" s="340"/>
      <c r="AB93" s="91"/>
      <c r="AC93" s="91"/>
      <c r="AD93" s="91"/>
      <c r="AE93" s="95"/>
      <c r="AF93" s="158"/>
      <c r="AG93" s="158"/>
      <c r="AK93" s="183"/>
      <c r="AR93" s="434"/>
    </row>
    <row r="94" spans="2:48" s="98" customFormat="1" ht="62.25" customHeight="1" thickTop="1" x14ac:dyDescent="0.9">
      <c r="B94" s="94"/>
      <c r="C94" s="94"/>
      <c r="D94" s="92"/>
      <c r="E94" s="92"/>
      <c r="F94" s="92"/>
      <c r="G94" s="92"/>
      <c r="H94" s="92"/>
      <c r="I94" s="92"/>
      <c r="J94" s="93"/>
      <c r="K94" s="212"/>
      <c r="L94" s="384"/>
      <c r="M94" s="388"/>
      <c r="N94" s="388"/>
      <c r="O94" s="388"/>
      <c r="P94" s="388"/>
      <c r="Q94" s="388"/>
      <c r="R94" s="388"/>
      <c r="S94" s="388"/>
      <c r="T94" s="388"/>
      <c r="U94" s="388"/>
      <c r="V94" s="388"/>
      <c r="W94" s="388"/>
      <c r="X94" s="340"/>
      <c r="Y94" s="340"/>
      <c r="Z94" s="340"/>
      <c r="AA94" s="340"/>
      <c r="AB94" s="91"/>
      <c r="AC94" s="91"/>
      <c r="AD94" s="91"/>
      <c r="AE94" s="95"/>
      <c r="AF94" s="158"/>
      <c r="AG94" s="158"/>
      <c r="AK94" s="183"/>
      <c r="AR94" s="434"/>
    </row>
    <row r="95" spans="2:48" s="98" customFormat="1" ht="62.25" customHeight="1" thickBot="1" x14ac:dyDescent="0.95">
      <c r="B95" s="94"/>
      <c r="C95" s="94"/>
      <c r="D95" s="92"/>
      <c r="E95" s="92"/>
      <c r="F95" s="92"/>
      <c r="G95" s="92"/>
      <c r="H95" s="92"/>
      <c r="I95" s="92"/>
      <c r="J95" s="93"/>
      <c r="K95" s="212"/>
      <c r="L95" s="384"/>
      <c r="M95" s="340"/>
      <c r="N95" s="340"/>
      <c r="O95" s="340"/>
      <c r="P95" s="340"/>
      <c r="Q95" s="387"/>
      <c r="R95" s="387"/>
      <c r="S95" s="387"/>
      <c r="T95" s="387"/>
      <c r="U95" s="387"/>
      <c r="V95" s="387"/>
      <c r="W95" s="387"/>
      <c r="X95" s="340"/>
      <c r="Y95" s="340"/>
      <c r="Z95" s="340"/>
      <c r="AA95" s="340"/>
      <c r="AB95" s="91"/>
      <c r="AC95" s="91"/>
      <c r="AD95" s="91"/>
      <c r="AE95" s="95"/>
      <c r="AF95" s="158"/>
      <c r="AG95" s="158"/>
      <c r="AK95" s="183"/>
      <c r="AR95" s="434"/>
    </row>
    <row r="96" spans="2:48" s="98" customFormat="1" ht="94.5" customHeight="1" thickTop="1" thickBot="1" x14ac:dyDescent="0.95">
      <c r="B96" s="94"/>
      <c r="C96" s="94"/>
      <c r="D96" s="92"/>
      <c r="E96" s="92"/>
      <c r="F96" s="92"/>
      <c r="G96" s="92"/>
      <c r="H96" s="92"/>
      <c r="I96" s="92"/>
      <c r="J96" s="93"/>
      <c r="K96" s="92"/>
      <c r="L96" s="385" t="s">
        <v>13</v>
      </c>
      <c r="M96" s="379">
        <f>+M93+M90+M87</f>
        <v>567</v>
      </c>
      <c r="N96" s="379">
        <f t="shared" ref="N96:W96" si="54">+N93+N90+N87</f>
        <v>567</v>
      </c>
      <c r="O96" s="379">
        <f t="shared" si="54"/>
        <v>567</v>
      </c>
      <c r="P96" s="379">
        <f t="shared" si="54"/>
        <v>0</v>
      </c>
      <c r="Q96" s="379">
        <f t="shared" si="54"/>
        <v>0</v>
      </c>
      <c r="R96" s="379">
        <f t="shared" si="54"/>
        <v>0</v>
      </c>
      <c r="S96" s="379">
        <f t="shared" si="54"/>
        <v>0</v>
      </c>
      <c r="T96" s="379">
        <f t="shared" si="54"/>
        <v>0</v>
      </c>
      <c r="U96" s="379">
        <f t="shared" si="54"/>
        <v>0</v>
      </c>
      <c r="V96" s="379">
        <f t="shared" si="54"/>
        <v>0</v>
      </c>
      <c r="W96" s="379">
        <f t="shared" si="54"/>
        <v>0</v>
      </c>
      <c r="X96" s="340"/>
      <c r="Y96" s="340"/>
      <c r="Z96" s="340"/>
      <c r="AA96" s="340"/>
      <c r="AB96" s="91"/>
      <c r="AC96" s="91"/>
      <c r="AD96" s="91"/>
      <c r="AE96" s="95"/>
      <c r="AF96" s="155"/>
      <c r="AG96" s="155"/>
      <c r="AK96" s="183"/>
      <c r="AR96" s="434"/>
    </row>
    <row r="97" spans="2:44" s="98" customFormat="1" ht="62.25" thickTop="1" x14ac:dyDescent="0.9">
      <c r="B97" s="94"/>
      <c r="C97" s="94"/>
      <c r="D97" s="92"/>
      <c r="E97" s="92"/>
      <c r="F97" s="92"/>
      <c r="G97" s="92"/>
      <c r="H97" s="92"/>
      <c r="I97" s="92"/>
      <c r="J97" s="93"/>
      <c r="K97" s="92"/>
      <c r="L97" s="389"/>
      <c r="M97" s="340"/>
      <c r="N97" s="340"/>
      <c r="O97" s="340"/>
      <c r="P97" s="340"/>
      <c r="Q97" s="340"/>
      <c r="R97" s="340"/>
      <c r="S97" s="340"/>
      <c r="T97" s="340"/>
      <c r="U97" s="340"/>
      <c r="V97" s="340"/>
      <c r="W97" s="340"/>
      <c r="X97" s="340"/>
      <c r="Y97" s="340"/>
      <c r="Z97" s="340"/>
      <c r="AA97" s="340"/>
      <c r="AB97" s="91"/>
      <c r="AC97" s="91"/>
      <c r="AD97" s="91"/>
      <c r="AE97" s="95"/>
      <c r="AF97" s="158"/>
      <c r="AG97" s="158"/>
      <c r="AK97" s="183"/>
      <c r="AR97" s="434"/>
    </row>
    <row r="98" spans="2:44" x14ac:dyDescent="0.9">
      <c r="J98" s="91"/>
      <c r="K98" s="91"/>
      <c r="T98" s="515"/>
      <c r="U98" s="515"/>
      <c r="V98" s="515"/>
      <c r="AF98" s="158"/>
      <c r="AG98" s="158"/>
    </row>
    <row r="99" spans="2:44" ht="105" customHeight="1" x14ac:dyDescent="0.9">
      <c r="B99" s="426"/>
      <c r="AF99" s="158"/>
      <c r="AG99" s="158"/>
    </row>
    <row r="100" spans="2:44" s="98" customFormat="1" x14ac:dyDescent="0.9">
      <c r="B100" s="94"/>
      <c r="C100" s="94"/>
      <c r="D100" s="92"/>
      <c r="E100" s="92"/>
      <c r="F100" s="92"/>
      <c r="G100" s="92"/>
      <c r="H100" s="92"/>
      <c r="I100" s="92"/>
      <c r="J100" s="93"/>
      <c r="K100" s="92"/>
      <c r="L100" s="99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5"/>
      <c r="AF100" s="158"/>
      <c r="AG100" s="158"/>
      <c r="AK100" s="183"/>
      <c r="AR100" s="434"/>
    </row>
    <row r="101" spans="2:44" s="98" customFormat="1" x14ac:dyDescent="0.9">
      <c r="B101" s="94"/>
      <c r="C101" s="94"/>
      <c r="D101" s="92"/>
      <c r="E101" s="92"/>
      <c r="F101" s="92"/>
      <c r="G101" s="92"/>
      <c r="H101" s="92"/>
      <c r="I101" s="91"/>
      <c r="J101" s="93"/>
      <c r="K101" s="92"/>
      <c r="L101" s="99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5"/>
      <c r="AF101" s="158"/>
      <c r="AG101" s="158"/>
      <c r="AK101" s="183"/>
      <c r="AR101" s="434"/>
    </row>
    <row r="102" spans="2:44" s="98" customFormat="1" x14ac:dyDescent="0.9">
      <c r="B102" s="94"/>
      <c r="C102" s="94"/>
      <c r="D102" s="92"/>
      <c r="E102" s="92"/>
      <c r="F102" s="92"/>
      <c r="G102" s="92"/>
      <c r="H102" s="92"/>
      <c r="I102" s="92"/>
      <c r="J102" s="93"/>
      <c r="K102" s="92"/>
      <c r="L102" s="99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5"/>
      <c r="AF102" s="158"/>
      <c r="AG102" s="158"/>
      <c r="AK102" s="183"/>
      <c r="AR102" s="434"/>
    </row>
    <row r="103" spans="2:44" s="98" customFormat="1" ht="66" customHeight="1" x14ac:dyDescent="0.9">
      <c r="B103" s="94"/>
      <c r="C103" s="94"/>
      <c r="D103" s="92"/>
      <c r="E103" s="92"/>
      <c r="F103" s="92"/>
      <c r="G103" s="92"/>
      <c r="H103" s="92"/>
      <c r="I103" s="92"/>
      <c r="J103" s="93"/>
      <c r="K103" s="92"/>
      <c r="L103" s="99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5"/>
      <c r="AF103" s="158"/>
      <c r="AG103" s="158"/>
      <c r="AK103" s="183"/>
      <c r="AR103" s="434"/>
    </row>
    <row r="105" spans="2:44" s="92" customFormat="1" x14ac:dyDescent="0.7">
      <c r="B105" s="94"/>
      <c r="C105" s="94"/>
      <c r="D105" s="92">
        <v>2</v>
      </c>
      <c r="J105" s="93"/>
      <c r="L105" s="99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5"/>
      <c r="AF105" s="155"/>
      <c r="AG105" s="155"/>
      <c r="AH105" s="98"/>
      <c r="AI105" s="98"/>
      <c r="AJ105" s="98"/>
      <c r="AK105" s="183"/>
      <c r="AL105" s="91"/>
      <c r="AM105" s="91"/>
      <c r="AR105" s="243"/>
    </row>
    <row r="106" spans="2:44" s="92" customFormat="1" x14ac:dyDescent="0.7">
      <c r="B106" s="94"/>
      <c r="C106" s="94"/>
      <c r="H106" s="92">
        <v>1</v>
      </c>
      <c r="J106" s="93"/>
      <c r="L106" s="99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5"/>
      <c r="AF106" s="155"/>
      <c r="AG106" s="155"/>
      <c r="AH106" s="98"/>
      <c r="AI106" s="98"/>
      <c r="AJ106" s="98"/>
      <c r="AK106" s="183"/>
      <c r="AL106" s="91"/>
      <c r="AM106" s="91"/>
      <c r="AR106" s="243"/>
    </row>
    <row r="107" spans="2:44" s="92" customFormat="1" x14ac:dyDescent="0.7">
      <c r="B107" s="94"/>
      <c r="C107" s="94"/>
      <c r="H107" s="92">
        <v>2</v>
      </c>
      <c r="J107" s="93"/>
      <c r="L107" s="99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5"/>
      <c r="AF107" s="155"/>
      <c r="AG107" s="155"/>
      <c r="AH107" s="98"/>
      <c r="AI107" s="98"/>
      <c r="AJ107" s="98"/>
      <c r="AK107" s="183"/>
      <c r="AL107" s="91"/>
      <c r="AM107" s="91"/>
      <c r="AR107" s="243"/>
    </row>
    <row r="108" spans="2:44" s="92" customFormat="1" x14ac:dyDescent="0.7">
      <c r="B108" s="94"/>
      <c r="C108" s="94"/>
      <c r="H108" s="92">
        <v>3</v>
      </c>
      <c r="J108" s="93"/>
      <c r="L108" s="99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5"/>
      <c r="AF108" s="155"/>
      <c r="AG108" s="155"/>
      <c r="AH108" s="98"/>
      <c r="AI108" s="98"/>
      <c r="AJ108" s="98"/>
      <c r="AK108" s="183"/>
      <c r="AL108" s="91"/>
      <c r="AM108" s="91"/>
      <c r="AR108" s="243"/>
    </row>
    <row r="109" spans="2:44" s="92" customFormat="1" x14ac:dyDescent="0.7">
      <c r="B109" s="94"/>
      <c r="C109" s="94"/>
      <c r="H109" s="92">
        <v>4</v>
      </c>
      <c r="J109" s="93"/>
      <c r="L109" s="99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5"/>
      <c r="AF109" s="155"/>
      <c r="AG109" s="155"/>
      <c r="AH109" s="98"/>
      <c r="AI109" s="98"/>
      <c r="AJ109" s="98"/>
      <c r="AK109" s="183"/>
      <c r="AL109" s="91"/>
      <c r="AM109" s="91"/>
      <c r="AR109" s="243"/>
    </row>
    <row r="110" spans="2:44" s="92" customFormat="1" x14ac:dyDescent="0.7">
      <c r="B110" s="94"/>
      <c r="C110" s="94"/>
      <c r="H110" s="92">
        <v>5</v>
      </c>
      <c r="J110" s="93"/>
      <c r="L110" s="99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5"/>
      <c r="AF110" s="155"/>
      <c r="AG110" s="155"/>
      <c r="AH110" s="98"/>
      <c r="AI110" s="98"/>
      <c r="AJ110" s="98"/>
      <c r="AK110" s="183"/>
      <c r="AL110" s="91"/>
      <c r="AM110" s="91"/>
      <c r="AR110" s="243"/>
    </row>
    <row r="111" spans="2:44" s="92" customFormat="1" x14ac:dyDescent="0.7">
      <c r="B111" s="94"/>
      <c r="C111" s="94"/>
      <c r="H111" s="92">
        <v>6</v>
      </c>
      <c r="J111" s="93"/>
      <c r="L111" s="99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  <c r="AC111" s="91"/>
      <c r="AD111" s="91"/>
      <c r="AE111" s="95"/>
      <c r="AF111" s="155"/>
      <c r="AG111" s="155"/>
      <c r="AH111" s="98"/>
      <c r="AI111" s="98"/>
      <c r="AJ111" s="98"/>
      <c r="AK111" s="183"/>
      <c r="AL111" s="91"/>
      <c r="AM111" s="91"/>
      <c r="AR111" s="243"/>
    </row>
    <row r="112" spans="2:44" s="92" customFormat="1" x14ac:dyDescent="0.7">
      <c r="B112" s="94"/>
      <c r="C112" s="94"/>
      <c r="H112" s="92">
        <v>7</v>
      </c>
      <c r="J112" s="93"/>
      <c r="L112" s="99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  <c r="AC112" s="91"/>
      <c r="AD112" s="91"/>
      <c r="AE112" s="95"/>
      <c r="AF112" s="155"/>
      <c r="AG112" s="155"/>
      <c r="AH112" s="98"/>
      <c r="AI112" s="98"/>
      <c r="AJ112" s="98"/>
      <c r="AK112" s="183"/>
      <c r="AL112" s="91"/>
      <c r="AM112" s="91"/>
      <c r="AR112" s="243"/>
    </row>
    <row r="113" spans="2:44" s="92" customFormat="1" x14ac:dyDescent="0.7">
      <c r="B113" s="94"/>
      <c r="C113" s="94"/>
      <c r="H113" s="92">
        <v>8</v>
      </c>
      <c r="J113" s="93"/>
      <c r="L113" s="99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  <c r="AC113" s="91"/>
      <c r="AD113" s="91"/>
      <c r="AE113" s="95"/>
      <c r="AF113" s="155"/>
      <c r="AG113" s="155"/>
      <c r="AH113" s="98"/>
      <c r="AI113" s="98"/>
      <c r="AJ113" s="98"/>
      <c r="AK113" s="183"/>
      <c r="AL113" s="91"/>
      <c r="AM113" s="91"/>
      <c r="AR113" s="243"/>
    </row>
    <row r="114" spans="2:44" s="92" customFormat="1" x14ac:dyDescent="0.7">
      <c r="B114" s="94"/>
      <c r="C114" s="94"/>
      <c r="H114" s="92">
        <v>11</v>
      </c>
      <c r="J114" s="93"/>
      <c r="L114" s="99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  <c r="AC114" s="91"/>
      <c r="AD114" s="91"/>
      <c r="AE114" s="95"/>
      <c r="AF114" s="155"/>
      <c r="AG114" s="155"/>
      <c r="AH114" s="98"/>
      <c r="AI114" s="98"/>
      <c r="AJ114" s="98"/>
      <c r="AK114" s="183"/>
      <c r="AL114" s="91"/>
      <c r="AM114" s="91"/>
      <c r="AR114" s="243"/>
    </row>
    <row r="115" spans="2:44" s="92" customFormat="1" x14ac:dyDescent="0.7">
      <c r="B115" s="94"/>
      <c r="C115" s="94"/>
      <c r="H115" s="92">
        <v>12</v>
      </c>
      <c r="J115" s="93"/>
      <c r="L115" s="99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  <c r="AC115" s="91"/>
      <c r="AD115" s="91"/>
      <c r="AE115" s="95"/>
      <c r="AF115" s="155"/>
      <c r="AG115" s="155"/>
      <c r="AH115" s="98"/>
      <c r="AI115" s="98"/>
      <c r="AJ115" s="98"/>
      <c r="AK115" s="183"/>
      <c r="AL115" s="91"/>
      <c r="AM115" s="91"/>
      <c r="AR115" s="243"/>
    </row>
    <row r="116" spans="2:44" s="92" customFormat="1" x14ac:dyDescent="0.7">
      <c r="B116" s="94"/>
      <c r="C116" s="94"/>
      <c r="H116" s="92">
        <v>13</v>
      </c>
      <c r="J116" s="93"/>
      <c r="L116" s="99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  <c r="AC116" s="91"/>
      <c r="AD116" s="91"/>
      <c r="AE116" s="95"/>
      <c r="AF116" s="155"/>
      <c r="AG116" s="155"/>
      <c r="AH116" s="98"/>
      <c r="AI116" s="98"/>
      <c r="AJ116" s="98"/>
      <c r="AK116" s="183"/>
      <c r="AL116" s="91"/>
      <c r="AM116" s="91"/>
      <c r="AR116" s="243"/>
    </row>
    <row r="117" spans="2:44" s="92" customFormat="1" x14ac:dyDescent="0.7">
      <c r="B117" s="94"/>
      <c r="C117" s="94"/>
      <c r="H117" s="92">
        <v>14</v>
      </c>
      <c r="J117" s="93"/>
      <c r="L117" s="99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  <c r="AC117" s="91"/>
      <c r="AD117" s="91"/>
      <c r="AE117" s="95"/>
      <c r="AF117" s="155"/>
      <c r="AG117" s="155"/>
      <c r="AH117" s="98"/>
      <c r="AI117" s="98"/>
      <c r="AJ117" s="98"/>
      <c r="AK117" s="183"/>
      <c r="AL117" s="91"/>
      <c r="AM117" s="91"/>
      <c r="AR117" s="243"/>
    </row>
    <row r="118" spans="2:44" s="92" customFormat="1" x14ac:dyDescent="0.7">
      <c r="B118" s="94"/>
      <c r="C118" s="94"/>
      <c r="H118" s="92">
        <v>15</v>
      </c>
      <c r="J118" s="93"/>
      <c r="L118" s="99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  <c r="AC118" s="91"/>
      <c r="AD118" s="91"/>
      <c r="AE118" s="95"/>
      <c r="AF118" s="155"/>
      <c r="AG118" s="155"/>
      <c r="AH118" s="98"/>
      <c r="AI118" s="98"/>
      <c r="AJ118" s="98"/>
      <c r="AK118" s="183"/>
      <c r="AL118" s="91"/>
      <c r="AM118" s="91"/>
      <c r="AR118" s="243"/>
    </row>
    <row r="119" spans="2:44" s="92" customFormat="1" x14ac:dyDescent="0.7">
      <c r="B119" s="94"/>
      <c r="C119" s="94"/>
      <c r="H119" s="92">
        <v>17</v>
      </c>
      <c r="J119" s="93"/>
      <c r="L119" s="99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  <c r="AC119" s="91"/>
      <c r="AD119" s="91"/>
      <c r="AE119" s="95"/>
      <c r="AF119" s="155"/>
      <c r="AG119" s="155"/>
      <c r="AH119" s="98"/>
      <c r="AI119" s="98"/>
      <c r="AJ119" s="98"/>
      <c r="AK119" s="183"/>
      <c r="AL119" s="91"/>
      <c r="AM119" s="91"/>
      <c r="AR119" s="243"/>
    </row>
    <row r="120" spans="2:44" s="92" customFormat="1" x14ac:dyDescent="0.7">
      <c r="B120" s="94"/>
      <c r="C120" s="94"/>
      <c r="H120" s="92">
        <v>18</v>
      </c>
      <c r="J120" s="93"/>
      <c r="L120" s="99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  <c r="AC120" s="91"/>
      <c r="AD120" s="91"/>
      <c r="AE120" s="95"/>
      <c r="AF120" s="155"/>
      <c r="AG120" s="155"/>
      <c r="AH120" s="98"/>
      <c r="AI120" s="98"/>
      <c r="AJ120" s="98"/>
      <c r="AK120" s="183"/>
      <c r="AL120" s="91"/>
      <c r="AM120" s="91"/>
      <c r="AR120" s="243"/>
    </row>
    <row r="121" spans="2:44" s="92" customFormat="1" x14ac:dyDescent="0.7">
      <c r="B121" s="94"/>
      <c r="C121" s="94"/>
      <c r="H121" s="92">
        <v>19</v>
      </c>
      <c r="J121" s="93"/>
      <c r="L121" s="99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  <c r="AC121" s="91"/>
      <c r="AD121" s="91"/>
      <c r="AE121" s="95"/>
      <c r="AF121" s="155"/>
      <c r="AG121" s="155"/>
      <c r="AH121" s="98"/>
      <c r="AI121" s="98"/>
      <c r="AJ121" s="98"/>
      <c r="AK121" s="183"/>
      <c r="AL121" s="91"/>
      <c r="AM121" s="91"/>
      <c r="AR121" s="243"/>
    </row>
    <row r="177" spans="2:44" s="92" customFormat="1" x14ac:dyDescent="0.7">
      <c r="B177" s="94"/>
      <c r="C177" s="94"/>
      <c r="G177" s="92">
        <v>1</v>
      </c>
      <c r="J177" s="93"/>
      <c r="L177" s="99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  <c r="AC177" s="91"/>
      <c r="AD177" s="91"/>
      <c r="AE177" s="95"/>
      <c r="AF177" s="155"/>
      <c r="AG177" s="155"/>
      <c r="AH177" s="98"/>
      <c r="AI177" s="98"/>
      <c r="AJ177" s="98"/>
      <c r="AK177" s="183"/>
      <c r="AL177" s="91"/>
      <c r="AM177" s="91"/>
      <c r="AR177" s="243"/>
    </row>
  </sheetData>
  <sheetProtection algorithmName="SHA-512" hashValue="VN2pzPb1oozrwimCr8O3/qTHxpJ2Ku3g5QMzMBhU1km9LeNR7r228R/hY/Au6tRHj2g4Qbx+c8PUjUcB/CoJXA==" saltValue="Yo1gz5kyxBkm9EqUEJEjfg==" spinCount="100000" sheet="1" autoFilter="0"/>
  <autoFilter ref="A5:CR81">
    <filterColumn colId="9" showButton="0"/>
  </autoFilter>
  <mergeCells count="57">
    <mergeCell ref="Z83:AA83"/>
    <mergeCell ref="Z85:AA85"/>
    <mergeCell ref="T98:V98"/>
    <mergeCell ref="G70:G73"/>
    <mergeCell ref="Z70:Z72"/>
    <mergeCell ref="G74:G77"/>
    <mergeCell ref="Z74:Z76"/>
    <mergeCell ref="G78:G81"/>
    <mergeCell ref="Z78:Z80"/>
    <mergeCell ref="G38:G41"/>
    <mergeCell ref="Z38:Z40"/>
    <mergeCell ref="AW43:BF43"/>
    <mergeCell ref="AW59:BF59"/>
    <mergeCell ref="G46:G49"/>
    <mergeCell ref="Z46:Z48"/>
    <mergeCell ref="G42:G45"/>
    <mergeCell ref="Z42:Z44"/>
    <mergeCell ref="G66:G69"/>
    <mergeCell ref="Z66:Z68"/>
    <mergeCell ref="AW67:BG67"/>
    <mergeCell ref="G50:G53"/>
    <mergeCell ref="Z50:Z52"/>
    <mergeCell ref="G54:G57"/>
    <mergeCell ref="Z54:Z56"/>
    <mergeCell ref="G58:G61"/>
    <mergeCell ref="Z58:Z60"/>
    <mergeCell ref="G62:G65"/>
    <mergeCell ref="Z62:Z64"/>
    <mergeCell ref="AW63:BF63"/>
    <mergeCell ref="AW31:BF31"/>
    <mergeCell ref="G34:G37"/>
    <mergeCell ref="Z34:Z36"/>
    <mergeCell ref="G14:G17"/>
    <mergeCell ref="Z14:Z16"/>
    <mergeCell ref="AW15:BF15"/>
    <mergeCell ref="G18:G21"/>
    <mergeCell ref="Z18:Z20"/>
    <mergeCell ref="G22:G25"/>
    <mergeCell ref="Z22:Z24"/>
    <mergeCell ref="G26:G29"/>
    <mergeCell ref="Z26:Z28"/>
    <mergeCell ref="G30:G33"/>
    <mergeCell ref="Z30:Z32"/>
    <mergeCell ref="J5:K5"/>
    <mergeCell ref="G6:G9"/>
    <mergeCell ref="Z6:Z8"/>
    <mergeCell ref="AW7:BF7"/>
    <mergeCell ref="G10:G13"/>
    <mergeCell ref="Z10:Z12"/>
    <mergeCell ref="AW11:BF11"/>
    <mergeCell ref="AD1:AE1"/>
    <mergeCell ref="AD2:AE3"/>
    <mergeCell ref="H3:I3"/>
    <mergeCell ref="K3:L3"/>
    <mergeCell ref="B4:G4"/>
    <mergeCell ref="K4:L4"/>
    <mergeCell ref="AD4:AE4"/>
  </mergeCells>
  <conditionalFormatting sqref="AD2:AE3">
    <cfRule type="cellIs" dxfId="2691" priority="2564" operator="lessThan">
      <formula>0.85</formula>
    </cfRule>
  </conditionalFormatting>
  <conditionalFormatting sqref="AM1:AM5 AM82:AM1048576">
    <cfRule type="cellIs" dxfId="2690" priority="2563" operator="notEqual">
      <formula>0</formula>
    </cfRule>
  </conditionalFormatting>
  <conditionalFormatting sqref="AQ82:AQ84 AQ6 AQ10 AQ14 AQ18 AQ26 AQ30 AQ34 AQ42 AQ46 AQ54 AQ58 AQ70 AQ78 AQ22">
    <cfRule type="cellIs" dxfId="2689" priority="2562" operator="lessThan">
      <formula>0</formula>
    </cfRule>
  </conditionalFormatting>
  <conditionalFormatting sqref="X82:Y82 X10:X61 X66:X81">
    <cfRule type="cellIs" dxfId="2688" priority="2561" operator="lessThan">
      <formula>0</formula>
    </cfRule>
  </conditionalFormatting>
  <conditionalFormatting sqref="AM14:AM17">
    <cfRule type="cellIs" dxfId="2687" priority="2559" operator="notEqual">
      <formula>0</formula>
    </cfRule>
  </conditionalFormatting>
  <conditionalFormatting sqref="I16">
    <cfRule type="cellIs" dxfId="2686" priority="2558" operator="greaterThan">
      <formula>0</formula>
    </cfRule>
  </conditionalFormatting>
  <conditionalFormatting sqref="J16">
    <cfRule type="cellIs" dxfId="2685" priority="2557" operator="greaterThan">
      <formula>0</formula>
    </cfRule>
  </conditionalFormatting>
  <conditionalFormatting sqref="I48">
    <cfRule type="cellIs" dxfId="2684" priority="2555" operator="greaterThan">
      <formula>0</formula>
    </cfRule>
  </conditionalFormatting>
  <conditionalFormatting sqref="AM34:AM37">
    <cfRule type="cellIs" dxfId="2683" priority="2552" operator="notEqual">
      <formula>0</formula>
    </cfRule>
  </conditionalFormatting>
  <conditionalFormatting sqref="I36">
    <cfRule type="cellIs" dxfId="2682" priority="2551" operator="greaterThan">
      <formula>0</formula>
    </cfRule>
  </conditionalFormatting>
  <conditionalFormatting sqref="J36">
    <cfRule type="cellIs" dxfId="2681" priority="2550" operator="greaterThan">
      <formula>0</formula>
    </cfRule>
  </conditionalFormatting>
  <conditionalFormatting sqref="AM70:AM73">
    <cfRule type="cellIs" dxfId="2680" priority="2548" operator="notEqual">
      <formula>0</formula>
    </cfRule>
  </conditionalFormatting>
  <conditionalFormatting sqref="I72">
    <cfRule type="cellIs" dxfId="2679" priority="2547" operator="greaterThan">
      <formula>0</formula>
    </cfRule>
  </conditionalFormatting>
  <conditionalFormatting sqref="Y16 Y36 Y48 Y72">
    <cfRule type="cellIs" dxfId="2678" priority="2542" operator="lessThan">
      <formula>0</formula>
    </cfRule>
  </conditionalFormatting>
  <conditionalFormatting sqref="Y14:Y16 Y34:Y36 Y46:Y48 Y70:Y72">
    <cfRule type="cellIs" dxfId="2677" priority="2541" operator="lessThan">
      <formula>0</formula>
    </cfRule>
  </conditionalFormatting>
  <conditionalFormatting sqref="Y17 Y37 Y49 Y73">
    <cfRule type="cellIs" dxfId="2676" priority="2540" operator="lessThan">
      <formula>0</formula>
    </cfRule>
  </conditionalFormatting>
  <conditionalFormatting sqref="AM26:AM29">
    <cfRule type="cellIs" dxfId="2675" priority="2538" operator="notEqual">
      <formula>0</formula>
    </cfRule>
  </conditionalFormatting>
  <conditionalFormatting sqref="I28">
    <cfRule type="cellIs" dxfId="2674" priority="2537" operator="greaterThan">
      <formula>0</formula>
    </cfRule>
  </conditionalFormatting>
  <conditionalFormatting sqref="Y27">
    <cfRule type="iconSet" priority="2536">
      <iconSet>
        <cfvo type="percent" val="0"/>
        <cfvo type="percent" val="&quot;$I$6&quot;"/>
        <cfvo type="percent" val="#REF!"/>
      </iconSet>
    </cfRule>
  </conditionalFormatting>
  <conditionalFormatting sqref="Y28">
    <cfRule type="cellIs" dxfId="2673" priority="2535" operator="lessThan">
      <formula>0</formula>
    </cfRule>
  </conditionalFormatting>
  <conditionalFormatting sqref="Y26:Y28">
    <cfRule type="cellIs" dxfId="2672" priority="2534" operator="lessThan">
      <formula>0</formula>
    </cfRule>
  </conditionalFormatting>
  <conditionalFormatting sqref="Y29">
    <cfRule type="cellIs" dxfId="2671" priority="2533" operator="lessThan">
      <formula>0</formula>
    </cfRule>
  </conditionalFormatting>
  <conditionalFormatting sqref="AM30:AM33">
    <cfRule type="cellIs" dxfId="2670" priority="2531" operator="notEqual">
      <formula>0</formula>
    </cfRule>
  </conditionalFormatting>
  <conditionalFormatting sqref="I32">
    <cfRule type="cellIs" dxfId="2669" priority="2530" operator="greaterThan">
      <formula>0</formula>
    </cfRule>
  </conditionalFormatting>
  <conditionalFormatting sqref="Y31">
    <cfRule type="iconSet" priority="2529">
      <iconSet>
        <cfvo type="percent" val="0"/>
        <cfvo type="percent" val="&quot;$I$6&quot;"/>
        <cfvo type="percent" val="#REF!"/>
      </iconSet>
    </cfRule>
  </conditionalFormatting>
  <conditionalFormatting sqref="Y32">
    <cfRule type="cellIs" dxfId="2668" priority="2528" operator="lessThan">
      <formula>0</formula>
    </cfRule>
  </conditionalFormatting>
  <conditionalFormatting sqref="Y30:Y32">
    <cfRule type="cellIs" dxfId="2667" priority="2527" operator="lessThan">
      <formula>0</formula>
    </cfRule>
  </conditionalFormatting>
  <conditionalFormatting sqref="Y33">
    <cfRule type="cellIs" dxfId="2666" priority="2526" operator="lessThan">
      <formula>0</formula>
    </cfRule>
  </conditionalFormatting>
  <conditionalFormatting sqref="AM54:AM57">
    <cfRule type="cellIs" dxfId="2665" priority="2524" operator="notEqual">
      <formula>0</formula>
    </cfRule>
  </conditionalFormatting>
  <conditionalFormatting sqref="I56">
    <cfRule type="cellIs" dxfId="2664" priority="2523" operator="greaterThan">
      <formula>0</formula>
    </cfRule>
  </conditionalFormatting>
  <conditionalFormatting sqref="Y55">
    <cfRule type="iconSet" priority="2522">
      <iconSet>
        <cfvo type="percent" val="0"/>
        <cfvo type="percent" val="&quot;$I$6&quot;"/>
        <cfvo type="percent" val="#REF!"/>
      </iconSet>
    </cfRule>
  </conditionalFormatting>
  <conditionalFormatting sqref="Y56">
    <cfRule type="cellIs" dxfId="2663" priority="2521" operator="lessThan">
      <formula>0</formula>
    </cfRule>
  </conditionalFormatting>
  <conditionalFormatting sqref="Y54:Y56">
    <cfRule type="cellIs" dxfId="2662" priority="2520" operator="lessThan">
      <formula>0</formula>
    </cfRule>
  </conditionalFormatting>
  <conditionalFormatting sqref="Y57">
    <cfRule type="cellIs" dxfId="2661" priority="2519" operator="lessThan">
      <formula>0</formula>
    </cfRule>
  </conditionalFormatting>
  <conditionalFormatting sqref="AM10:AM13">
    <cfRule type="cellIs" dxfId="2660" priority="2517" operator="notEqual">
      <formula>0</formula>
    </cfRule>
  </conditionalFormatting>
  <conditionalFormatting sqref="Y11">
    <cfRule type="iconSet" priority="2516">
      <iconSet>
        <cfvo type="percent" val="0"/>
        <cfvo type="percent" val="&quot;$I$6&quot;"/>
        <cfvo type="percent" val="#REF!"/>
      </iconSet>
    </cfRule>
  </conditionalFormatting>
  <conditionalFormatting sqref="Y12">
    <cfRule type="cellIs" dxfId="2659" priority="2515" operator="lessThan">
      <formula>0</formula>
    </cfRule>
  </conditionalFormatting>
  <conditionalFormatting sqref="Y10:Y12">
    <cfRule type="cellIs" dxfId="2658" priority="2514" operator="lessThan">
      <formula>0</formula>
    </cfRule>
  </conditionalFormatting>
  <conditionalFormatting sqref="Y13">
    <cfRule type="cellIs" dxfId="2657" priority="2513" operator="lessThan">
      <formula>0</formula>
    </cfRule>
  </conditionalFormatting>
  <conditionalFormatting sqref="AM78:AM79">
    <cfRule type="cellIs" dxfId="2656" priority="2511" operator="notEqual">
      <formula>0</formula>
    </cfRule>
  </conditionalFormatting>
  <conditionalFormatting sqref="I80">
    <cfRule type="cellIs" dxfId="2655" priority="2510" operator="greaterThan">
      <formula>0</formula>
    </cfRule>
  </conditionalFormatting>
  <conditionalFormatting sqref="Y79">
    <cfRule type="iconSet" priority="2509">
      <iconSet>
        <cfvo type="percent" val="0"/>
        <cfvo type="percent" val="&quot;$I$6&quot;"/>
        <cfvo type="percent" val="#REF!"/>
      </iconSet>
    </cfRule>
  </conditionalFormatting>
  <conditionalFormatting sqref="Y80">
    <cfRule type="cellIs" dxfId="2654" priority="2508" operator="lessThan">
      <formula>0</formula>
    </cfRule>
  </conditionalFormatting>
  <conditionalFormatting sqref="Y78:Y80">
    <cfRule type="cellIs" dxfId="2653" priority="2507" operator="lessThan">
      <formula>0</formula>
    </cfRule>
  </conditionalFormatting>
  <conditionalFormatting sqref="Y81">
    <cfRule type="cellIs" dxfId="2652" priority="2506" operator="lessThan">
      <formula>0</formula>
    </cfRule>
  </conditionalFormatting>
  <conditionalFormatting sqref="AM42:AM45">
    <cfRule type="cellIs" dxfId="2651" priority="2504" operator="notEqual">
      <formula>0</formula>
    </cfRule>
  </conditionalFormatting>
  <conditionalFormatting sqref="I44">
    <cfRule type="cellIs" dxfId="2650" priority="2503" operator="greaterThan">
      <formula>0</formula>
    </cfRule>
  </conditionalFormatting>
  <conditionalFormatting sqref="Y43">
    <cfRule type="iconSet" priority="2502">
      <iconSet>
        <cfvo type="percent" val="0"/>
        <cfvo type="percent" val="&quot;$I$6&quot;"/>
        <cfvo type="percent" val="#REF!"/>
      </iconSet>
    </cfRule>
  </conditionalFormatting>
  <conditionalFormatting sqref="Y44">
    <cfRule type="cellIs" dxfId="2649" priority="2501" operator="lessThan">
      <formula>0</formula>
    </cfRule>
  </conditionalFormatting>
  <conditionalFormatting sqref="Y42:Y44">
    <cfRule type="cellIs" dxfId="2648" priority="2500" operator="lessThan">
      <formula>0</formula>
    </cfRule>
  </conditionalFormatting>
  <conditionalFormatting sqref="Y45">
    <cfRule type="cellIs" dxfId="2647" priority="2499" operator="lessThan">
      <formula>0</formula>
    </cfRule>
  </conditionalFormatting>
  <conditionalFormatting sqref="J28">
    <cfRule type="cellIs" dxfId="2646" priority="2498" operator="greaterThan">
      <formula>0</formula>
    </cfRule>
  </conditionalFormatting>
  <conditionalFormatting sqref="J32">
    <cfRule type="cellIs" dxfId="2645" priority="2497" operator="greaterThan">
      <formula>0</formula>
    </cfRule>
  </conditionalFormatting>
  <conditionalFormatting sqref="J72">
    <cfRule type="cellIs" dxfId="2644" priority="2496" operator="greaterThan">
      <formula>0</formula>
    </cfRule>
  </conditionalFormatting>
  <conditionalFormatting sqref="AM22:AM25">
    <cfRule type="cellIs" dxfId="2643" priority="2494" operator="notEqual">
      <formula>0</formula>
    </cfRule>
  </conditionalFormatting>
  <conditionalFormatting sqref="I24">
    <cfRule type="cellIs" dxfId="2642" priority="2493" operator="greaterThan">
      <formula>0</formula>
    </cfRule>
  </conditionalFormatting>
  <conditionalFormatting sqref="Y23">
    <cfRule type="iconSet" priority="2492">
      <iconSet>
        <cfvo type="percent" val="0"/>
        <cfvo type="percent" val="&quot;$I$6&quot;"/>
        <cfvo type="percent" val="#REF!"/>
      </iconSet>
    </cfRule>
  </conditionalFormatting>
  <conditionalFormatting sqref="Y24">
    <cfRule type="cellIs" dxfId="2641" priority="2491" operator="lessThan">
      <formula>0</formula>
    </cfRule>
  </conditionalFormatting>
  <conditionalFormatting sqref="Y22:Y24">
    <cfRule type="cellIs" dxfId="2640" priority="2490" operator="lessThan">
      <formula>0</formula>
    </cfRule>
  </conditionalFormatting>
  <conditionalFormatting sqref="Y25">
    <cfRule type="cellIs" dxfId="2639" priority="2489" operator="lessThan">
      <formula>0</formula>
    </cfRule>
  </conditionalFormatting>
  <conditionalFormatting sqref="J44">
    <cfRule type="cellIs" dxfId="2638" priority="2488" operator="greaterThan">
      <formula>0</formula>
    </cfRule>
  </conditionalFormatting>
  <conditionalFormatting sqref="Y71 Y15 Y35 Y47">
    <cfRule type="iconSet" priority="2565">
      <iconSet>
        <cfvo type="percent" val="0"/>
        <cfvo type="percent" val="&quot;$I$6&quot;"/>
        <cfvo type="percent" val="#REF!"/>
      </iconSet>
    </cfRule>
  </conditionalFormatting>
  <conditionalFormatting sqref="AM58:AM61">
    <cfRule type="cellIs" dxfId="2637" priority="2485" operator="notEqual">
      <formula>0</formula>
    </cfRule>
  </conditionalFormatting>
  <conditionalFormatting sqref="I60">
    <cfRule type="cellIs" dxfId="2636" priority="2484" operator="greaterThan">
      <formula>0</formula>
    </cfRule>
  </conditionalFormatting>
  <conditionalFormatting sqref="J60">
    <cfRule type="cellIs" dxfId="2635" priority="2483" operator="greaterThan">
      <formula>0</formula>
    </cfRule>
  </conditionalFormatting>
  <conditionalFormatting sqref="Y60">
    <cfRule type="cellIs" dxfId="2634" priority="2482" operator="lessThan">
      <formula>0</formula>
    </cfRule>
  </conditionalFormatting>
  <conditionalFormatting sqref="Y58:Y60">
    <cfRule type="cellIs" dxfId="2633" priority="2481" operator="lessThan">
      <formula>0</formula>
    </cfRule>
  </conditionalFormatting>
  <conditionalFormatting sqref="Y61">
    <cfRule type="cellIs" dxfId="2632" priority="2480" operator="lessThan">
      <formula>0</formula>
    </cfRule>
  </conditionalFormatting>
  <conditionalFormatting sqref="Y59">
    <cfRule type="iconSet" priority="2487">
      <iconSet>
        <cfvo type="percent" val="0"/>
        <cfvo type="percent" val="&quot;$I$6&quot;"/>
        <cfvo type="percent" val="#REF!"/>
      </iconSet>
    </cfRule>
  </conditionalFormatting>
  <conditionalFormatting sqref="AQ6 AQ10 AQ14 AQ18 AQ22 AQ26 AQ30 AQ34 AQ42 AQ46 AQ54 AQ58 AQ70 AQ78">
    <cfRule type="cellIs" dxfId="2631" priority="2479" operator="lessThan">
      <formula>0</formula>
    </cfRule>
  </conditionalFormatting>
  <conditionalFormatting sqref="AQ6 AQ10 AQ14 AQ18 AQ22 AQ26 AQ30 AQ34 AQ42 AQ46 AQ54 AQ58 AQ70 AQ78">
    <cfRule type="cellIs" dxfId="2630" priority="2478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9" priority="2477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8" priority="2476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7" priority="2475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6" priority="2474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5" priority="2473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4" priority="2472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3" priority="2471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2" priority="2470" operator="lessThan">
      <formula>0</formula>
    </cfRule>
  </conditionalFormatting>
  <conditionalFormatting sqref="AQ6 AQ10 AQ14 AQ18 AQ22 AQ26 AQ30 AQ34 AQ42 AQ46 AQ54 AQ58 AQ70 AQ78">
    <cfRule type="cellIs" dxfId="2621" priority="2469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20" priority="2468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19" priority="2467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18" priority="2466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17" priority="2465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16" priority="2464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15" priority="2463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14" priority="2462" operator="lessThan">
      <formula>0</formula>
    </cfRule>
  </conditionalFormatting>
  <conditionalFormatting sqref="AQ8:AQ9 AQ12:AQ13 AQ16:AQ17 AQ20:AQ21 AQ24:AQ25 AQ28:AQ29 AQ32:AQ33 AQ36:AQ37 AQ44:AQ45 AQ48:AQ49 AQ56:AQ57 AQ60:AQ61 AQ72:AQ73 AQ80:AQ81">
    <cfRule type="cellIs" dxfId="2613" priority="2461" operator="lessThan">
      <formula>0</formula>
    </cfRule>
  </conditionalFormatting>
  <conditionalFormatting sqref="AQ35 AQ43 AQ59 AQ71 AQ7 AQ15 AQ19 AQ11 AQ23 AQ27 AQ31 AQ55 AQ79 AQ47">
    <cfRule type="cellIs" dxfId="2612" priority="2460" operator="lessThan">
      <formula>0</formula>
    </cfRule>
  </conditionalFormatting>
  <conditionalFormatting sqref="AQ35 AQ43 AQ59 AQ71 AQ7 AQ15 AQ19 AQ11 AQ23 AQ27 AQ31 AQ55 AQ79 AQ47">
    <cfRule type="cellIs" dxfId="2611" priority="2459" operator="lessThan">
      <formula>0</formula>
    </cfRule>
  </conditionalFormatting>
  <conditionalFormatting sqref="AQ35 AQ43 AQ59 AQ71 AQ7 AQ15 AQ19 AQ11 AQ23 AQ27 AQ31 AQ55 AQ79 AQ47">
    <cfRule type="cellIs" dxfId="2610" priority="2458" operator="lessThan">
      <formula>0</formula>
    </cfRule>
  </conditionalFormatting>
  <conditionalFormatting sqref="AQ35 AQ43 AQ59 AQ71 AQ7 AQ15 AQ19 AQ11 AQ23 AQ27 AQ31 AQ55 AQ79 AQ47">
    <cfRule type="cellIs" dxfId="2609" priority="2457" operator="lessThan">
      <formula>0</formula>
    </cfRule>
  </conditionalFormatting>
  <conditionalFormatting sqref="AQ35 AQ43 AQ59 AQ71 AQ7 AQ15 AQ19 AQ11 AQ23 AQ27 AQ31 AQ55 AQ79 AQ47">
    <cfRule type="cellIs" dxfId="2608" priority="2456" operator="lessThan">
      <formula>0</formula>
    </cfRule>
  </conditionalFormatting>
  <conditionalFormatting sqref="AQ35 AQ43 AQ59 AQ71 AQ7 AQ15 AQ19 AQ11 AQ23 AQ27 AQ31 AQ55 AQ79 AQ47">
    <cfRule type="cellIs" dxfId="2607" priority="2455" operator="lessThan">
      <formula>0</formula>
    </cfRule>
  </conditionalFormatting>
  <conditionalFormatting sqref="AQ35 AQ43 AQ59 AQ71 AQ7 AQ15 AQ19 AQ11 AQ23 AQ27 AQ31 AQ55 AQ79 AQ47">
    <cfRule type="cellIs" dxfId="2606" priority="2454" operator="lessThan">
      <formula>0</formula>
    </cfRule>
  </conditionalFormatting>
  <conditionalFormatting sqref="AQ35 AQ43 AQ59 AQ71 AQ7 AQ15 AQ19 AQ11 AQ23 AQ27 AQ31 AQ55 AQ79 AQ47">
    <cfRule type="cellIs" dxfId="2605" priority="2453" operator="lessThan">
      <formula>0</formula>
    </cfRule>
  </conditionalFormatting>
  <conditionalFormatting sqref="AQ35 AQ43 AQ59 AQ71 AQ7 AQ15 AQ19 AQ11 AQ23 AQ27 AQ31 AQ55 AQ79 AQ47">
    <cfRule type="cellIs" dxfId="2604" priority="2452" operator="lessThan">
      <formula>0</formula>
    </cfRule>
  </conditionalFormatting>
  <conditionalFormatting sqref="AQ35 AQ43 AQ59 AQ71 AQ7 AQ15 AQ19 AQ11 AQ23 AQ27 AQ31 AQ55 AQ79 AQ47">
    <cfRule type="cellIs" dxfId="2603" priority="2451" operator="lessThan">
      <formula>0</formula>
    </cfRule>
  </conditionalFormatting>
  <conditionalFormatting sqref="AQ35 AQ43 AQ59 AQ71 AQ7 AQ15 AQ19 AQ11 AQ23 AQ27 AQ31 AQ55 AQ79 AQ47">
    <cfRule type="cellIs" dxfId="2602" priority="2450" operator="lessThan">
      <formula>0</formula>
    </cfRule>
  </conditionalFormatting>
  <conditionalFormatting sqref="AQ35 AQ43 AQ59 AQ71 AQ7 AQ15 AQ19 AQ11 AQ23 AQ27 AQ31 AQ55 AQ79 AQ47">
    <cfRule type="cellIs" dxfId="2601" priority="2449" operator="lessThan">
      <formula>0</formula>
    </cfRule>
  </conditionalFormatting>
  <conditionalFormatting sqref="AQ35 AQ43 AQ59 AQ71 AQ7 AQ15 AQ19 AQ11 AQ23 AQ27 AQ31 AQ55 AQ79 AQ47">
    <cfRule type="cellIs" dxfId="2600" priority="2448" operator="lessThan">
      <formula>0</formula>
    </cfRule>
  </conditionalFormatting>
  <conditionalFormatting sqref="AQ35 AQ43 AQ59 AQ71 AQ7 AQ15 AQ19 AQ11 AQ23 AQ27 AQ31 AQ55 AQ79 AQ47">
    <cfRule type="cellIs" dxfId="2599" priority="2447" operator="lessThan">
      <formula>0</formula>
    </cfRule>
  </conditionalFormatting>
  <conditionalFormatting sqref="AQ35 AQ43 AQ59 AQ71 AQ7 AQ15 AQ19 AQ11 AQ23 AQ27 AQ31 AQ55 AQ79 AQ47">
    <cfRule type="cellIs" dxfId="2598" priority="2446" operator="lessThan">
      <formula>0</formula>
    </cfRule>
  </conditionalFormatting>
  <conditionalFormatting sqref="AQ35 AQ43 AQ59 AQ71 AQ7 AQ15 AQ19 AQ11 AQ23 AQ27 AQ31 AQ55 AQ79 AQ47">
    <cfRule type="cellIs" dxfId="2597" priority="2445" operator="lessThan">
      <formula>0</formula>
    </cfRule>
  </conditionalFormatting>
  <conditionalFormatting sqref="AQ35 AQ43 AQ59 AQ71 AQ7 AQ15 AQ19 AQ11 AQ23 AQ27 AQ31 AQ55 AQ79 AQ47">
    <cfRule type="cellIs" dxfId="2596" priority="2444" operator="lessThan">
      <formula>0</formula>
    </cfRule>
  </conditionalFormatting>
  <conditionalFormatting sqref="AQ35 AQ43 AQ59 AQ71 AQ7 AQ15 AQ19 AQ11 AQ23 AQ27 AQ31 AQ55 AQ79 AQ47">
    <cfRule type="cellIs" dxfId="2595" priority="2443" operator="lessThan">
      <formula>0</formula>
    </cfRule>
  </conditionalFormatting>
  <conditionalFormatting sqref="AQ35 AQ43 AQ59 AQ71 AQ7 AQ15 AQ19 AQ11 AQ23 AQ27 AQ31 AQ55 AQ79 AQ47">
    <cfRule type="cellIs" dxfId="2594" priority="2442" operator="lessThan">
      <formula>0</formula>
    </cfRule>
  </conditionalFormatting>
  <conditionalFormatting sqref="AQ35 AQ43 AQ59 AQ71 AQ7 AQ15 AQ19 AQ11 AQ23 AQ27 AQ31 AQ55 AQ79 AQ47">
    <cfRule type="cellIs" dxfId="2593" priority="2441" operator="lessThan">
      <formula>0</formula>
    </cfRule>
  </conditionalFormatting>
  <conditionalFormatting sqref="AQ35 AQ43 AQ59 AQ71 AQ7 AQ15 AQ19 AQ11 AQ23 AQ27 AQ31 AQ55 AQ79 AQ47">
    <cfRule type="cellIs" dxfId="2592" priority="2440" operator="lessThan">
      <formula>0</formula>
    </cfRule>
  </conditionalFormatting>
  <conditionalFormatting sqref="AQ35 AQ43 AQ59 AQ71 AQ7 AQ15 AQ19 AQ11 AQ23 AQ27 AQ31 AQ55 AQ79 AQ47">
    <cfRule type="cellIs" dxfId="2591" priority="2439" operator="lessThan">
      <formula>0</formula>
    </cfRule>
  </conditionalFormatting>
  <conditionalFormatting sqref="AQ35 AQ43 AQ59 AQ71 AQ7 AQ15 AQ19 AQ11 AQ23 AQ27 AQ31 AQ55 AQ79 AQ47">
    <cfRule type="cellIs" dxfId="2590" priority="2438" operator="lessThan">
      <formula>0</formula>
    </cfRule>
  </conditionalFormatting>
  <conditionalFormatting sqref="AQ35 AQ43 AQ59 AQ71 AQ7 AQ15 AQ19 AQ11 AQ23 AQ27 AQ31 AQ55 AQ79 AQ47">
    <cfRule type="cellIs" dxfId="2589" priority="2437" operator="lessThan">
      <formula>0</formula>
    </cfRule>
  </conditionalFormatting>
  <conditionalFormatting sqref="AQ35 AQ43 AQ59 AQ71 AQ7 AQ15 AQ19 AQ11 AQ23 AQ27 AQ31 AQ55 AQ79 AQ47">
    <cfRule type="cellIs" dxfId="2588" priority="2436" operator="lessThan">
      <formula>0</formula>
    </cfRule>
  </conditionalFormatting>
  <conditionalFormatting sqref="AQ35 AQ43 AQ59 AQ71 AQ7 AQ15 AQ19 AQ11 AQ23 AQ27 AQ31 AQ55 AQ79 AQ47">
    <cfRule type="cellIs" dxfId="2587" priority="2435" operator="lessThan">
      <formula>0</formula>
    </cfRule>
  </conditionalFormatting>
  <conditionalFormatting sqref="AQ35 AQ43 AQ59 AQ71 AQ7 AQ15 AQ19 AQ11 AQ23 AQ27 AQ31 AQ55 AQ79 AQ47">
    <cfRule type="cellIs" dxfId="2586" priority="2434" operator="lessThan">
      <formula>0</formula>
    </cfRule>
  </conditionalFormatting>
  <conditionalFormatting sqref="AQ35 AQ43 AQ59 AQ71 AQ7 AQ15 AQ19 AQ11 AQ23 AQ27 AQ31 AQ55 AQ79 AQ47">
    <cfRule type="cellIs" dxfId="2585" priority="2433" operator="lessThan">
      <formula>0</formula>
    </cfRule>
  </conditionalFormatting>
  <conditionalFormatting sqref="AQ35 AQ43 AQ59 AQ71 AQ7 AQ15 AQ19 AQ11 AQ23 AQ27 AQ31 AQ55 AQ79 AQ47">
    <cfRule type="cellIs" dxfId="2584" priority="2432" operator="lessThan">
      <formula>0</formula>
    </cfRule>
  </conditionalFormatting>
  <conditionalFormatting sqref="AQ35 AQ43 AQ59 AQ71 AQ7 AQ15 AQ19 AQ11 AQ23 AQ27 AQ31 AQ55 AQ79 AQ47">
    <cfRule type="cellIs" dxfId="2583" priority="2431" operator="lessThan">
      <formula>0</formula>
    </cfRule>
  </conditionalFormatting>
  <conditionalFormatting sqref="AQ35 AQ43 AQ59 AQ71 AQ7 AQ15 AQ19 AQ11 AQ23 AQ27 AQ31 AQ55 AQ79 AQ47">
    <cfRule type="cellIs" dxfId="2582" priority="2430" operator="lessThan">
      <formula>0</formula>
    </cfRule>
  </conditionalFormatting>
  <conditionalFormatting sqref="AQ35 AQ43 AQ59 AQ71 AQ7 AQ15 AQ19 AQ11 AQ23 AQ27 AQ31 AQ55 AQ79 AQ47">
    <cfRule type="cellIs" dxfId="2581" priority="2429" operator="lessThan">
      <formula>0</formula>
    </cfRule>
  </conditionalFormatting>
  <conditionalFormatting sqref="AQ35 AQ43 AQ59 AQ71 AQ7 AQ15 AQ19 AQ11 AQ23 AQ27 AQ31 AQ55 AQ79 AQ47">
    <cfRule type="cellIs" dxfId="2580" priority="2428" operator="lessThan">
      <formula>0</formula>
    </cfRule>
  </conditionalFormatting>
  <conditionalFormatting sqref="AQ35 AQ43 AQ59 AQ71 AQ7 AQ15 AQ19 AQ11 AQ23 AQ27 AQ31 AQ55 AQ79 AQ47">
    <cfRule type="cellIs" dxfId="2579" priority="2427" operator="lessThan">
      <formula>0</formula>
    </cfRule>
  </conditionalFormatting>
  <conditionalFormatting sqref="AQ35 AQ43 AQ59 AQ71 AQ7 AQ15 AQ19 AQ11 AQ23 AQ27 AQ31 AQ55 AQ79 AQ47">
    <cfRule type="cellIs" dxfId="2578" priority="2426" operator="lessThan">
      <formula>0</formula>
    </cfRule>
  </conditionalFormatting>
  <conditionalFormatting sqref="AQ35 AQ43 AQ59 AQ71 AQ7 AQ15 AQ19 AQ11 AQ23 AQ27 AQ31 AQ55 AQ79 AQ47">
    <cfRule type="cellIs" dxfId="2577" priority="2425" operator="lessThan">
      <formula>0</formula>
    </cfRule>
  </conditionalFormatting>
  <conditionalFormatting sqref="AQ35 AQ43 AQ59 AQ71 AQ7 AQ15 AQ19 AQ11 AQ23 AQ27 AQ31 AQ55 AQ79 AQ47">
    <cfRule type="cellIs" dxfId="2576" priority="2424" operator="lessThan">
      <formula>0</formula>
    </cfRule>
  </conditionalFormatting>
  <conditionalFormatting sqref="AQ35 AQ43 AQ59 AQ71 AQ7 AQ15 AQ19 AQ11 AQ23 AQ27 AQ31 AQ55 AQ79 AQ47">
    <cfRule type="cellIs" dxfId="2575" priority="2423" operator="lessThan">
      <formula>0</formula>
    </cfRule>
  </conditionalFormatting>
  <conditionalFormatting sqref="AQ35 AQ43 AQ59 AQ71 AQ7 AQ15 AQ19 AQ11 AQ23 AQ27 AQ31 AQ55 AQ79 AQ47">
    <cfRule type="cellIs" dxfId="2574" priority="2422" operator="lessThan">
      <formula>0</formula>
    </cfRule>
  </conditionalFormatting>
  <conditionalFormatting sqref="AQ35 AQ43 AQ59 AQ71 AQ7 AQ15 AQ19 AQ11 AQ23 AQ27 AQ31 AQ55 AQ79 AQ47">
    <cfRule type="cellIs" dxfId="2573" priority="2421" operator="lessThan">
      <formula>0</formula>
    </cfRule>
  </conditionalFormatting>
  <conditionalFormatting sqref="AQ35 AQ43 AQ59 AQ71 AQ7 AQ15 AQ19 AQ11 AQ23 AQ27 AQ31 AQ55 AQ79 AQ47">
    <cfRule type="cellIs" dxfId="2572" priority="2420" operator="lessThan">
      <formula>0</formula>
    </cfRule>
  </conditionalFormatting>
  <conditionalFormatting sqref="AQ35 AQ43 AQ59 AQ71 AQ7 AQ15 AQ19 AQ11 AQ23 AQ27 AQ31 AQ55 AQ79 AQ47">
    <cfRule type="cellIs" dxfId="2571" priority="2419" operator="lessThan">
      <formula>0</formula>
    </cfRule>
  </conditionalFormatting>
  <conditionalFormatting sqref="AQ35 AQ43 AQ59 AQ71 AQ7 AQ15 AQ19 AQ11 AQ23 AQ27 AQ31 AQ55 AQ79 AQ47">
    <cfRule type="cellIs" dxfId="2570" priority="2418" operator="lessThan">
      <formula>0</formula>
    </cfRule>
  </conditionalFormatting>
  <conditionalFormatting sqref="AQ35 AQ43 AQ59 AQ71 AQ7 AQ15 AQ19 AQ11 AQ23 AQ27 AQ31 AQ55 AQ79 AQ47">
    <cfRule type="cellIs" dxfId="2569" priority="2417" operator="lessThan">
      <formula>0</formula>
    </cfRule>
  </conditionalFormatting>
  <conditionalFormatting sqref="AQ35 AQ43 AQ59 AQ71 AQ7 AQ15 AQ19 AQ11 AQ23 AQ27 AQ31 AQ55 AQ79 AQ47">
    <cfRule type="cellIs" dxfId="2568" priority="2416" operator="lessThan">
      <formula>0</formula>
    </cfRule>
  </conditionalFormatting>
  <conditionalFormatting sqref="AQ35 AQ43 AQ59 AQ71 AQ7 AQ15 AQ19 AQ11 AQ23 AQ27 AQ31 AQ55 AQ79 AQ47">
    <cfRule type="cellIs" dxfId="2567" priority="2415" operator="lessThan">
      <formula>0</formula>
    </cfRule>
  </conditionalFormatting>
  <conditionalFormatting sqref="AQ35 AQ43 AQ59 AQ71 AQ7 AQ15 AQ19 AQ11 AQ23 AQ27 AQ31 AQ55 AQ79 AQ47">
    <cfRule type="cellIs" dxfId="2566" priority="2414" operator="lessThan">
      <formula>0</formula>
    </cfRule>
  </conditionalFormatting>
  <conditionalFormatting sqref="AQ35 AQ43 AQ59 AQ71 AQ7 AQ15 AQ19 AQ11 AQ23 AQ27 AQ31 AQ55 AQ79 AQ47">
    <cfRule type="cellIs" dxfId="2565" priority="2413" operator="lessThan">
      <formula>0</formula>
    </cfRule>
  </conditionalFormatting>
  <conditionalFormatting sqref="AQ35 AQ43 AQ59 AQ71 AQ7 AQ15 AQ19 AQ11 AQ23 AQ27 AQ31 AQ55 AQ79 AQ47">
    <cfRule type="cellIs" dxfId="2564" priority="2412" operator="lessThan">
      <formula>0</formula>
    </cfRule>
  </conditionalFormatting>
  <conditionalFormatting sqref="AQ35 AQ43 AQ59 AQ71 AQ7 AQ15 AQ19 AQ11 AQ23 AQ27 AQ31 AQ55 AQ79 AQ47">
    <cfRule type="cellIs" dxfId="2563" priority="2411" operator="lessThan">
      <formula>0</formula>
    </cfRule>
  </conditionalFormatting>
  <conditionalFormatting sqref="AQ35 AQ43 AQ59 AQ71 AQ7 AQ15 AQ19 AQ11 AQ23 AQ27 AQ31 AQ55 AQ79 AQ47">
    <cfRule type="cellIs" dxfId="2562" priority="2410" operator="lessThan">
      <formula>0</formula>
    </cfRule>
  </conditionalFormatting>
  <conditionalFormatting sqref="AQ35 AQ43 AQ59 AQ71 AQ7 AQ15 AQ19 AQ11 AQ23 AQ27 AQ31 AQ55 AQ79 AQ47">
    <cfRule type="cellIs" dxfId="2561" priority="2409" operator="lessThan">
      <formula>0</formula>
    </cfRule>
  </conditionalFormatting>
  <conditionalFormatting sqref="AQ35 AQ43 AQ59 AQ71 AQ7 AQ15 AQ19 AQ11 AQ23 AQ27 AQ31 AQ55 AQ79 AQ47">
    <cfRule type="cellIs" dxfId="2560" priority="2408" operator="lessThan">
      <formula>0</formula>
    </cfRule>
  </conditionalFormatting>
  <conditionalFormatting sqref="AQ35 AQ43 AQ59 AQ71 AQ7 AQ15 AQ19 AQ11 AQ23 AQ27 AQ31 AQ55 AQ79 AQ47">
    <cfRule type="cellIs" dxfId="2559" priority="2407" operator="lessThan">
      <formula>0</formula>
    </cfRule>
  </conditionalFormatting>
  <conditionalFormatting sqref="AQ35 AQ43 AQ59 AQ71 AQ7 AQ15 AQ19 AQ11 AQ23 AQ27 AQ31 AQ55 AQ79 AQ47">
    <cfRule type="cellIs" dxfId="2558" priority="2406" operator="lessThan">
      <formula>0</formula>
    </cfRule>
  </conditionalFormatting>
  <conditionalFormatting sqref="AQ35 AQ43 AQ59 AQ71 AQ7 AQ15 AQ19 AQ11 AQ23 AQ27 AQ31 AQ55 AQ79 AQ47">
    <cfRule type="cellIs" dxfId="2557" priority="2405" operator="lessThan">
      <formula>0</formula>
    </cfRule>
  </conditionalFormatting>
  <conditionalFormatting sqref="AQ35 AQ43 AQ59 AQ71 AQ7 AQ15 AQ19 AQ11 AQ23 AQ27 AQ31 AQ55 AQ79 AQ47">
    <cfRule type="cellIs" dxfId="2556" priority="2404" operator="lessThan">
      <formula>0</formula>
    </cfRule>
  </conditionalFormatting>
  <conditionalFormatting sqref="AQ35 AQ43 AQ59 AQ71 AQ7 AQ15 AQ19 AQ11 AQ23 AQ27 AQ31 AQ55 AQ79 AQ47">
    <cfRule type="cellIs" dxfId="2555" priority="2403" operator="lessThan">
      <formula>0</formula>
    </cfRule>
  </conditionalFormatting>
  <conditionalFormatting sqref="AQ35 AQ43 AQ59 AQ71 AQ7 AQ15 AQ19 AQ11 AQ23 AQ27 AQ31 AQ55 AQ79 AQ47">
    <cfRule type="cellIs" dxfId="2554" priority="2402" operator="lessThan">
      <formula>0</formula>
    </cfRule>
  </conditionalFormatting>
  <conditionalFormatting sqref="AQ35 AQ43 AQ59 AQ71 AQ7 AQ15 AQ19 AQ11 AQ23 AQ27 AQ31 AQ55 AQ79 AQ47">
    <cfRule type="cellIs" dxfId="2553" priority="2401" operator="lessThan">
      <formula>0</formula>
    </cfRule>
  </conditionalFormatting>
  <conditionalFormatting sqref="AQ35 AQ43 AQ59 AQ71 AQ7 AQ15 AQ19 AQ11 AQ23 AQ27 AQ31 AQ55 AQ79 AQ47">
    <cfRule type="cellIs" dxfId="2552" priority="2400" operator="lessThan">
      <formula>0</formula>
    </cfRule>
  </conditionalFormatting>
  <conditionalFormatting sqref="AQ35 AQ43 AQ59 AQ71 AQ7 AQ15 AQ19 AQ11 AQ23 AQ27 AQ31 AQ55 AQ79 AQ47">
    <cfRule type="cellIs" dxfId="2551" priority="2399" operator="lessThan">
      <formula>0</formula>
    </cfRule>
  </conditionalFormatting>
  <conditionalFormatting sqref="AQ35 AQ43 AQ59 AQ71 AQ7 AQ15 AQ19 AQ11 AQ23 AQ27 AQ31 AQ55 AQ79 AQ47">
    <cfRule type="cellIs" dxfId="2550" priority="2398" operator="lessThan">
      <formula>0</formula>
    </cfRule>
  </conditionalFormatting>
  <conditionalFormatting sqref="AQ35 AQ43 AQ59 AQ71 AQ7 AQ15 AQ19 AQ11 AQ23 AQ27 AQ31 AQ55 AQ79 AQ47">
    <cfRule type="cellIs" dxfId="2549" priority="2397" operator="lessThan">
      <formula>0</formula>
    </cfRule>
  </conditionalFormatting>
  <conditionalFormatting sqref="AQ35 AQ43 AQ59 AQ71 AQ7 AQ15 AQ19 AQ11 AQ23 AQ27 AQ31 AQ55 AQ79 AQ47">
    <cfRule type="cellIs" dxfId="2548" priority="2396" operator="lessThan">
      <formula>0</formula>
    </cfRule>
  </conditionalFormatting>
  <conditionalFormatting sqref="AQ35 AQ43 AQ59 AQ71 AQ7 AQ15 AQ19 AQ11 AQ23 AQ27 AQ31 AQ55 AQ79 AQ47">
    <cfRule type="cellIs" dxfId="2547" priority="2395" operator="lessThan">
      <formula>0</formula>
    </cfRule>
  </conditionalFormatting>
  <conditionalFormatting sqref="AQ35 AQ43 AQ59 AQ71 AQ7 AQ15 AQ19 AQ11 AQ23 AQ27 AQ31 AQ55 AQ79 AQ47">
    <cfRule type="cellIs" dxfId="2546" priority="2394" operator="lessThan">
      <formula>0</formula>
    </cfRule>
  </conditionalFormatting>
  <conditionalFormatting sqref="AQ35 AQ43 AQ59 AQ71 AQ7 AQ15 AQ19 AQ11 AQ23 AQ27 AQ31 AQ55 AQ79 AQ47">
    <cfRule type="cellIs" dxfId="2545" priority="2393" operator="lessThan">
      <formula>0</formula>
    </cfRule>
  </conditionalFormatting>
  <conditionalFormatting sqref="AQ35 AQ43 AQ59 AQ71 AQ7 AQ15 AQ19 AQ11 AQ23 AQ27 AQ31 AQ55 AQ79 AQ47">
    <cfRule type="cellIs" dxfId="2544" priority="2392" operator="lessThan">
      <formula>0</formula>
    </cfRule>
  </conditionalFormatting>
  <conditionalFormatting sqref="AQ35 AQ43 AQ59 AQ71 AQ7 AQ15 AQ19 AQ11 AQ23 AQ27 AQ31 AQ55 AQ79 AQ47">
    <cfRule type="cellIs" dxfId="2543" priority="2391" operator="lessThan">
      <formula>0</formula>
    </cfRule>
  </conditionalFormatting>
  <conditionalFormatting sqref="AQ35 AQ43 AQ59 AQ71 AQ7 AQ15 AQ19 AQ11 AQ23 AQ27 AQ31 AQ55 AQ79 AQ47">
    <cfRule type="cellIs" dxfId="2542" priority="2390" operator="lessThan">
      <formula>0</formula>
    </cfRule>
  </conditionalFormatting>
  <conditionalFormatting sqref="AQ35 AQ43 AQ59 AQ71 AQ7 AQ15 AQ19 AQ11 AQ23 AQ27 AQ31 AQ55 AQ79 AQ47">
    <cfRule type="cellIs" dxfId="2541" priority="2389" operator="lessThan">
      <formula>0</formula>
    </cfRule>
  </conditionalFormatting>
  <conditionalFormatting sqref="AQ35 AQ43 AQ59 AQ71 AQ7 AQ15 AQ19 AQ11 AQ23 AQ27 AQ31 AQ55 AQ79 AQ47">
    <cfRule type="cellIs" dxfId="2540" priority="2388" operator="lessThan">
      <formula>0</formula>
    </cfRule>
  </conditionalFormatting>
  <conditionalFormatting sqref="AQ35 AQ43 AQ59 AQ71 AQ7 AQ15 AQ19 AQ11 AQ23 AQ27 AQ31 AQ55 AQ79 AQ47">
    <cfRule type="cellIs" dxfId="2539" priority="2387" operator="lessThan">
      <formula>0</formula>
    </cfRule>
  </conditionalFormatting>
  <conditionalFormatting sqref="AQ35 AQ43 AQ59 AQ71 AQ7 AQ15 AQ19 AQ11 AQ23 AQ27 AQ31 AQ55 AQ79 AQ47">
    <cfRule type="cellIs" dxfId="2538" priority="2386" operator="lessThan">
      <formula>0</formula>
    </cfRule>
  </conditionalFormatting>
  <conditionalFormatting sqref="AQ35 AQ43 AQ59 AQ71 AQ7 AQ15 AQ19 AQ11 AQ23 AQ27 AQ31 AQ55 AQ79 AQ47">
    <cfRule type="cellIs" dxfId="2537" priority="2385" operator="lessThan">
      <formula>0</formula>
    </cfRule>
  </conditionalFormatting>
  <conditionalFormatting sqref="AQ35 AQ43 AQ59 AQ71 AQ7 AQ15 AQ19 AQ11 AQ23 AQ27 AQ31 AQ55 AQ79 AQ47">
    <cfRule type="cellIs" dxfId="2536" priority="2384" operator="lessThan">
      <formula>0</formula>
    </cfRule>
  </conditionalFormatting>
  <conditionalFormatting sqref="AQ35 AQ43 AQ59 AQ71 AQ7 AQ15 AQ19 AQ11 AQ23 AQ27 AQ31 AQ55 AQ79 AQ47">
    <cfRule type="cellIs" dxfId="2535" priority="2383" operator="lessThan">
      <formula>0</formula>
    </cfRule>
  </conditionalFormatting>
  <conditionalFormatting sqref="AQ35 AQ43 AQ59 AQ71 AQ7 AQ15 AQ19 AQ11 AQ23 AQ27 AQ31 AQ55 AQ79 AQ47">
    <cfRule type="cellIs" dxfId="2534" priority="2382" operator="lessThan">
      <formula>0</formula>
    </cfRule>
  </conditionalFormatting>
  <conditionalFormatting sqref="AQ35 AQ43 AQ59 AQ71 AQ7 AQ15 AQ19 AQ11 AQ23 AQ27 AQ31 AQ55 AQ79 AQ47">
    <cfRule type="cellIs" dxfId="2533" priority="2381" operator="lessThan">
      <formula>0</formula>
    </cfRule>
  </conditionalFormatting>
  <conditionalFormatting sqref="AQ35 AQ43 AQ59 AQ71 AQ7 AQ15 AQ19 AQ11 AQ23 AQ27 AQ31 AQ55 AQ79 AQ47">
    <cfRule type="cellIs" dxfId="2532" priority="2365" operator="lessThan">
      <formula>0</formula>
    </cfRule>
  </conditionalFormatting>
  <conditionalFormatting sqref="AQ35 AQ43 AQ59 AQ71 AQ7 AQ15 AQ19 AQ11 AQ23 AQ27 AQ31 AQ55 AQ79 AQ47">
    <cfRule type="cellIs" dxfId="2531" priority="2380" operator="lessThan">
      <formula>0</formula>
    </cfRule>
  </conditionalFormatting>
  <conditionalFormatting sqref="AQ35 AQ43 AQ59 AQ71 AQ7 AQ15 AQ19 AQ11 AQ23 AQ27 AQ31 AQ55 AQ79 AQ47">
    <cfRule type="cellIs" dxfId="2530" priority="2379" operator="lessThan">
      <formula>0</formula>
    </cfRule>
  </conditionalFormatting>
  <conditionalFormatting sqref="AQ35 AQ43 AQ59 AQ71 AQ7 AQ15 AQ19 AQ11 AQ23 AQ27 AQ31 AQ55 AQ79 AQ47">
    <cfRule type="cellIs" dxfId="2529" priority="2378" operator="lessThan">
      <formula>0</formula>
    </cfRule>
  </conditionalFormatting>
  <conditionalFormatting sqref="AQ35 AQ43 AQ59 AQ71 AQ7 AQ15 AQ19 AQ11 AQ23 AQ27 AQ31 AQ55 AQ79 AQ47">
    <cfRule type="cellIs" dxfId="2528" priority="2377" operator="lessThan">
      <formula>0</formula>
    </cfRule>
  </conditionalFormatting>
  <conditionalFormatting sqref="AQ35 AQ43 AQ59 AQ71 AQ7 AQ15 AQ19 AQ11 AQ23 AQ27 AQ31 AQ55 AQ79 AQ47">
    <cfRule type="cellIs" dxfId="2527" priority="2376" operator="lessThan">
      <formula>0</formula>
    </cfRule>
  </conditionalFormatting>
  <conditionalFormatting sqref="AQ35 AQ43 AQ59 AQ71 AQ7 AQ15 AQ19 AQ11 AQ23 AQ27 AQ31 AQ55 AQ79 AQ47">
    <cfRule type="cellIs" dxfId="2526" priority="2375" operator="lessThan">
      <formula>0</formula>
    </cfRule>
  </conditionalFormatting>
  <conditionalFormatting sqref="AQ35 AQ43 AQ59 AQ71 AQ7 AQ15 AQ19 AQ11 AQ23 AQ27 AQ31 AQ55 AQ79 AQ47">
    <cfRule type="cellIs" dxfId="2525" priority="2374" operator="lessThan">
      <formula>0</formula>
    </cfRule>
  </conditionalFormatting>
  <conditionalFormatting sqref="AQ35 AQ43 AQ59 AQ71 AQ7 AQ15 AQ19 AQ11 AQ23 AQ27 AQ31 AQ55 AQ79 AQ47">
    <cfRule type="cellIs" dxfId="2524" priority="2373" operator="lessThan">
      <formula>0</formula>
    </cfRule>
  </conditionalFormatting>
  <conditionalFormatting sqref="AQ35 AQ43 AQ59 AQ71 AQ7 AQ15 AQ19 AQ11 AQ23 AQ27 AQ31 AQ55 AQ79 AQ47">
    <cfRule type="cellIs" dxfId="2523" priority="2372" operator="lessThan">
      <formula>0</formula>
    </cfRule>
  </conditionalFormatting>
  <conditionalFormatting sqref="AQ35 AQ43 AQ59 AQ71 AQ7 AQ15 AQ19 AQ11 AQ23 AQ27 AQ31 AQ55 AQ79 AQ47">
    <cfRule type="cellIs" dxfId="2522" priority="2371" operator="lessThan">
      <formula>0</formula>
    </cfRule>
  </conditionalFormatting>
  <conditionalFormatting sqref="AQ35 AQ43 AQ59 AQ71 AQ7 AQ15 AQ19 AQ11 AQ23 AQ27 AQ31 AQ55 AQ79 AQ47">
    <cfRule type="cellIs" dxfId="2521" priority="2370" operator="lessThan">
      <formula>0</formula>
    </cfRule>
  </conditionalFormatting>
  <conditionalFormatting sqref="AQ35 AQ43 AQ59 AQ71 AQ7 AQ15 AQ19 AQ11 AQ23 AQ27 AQ31 AQ55 AQ79 AQ47">
    <cfRule type="cellIs" dxfId="2520" priority="2369" operator="lessThan">
      <formula>0</formula>
    </cfRule>
  </conditionalFormatting>
  <conditionalFormatting sqref="AQ35 AQ43 AQ59 AQ71 AQ7 AQ15 AQ19 AQ11 AQ23 AQ27 AQ31 AQ55 AQ79 AQ47">
    <cfRule type="cellIs" dxfId="2519" priority="2368" operator="lessThan">
      <formula>0</formula>
    </cfRule>
  </conditionalFormatting>
  <conditionalFormatting sqref="AQ35 AQ43 AQ59 AQ71 AQ7 AQ15 AQ19 AQ11 AQ23 AQ27 AQ31 AQ55 AQ79 AQ47">
    <cfRule type="cellIs" dxfId="2518" priority="2367" operator="lessThan">
      <formula>0</formula>
    </cfRule>
  </conditionalFormatting>
  <conditionalFormatting sqref="AQ35 AQ43 AQ59 AQ71 AQ7 AQ15 AQ19 AQ11 AQ23 AQ27 AQ31 AQ55 AQ79 AQ47">
    <cfRule type="cellIs" dxfId="2517" priority="2366" operator="lessThan">
      <formula>0</formula>
    </cfRule>
  </conditionalFormatting>
  <conditionalFormatting sqref="J56">
    <cfRule type="cellIs" dxfId="2516" priority="2364" operator="greaterThan">
      <formula>0</formula>
    </cfRule>
  </conditionalFormatting>
  <conditionalFormatting sqref="J80">
    <cfRule type="cellIs" dxfId="2515" priority="2363" operator="greaterThan">
      <formula>0</formula>
    </cfRule>
  </conditionalFormatting>
  <conditionalFormatting sqref="J12">
    <cfRule type="cellIs" dxfId="2514" priority="2362" operator="greaterThan">
      <formula>0</formula>
    </cfRule>
  </conditionalFormatting>
  <conditionalFormatting sqref="J24">
    <cfRule type="cellIs" dxfId="2513" priority="2361" operator="greaterThan">
      <formula>0</formula>
    </cfRule>
  </conditionalFormatting>
  <conditionalFormatting sqref="I12">
    <cfRule type="cellIs" dxfId="2512" priority="2360" operator="greaterThan">
      <formula>0</formula>
    </cfRule>
  </conditionalFormatting>
  <conditionalFormatting sqref="AM80:AM81">
    <cfRule type="cellIs" dxfId="2511" priority="2359" operator="notEqual">
      <formula>0</formula>
    </cfRule>
  </conditionalFormatting>
  <conditionalFormatting sqref="AQ6">
    <cfRule type="cellIs" dxfId="2510" priority="2358" operator="lessThan">
      <formula>0</formula>
    </cfRule>
  </conditionalFormatting>
  <conditionalFormatting sqref="AQ6">
    <cfRule type="cellIs" dxfId="2509" priority="2357" operator="lessThan">
      <formula>0</formula>
    </cfRule>
  </conditionalFormatting>
  <conditionalFormatting sqref="AQ8:AQ9">
    <cfRule type="cellIs" dxfId="2508" priority="2356" operator="lessThan">
      <formula>0</formula>
    </cfRule>
  </conditionalFormatting>
  <conditionalFormatting sqref="AQ8:AQ9">
    <cfRule type="cellIs" dxfId="2507" priority="2355" operator="lessThan">
      <formula>0</formula>
    </cfRule>
  </conditionalFormatting>
  <conditionalFormatting sqref="AQ8:AQ9">
    <cfRule type="cellIs" dxfId="2506" priority="2354" operator="lessThan">
      <formula>0</formula>
    </cfRule>
  </conditionalFormatting>
  <conditionalFormatting sqref="AQ8:AQ9">
    <cfRule type="cellIs" dxfId="2505" priority="2353" operator="lessThan">
      <formula>0</formula>
    </cfRule>
  </conditionalFormatting>
  <conditionalFormatting sqref="AQ8:AQ9">
    <cfRule type="cellIs" dxfId="2504" priority="2352" operator="lessThan">
      <formula>0</formula>
    </cfRule>
  </conditionalFormatting>
  <conditionalFormatting sqref="AQ8:AQ9">
    <cfRule type="cellIs" dxfId="2503" priority="2351" operator="lessThan">
      <formula>0</formula>
    </cfRule>
  </conditionalFormatting>
  <conditionalFormatting sqref="AQ8:AQ9">
    <cfRule type="cellIs" dxfId="2502" priority="2350" operator="lessThan">
      <formula>0</formula>
    </cfRule>
  </conditionalFormatting>
  <conditionalFormatting sqref="AQ8:AQ9">
    <cfRule type="cellIs" dxfId="2501" priority="2349" operator="lessThan">
      <formula>0</formula>
    </cfRule>
  </conditionalFormatting>
  <conditionalFormatting sqref="AQ6">
    <cfRule type="cellIs" dxfId="2500" priority="2348" operator="lessThan">
      <formula>0</formula>
    </cfRule>
  </conditionalFormatting>
  <conditionalFormatting sqref="AQ6 AQ8:AQ9">
    <cfRule type="cellIs" dxfId="2499" priority="2347" operator="lessThan">
      <formula>0</formula>
    </cfRule>
  </conditionalFormatting>
  <conditionalFormatting sqref="AM6:AM9">
    <cfRule type="cellIs" dxfId="2498" priority="2346" operator="notEqual">
      <formula>0</formula>
    </cfRule>
  </conditionalFormatting>
  <conditionalFormatting sqref="I8">
    <cfRule type="cellIs" dxfId="2497" priority="2345" operator="greaterThan">
      <formula>0</formula>
    </cfRule>
  </conditionalFormatting>
  <conditionalFormatting sqref="AQ6 AQ8:AQ9">
    <cfRule type="cellIs" dxfId="2496" priority="2344" operator="lessThan">
      <formula>0</formula>
    </cfRule>
  </conditionalFormatting>
  <conditionalFormatting sqref="AQ6 AQ8:AQ9">
    <cfRule type="cellIs" dxfId="2495" priority="2343" operator="lessThan">
      <formula>0</formula>
    </cfRule>
  </conditionalFormatting>
  <conditionalFormatting sqref="AQ6 AQ8:AQ9">
    <cfRule type="cellIs" dxfId="2494" priority="2342" operator="lessThan">
      <formula>0</formula>
    </cfRule>
  </conditionalFormatting>
  <conditionalFormatting sqref="J8">
    <cfRule type="cellIs" dxfId="2493" priority="2341" operator="greaterThan">
      <formula>0</formula>
    </cfRule>
  </conditionalFormatting>
  <conditionalFormatting sqref="AQ8:AQ9">
    <cfRule type="cellIs" dxfId="2492" priority="2340" operator="lessThan">
      <formula>0</formula>
    </cfRule>
  </conditionalFormatting>
  <conditionalFormatting sqref="AQ8:AQ9">
    <cfRule type="cellIs" dxfId="2491" priority="2339" operator="lessThan">
      <formula>0</formula>
    </cfRule>
  </conditionalFormatting>
  <conditionalFormatting sqref="AQ8:AQ9">
    <cfRule type="cellIs" dxfId="2490" priority="2338" operator="lessThan">
      <formula>0</formula>
    </cfRule>
  </conditionalFormatting>
  <conditionalFormatting sqref="AQ8:AQ9">
    <cfRule type="cellIs" dxfId="2489" priority="2337" operator="lessThan">
      <formula>0</formula>
    </cfRule>
  </conditionalFormatting>
  <conditionalFormatting sqref="Y7">
    <cfRule type="iconSet" priority="2335">
      <iconSet>
        <cfvo type="percent" val="0"/>
        <cfvo type="percent" val="&quot;$I$6&quot;"/>
        <cfvo type="percent" val="#REF!"/>
      </iconSet>
    </cfRule>
  </conditionalFormatting>
  <conditionalFormatting sqref="Y8">
    <cfRule type="cellIs" dxfId="2488" priority="2334" operator="lessThan">
      <formula>0</formula>
    </cfRule>
  </conditionalFormatting>
  <conditionalFormatting sqref="Y6:Y8">
    <cfRule type="cellIs" dxfId="2487" priority="2333" operator="lessThan">
      <formula>0</formula>
    </cfRule>
  </conditionalFormatting>
  <conditionalFormatting sqref="Y9">
    <cfRule type="cellIs" dxfId="2486" priority="2332" operator="lessThan">
      <formula>0</formula>
    </cfRule>
  </conditionalFormatting>
  <conditionalFormatting sqref="AQ7">
    <cfRule type="cellIs" dxfId="2485" priority="2331" operator="lessThan">
      <formula>0</formula>
    </cfRule>
  </conditionalFormatting>
  <conditionalFormatting sqref="AQ7">
    <cfRule type="cellIs" dxfId="2484" priority="2330" operator="lessThan">
      <formula>0</formula>
    </cfRule>
  </conditionalFormatting>
  <conditionalFormatting sqref="AQ7">
    <cfRule type="cellIs" dxfId="2483" priority="2329" operator="lessThan">
      <formula>0</formula>
    </cfRule>
  </conditionalFormatting>
  <conditionalFormatting sqref="AQ7">
    <cfRule type="cellIs" dxfId="2482" priority="2328" operator="lessThan">
      <formula>0</formula>
    </cfRule>
  </conditionalFormatting>
  <conditionalFormatting sqref="AQ7">
    <cfRule type="cellIs" dxfId="2481" priority="2327" operator="lessThan">
      <formula>0</formula>
    </cfRule>
  </conditionalFormatting>
  <conditionalFormatting sqref="AQ7">
    <cfRule type="cellIs" dxfId="2480" priority="2326" operator="lessThan">
      <formula>0</formula>
    </cfRule>
  </conditionalFormatting>
  <conditionalFormatting sqref="AQ7">
    <cfRule type="cellIs" dxfId="2479" priority="2325" operator="lessThan">
      <formula>0</formula>
    </cfRule>
  </conditionalFormatting>
  <conditionalFormatting sqref="AQ7">
    <cfRule type="cellIs" dxfId="2478" priority="2324" operator="lessThan">
      <formula>0</formula>
    </cfRule>
  </conditionalFormatting>
  <conditionalFormatting sqref="AQ7">
    <cfRule type="cellIs" dxfId="2477" priority="2323" operator="lessThan">
      <formula>0</formula>
    </cfRule>
  </conditionalFormatting>
  <conditionalFormatting sqref="AQ7">
    <cfRule type="cellIs" dxfId="2476" priority="2322" operator="lessThan">
      <formula>0</formula>
    </cfRule>
  </conditionalFormatting>
  <conditionalFormatting sqref="AQ7">
    <cfRule type="cellIs" dxfId="2475" priority="2321" operator="lessThan">
      <formula>0</formula>
    </cfRule>
  </conditionalFormatting>
  <conditionalFormatting sqref="AQ7">
    <cfRule type="cellIs" dxfId="2474" priority="2320" operator="lessThan">
      <formula>0</formula>
    </cfRule>
  </conditionalFormatting>
  <conditionalFormatting sqref="AQ7">
    <cfRule type="cellIs" dxfId="2473" priority="2319" operator="lessThan">
      <formula>0</formula>
    </cfRule>
  </conditionalFormatting>
  <conditionalFormatting sqref="AQ7">
    <cfRule type="cellIs" dxfId="2472" priority="2318" operator="lessThan">
      <formula>0</formula>
    </cfRule>
  </conditionalFormatting>
  <conditionalFormatting sqref="AQ7">
    <cfRule type="cellIs" dxfId="2471" priority="2317" operator="lessThan">
      <formula>0</formula>
    </cfRule>
  </conditionalFormatting>
  <conditionalFormatting sqref="AQ7">
    <cfRule type="cellIs" dxfId="2470" priority="2316" operator="lessThan">
      <formula>0</formula>
    </cfRule>
  </conditionalFormatting>
  <conditionalFormatting sqref="AQ7">
    <cfRule type="cellIs" dxfId="2469" priority="2315" operator="lessThan">
      <formula>0</formula>
    </cfRule>
  </conditionalFormatting>
  <conditionalFormatting sqref="AQ7">
    <cfRule type="cellIs" dxfId="2468" priority="2314" operator="lessThan">
      <formula>0</formula>
    </cfRule>
  </conditionalFormatting>
  <conditionalFormatting sqref="AQ7">
    <cfRule type="cellIs" dxfId="2467" priority="2313" operator="lessThan">
      <formula>0</formula>
    </cfRule>
  </conditionalFormatting>
  <conditionalFormatting sqref="AQ7">
    <cfRule type="cellIs" dxfId="2466" priority="2312" operator="lessThan">
      <formula>0</formula>
    </cfRule>
  </conditionalFormatting>
  <conditionalFormatting sqref="AQ7">
    <cfRule type="cellIs" dxfId="2465" priority="2311" operator="lessThan">
      <formula>0</formula>
    </cfRule>
  </conditionalFormatting>
  <conditionalFormatting sqref="AQ7">
    <cfRule type="cellIs" dxfId="2464" priority="2310" operator="lessThan">
      <formula>0</formula>
    </cfRule>
  </conditionalFormatting>
  <conditionalFormatting sqref="AQ7">
    <cfRule type="cellIs" dxfId="2463" priority="2309" operator="lessThan">
      <formula>0</formula>
    </cfRule>
  </conditionalFormatting>
  <conditionalFormatting sqref="AQ7">
    <cfRule type="cellIs" dxfId="2462" priority="2308" operator="lessThan">
      <formula>0</formula>
    </cfRule>
  </conditionalFormatting>
  <conditionalFormatting sqref="AQ7">
    <cfRule type="cellIs" dxfId="2461" priority="2307" operator="lessThan">
      <formula>0</formula>
    </cfRule>
  </conditionalFormatting>
  <conditionalFormatting sqref="AQ7">
    <cfRule type="cellIs" dxfId="2460" priority="2306" operator="lessThan">
      <formula>0</formula>
    </cfRule>
  </conditionalFormatting>
  <conditionalFormatting sqref="AQ7">
    <cfRule type="cellIs" dxfId="2459" priority="2305" operator="lessThan">
      <formula>0</formula>
    </cfRule>
  </conditionalFormatting>
  <conditionalFormatting sqref="AQ7">
    <cfRule type="cellIs" dxfId="2458" priority="2304" operator="lessThan">
      <formula>0</formula>
    </cfRule>
  </conditionalFormatting>
  <conditionalFormatting sqref="AQ7">
    <cfRule type="cellIs" dxfId="2457" priority="2303" operator="lessThan">
      <formula>0</formula>
    </cfRule>
  </conditionalFormatting>
  <conditionalFormatting sqref="AQ7">
    <cfRule type="cellIs" dxfId="2456" priority="2302" operator="lessThan">
      <formula>0</formula>
    </cfRule>
  </conditionalFormatting>
  <conditionalFormatting sqref="AQ7">
    <cfRule type="cellIs" dxfId="2455" priority="2301" operator="lessThan">
      <formula>0</formula>
    </cfRule>
  </conditionalFormatting>
  <conditionalFormatting sqref="AQ7">
    <cfRule type="cellIs" dxfId="2454" priority="2300" operator="lessThan">
      <formula>0</formula>
    </cfRule>
  </conditionalFormatting>
  <conditionalFormatting sqref="AQ7">
    <cfRule type="cellIs" dxfId="2453" priority="2299" operator="lessThan">
      <formula>0</formula>
    </cfRule>
  </conditionalFormatting>
  <conditionalFormatting sqref="AQ7">
    <cfRule type="cellIs" dxfId="2452" priority="2298" operator="lessThan">
      <formula>0</formula>
    </cfRule>
  </conditionalFormatting>
  <conditionalFormatting sqref="AQ7">
    <cfRule type="cellIs" dxfId="2451" priority="2297" operator="lessThan">
      <formula>0</formula>
    </cfRule>
  </conditionalFormatting>
  <conditionalFormatting sqref="AQ7">
    <cfRule type="cellIs" dxfId="2450" priority="2296" operator="lessThan">
      <formula>0</formula>
    </cfRule>
  </conditionalFormatting>
  <conditionalFormatting sqref="AQ7">
    <cfRule type="cellIs" dxfId="2449" priority="2295" operator="lessThan">
      <formula>0</formula>
    </cfRule>
  </conditionalFormatting>
  <conditionalFormatting sqref="AQ7">
    <cfRule type="cellIs" dxfId="2448" priority="2294" operator="lessThan">
      <formula>0</formula>
    </cfRule>
  </conditionalFormatting>
  <conditionalFormatting sqref="AQ7">
    <cfRule type="cellIs" dxfId="2447" priority="2293" operator="lessThan">
      <formula>0</formula>
    </cfRule>
  </conditionalFormatting>
  <conditionalFormatting sqref="AQ7">
    <cfRule type="cellIs" dxfId="2446" priority="2292" operator="lessThan">
      <formula>0</formula>
    </cfRule>
  </conditionalFormatting>
  <conditionalFormatting sqref="AQ7">
    <cfRule type="cellIs" dxfId="2445" priority="2291" operator="lessThan">
      <formula>0</formula>
    </cfRule>
  </conditionalFormatting>
  <conditionalFormatting sqref="AQ7">
    <cfRule type="cellIs" dxfId="2444" priority="2290" operator="lessThan">
      <formula>0</formula>
    </cfRule>
  </conditionalFormatting>
  <conditionalFormatting sqref="AQ7">
    <cfRule type="cellIs" dxfId="2443" priority="2289" operator="lessThan">
      <formula>0</formula>
    </cfRule>
  </conditionalFormatting>
  <conditionalFormatting sqref="AQ7">
    <cfRule type="cellIs" dxfId="2442" priority="2288" operator="lessThan">
      <formula>0</formula>
    </cfRule>
  </conditionalFormatting>
  <conditionalFormatting sqref="AQ7">
    <cfRule type="cellIs" dxfId="2441" priority="2287" operator="lessThan">
      <formula>0</formula>
    </cfRule>
  </conditionalFormatting>
  <conditionalFormatting sqref="AQ7">
    <cfRule type="cellIs" dxfId="2440" priority="2286" operator="lessThan">
      <formula>0</formula>
    </cfRule>
  </conditionalFormatting>
  <conditionalFormatting sqref="AQ7">
    <cfRule type="cellIs" dxfId="2439" priority="2285" operator="lessThan">
      <formula>0</formula>
    </cfRule>
  </conditionalFormatting>
  <conditionalFormatting sqref="AQ7">
    <cfRule type="cellIs" dxfId="2438" priority="2284" operator="lessThan">
      <formula>0</formula>
    </cfRule>
  </conditionalFormatting>
  <conditionalFormatting sqref="AQ7">
    <cfRule type="cellIs" dxfId="2437" priority="2283" operator="lessThan">
      <formula>0</formula>
    </cfRule>
  </conditionalFormatting>
  <conditionalFormatting sqref="AQ7">
    <cfRule type="cellIs" dxfId="2436" priority="2282" operator="lessThan">
      <formula>0</formula>
    </cfRule>
  </conditionalFormatting>
  <conditionalFormatting sqref="AQ7">
    <cfRule type="cellIs" dxfId="2435" priority="2281" operator="lessThan">
      <formula>0</formula>
    </cfRule>
  </conditionalFormatting>
  <conditionalFormatting sqref="AQ7">
    <cfRule type="cellIs" dxfId="2434" priority="2280" operator="lessThan">
      <formula>0</formula>
    </cfRule>
  </conditionalFormatting>
  <conditionalFormatting sqref="AQ7">
    <cfRule type="cellIs" dxfId="2433" priority="2279" operator="lessThan">
      <formula>0</formula>
    </cfRule>
  </conditionalFormatting>
  <conditionalFormatting sqref="AQ7">
    <cfRule type="cellIs" dxfId="2432" priority="2278" operator="lessThan">
      <formula>0</formula>
    </cfRule>
  </conditionalFormatting>
  <conditionalFormatting sqref="AQ7">
    <cfRule type="cellIs" dxfId="2431" priority="2277" operator="lessThan">
      <formula>0</formula>
    </cfRule>
  </conditionalFormatting>
  <conditionalFormatting sqref="AQ7">
    <cfRule type="cellIs" dxfId="2430" priority="2276" operator="lessThan">
      <formula>0</formula>
    </cfRule>
  </conditionalFormatting>
  <conditionalFormatting sqref="AQ7">
    <cfRule type="cellIs" dxfId="2429" priority="2275" operator="lessThan">
      <formula>0</formula>
    </cfRule>
  </conditionalFormatting>
  <conditionalFormatting sqref="AQ7">
    <cfRule type="cellIs" dxfId="2428" priority="2274" operator="lessThan">
      <formula>0</formula>
    </cfRule>
  </conditionalFormatting>
  <conditionalFormatting sqref="AQ7">
    <cfRule type="cellIs" dxfId="2427" priority="2273" operator="lessThan">
      <formula>0</formula>
    </cfRule>
  </conditionalFormatting>
  <conditionalFormatting sqref="AQ7">
    <cfRule type="cellIs" dxfId="2426" priority="2272" operator="lessThan">
      <formula>0</formula>
    </cfRule>
  </conditionalFormatting>
  <conditionalFormatting sqref="AQ7">
    <cfRule type="cellIs" dxfId="2425" priority="2271" operator="lessThan">
      <formula>0</formula>
    </cfRule>
  </conditionalFormatting>
  <conditionalFormatting sqref="AQ7">
    <cfRule type="cellIs" dxfId="2424" priority="2270" operator="lessThan">
      <formula>0</formula>
    </cfRule>
  </conditionalFormatting>
  <conditionalFormatting sqref="AQ7">
    <cfRule type="cellIs" dxfId="2423" priority="2269" operator="lessThan">
      <formula>0</formula>
    </cfRule>
  </conditionalFormatting>
  <conditionalFormatting sqref="AQ7">
    <cfRule type="cellIs" dxfId="2422" priority="2268" operator="lessThan">
      <formula>0</formula>
    </cfRule>
  </conditionalFormatting>
  <conditionalFormatting sqref="AQ7">
    <cfRule type="cellIs" dxfId="2421" priority="2267" operator="lessThan">
      <formula>0</formula>
    </cfRule>
  </conditionalFormatting>
  <conditionalFormatting sqref="AQ7">
    <cfRule type="cellIs" dxfId="2420" priority="2266" operator="lessThan">
      <formula>0</formula>
    </cfRule>
  </conditionalFormatting>
  <conditionalFormatting sqref="AQ7">
    <cfRule type="cellIs" dxfId="2419" priority="2265" operator="lessThan">
      <formula>0</formula>
    </cfRule>
  </conditionalFormatting>
  <conditionalFormatting sqref="AQ7">
    <cfRule type="cellIs" dxfId="2418" priority="2264" operator="lessThan">
      <formula>0</formula>
    </cfRule>
  </conditionalFormatting>
  <conditionalFormatting sqref="AQ7">
    <cfRule type="cellIs" dxfId="2417" priority="2263" operator="lessThan">
      <formula>0</formula>
    </cfRule>
  </conditionalFormatting>
  <conditionalFormatting sqref="AQ7">
    <cfRule type="cellIs" dxfId="2416" priority="2262" operator="lessThan">
      <formula>0</formula>
    </cfRule>
  </conditionalFormatting>
  <conditionalFormatting sqref="AQ7">
    <cfRule type="cellIs" dxfId="2415" priority="2261" operator="lessThan">
      <formula>0</formula>
    </cfRule>
  </conditionalFormatting>
  <conditionalFormatting sqref="AQ7">
    <cfRule type="cellIs" dxfId="2414" priority="2260" operator="lessThan">
      <formula>0</formula>
    </cfRule>
  </conditionalFormatting>
  <conditionalFormatting sqref="AQ7">
    <cfRule type="cellIs" dxfId="2413" priority="2259" operator="lessThan">
      <formula>0</formula>
    </cfRule>
  </conditionalFormatting>
  <conditionalFormatting sqref="AQ7">
    <cfRule type="cellIs" dxfId="2412" priority="2258" operator="lessThan">
      <formula>0</formula>
    </cfRule>
  </conditionalFormatting>
  <conditionalFormatting sqref="AQ7">
    <cfRule type="cellIs" dxfId="2411" priority="2257" operator="lessThan">
      <formula>0</formula>
    </cfRule>
  </conditionalFormatting>
  <conditionalFormatting sqref="AQ7">
    <cfRule type="cellIs" dxfId="2410" priority="2256" operator="lessThan">
      <formula>0</formula>
    </cfRule>
  </conditionalFormatting>
  <conditionalFormatting sqref="AQ7">
    <cfRule type="cellIs" dxfId="2409" priority="2255" operator="lessThan">
      <formula>0</formula>
    </cfRule>
  </conditionalFormatting>
  <conditionalFormatting sqref="AQ7">
    <cfRule type="cellIs" dxfId="2408" priority="2254" operator="lessThan">
      <formula>0</formula>
    </cfRule>
  </conditionalFormatting>
  <conditionalFormatting sqref="AQ7">
    <cfRule type="cellIs" dxfId="2407" priority="2253" operator="lessThan">
      <formula>0</formula>
    </cfRule>
  </conditionalFormatting>
  <conditionalFormatting sqref="AQ7">
    <cfRule type="cellIs" dxfId="2406" priority="2252" operator="lessThan">
      <formula>0</formula>
    </cfRule>
  </conditionalFormatting>
  <conditionalFormatting sqref="AQ7">
    <cfRule type="cellIs" dxfId="2405" priority="2236" operator="lessThan">
      <formula>0</formula>
    </cfRule>
  </conditionalFormatting>
  <conditionalFormatting sqref="AQ7">
    <cfRule type="cellIs" dxfId="2404" priority="2251" operator="lessThan">
      <formula>0</formula>
    </cfRule>
  </conditionalFormatting>
  <conditionalFormatting sqref="AQ7">
    <cfRule type="cellIs" dxfId="2403" priority="2250" operator="lessThan">
      <formula>0</formula>
    </cfRule>
  </conditionalFormatting>
  <conditionalFormatting sqref="AQ7">
    <cfRule type="cellIs" dxfId="2402" priority="2249" operator="lessThan">
      <formula>0</formula>
    </cfRule>
  </conditionalFormatting>
  <conditionalFormatting sqref="AQ7">
    <cfRule type="cellIs" dxfId="2401" priority="2248" operator="lessThan">
      <formula>0</formula>
    </cfRule>
  </conditionalFormatting>
  <conditionalFormatting sqref="AQ7">
    <cfRule type="cellIs" dxfId="2400" priority="2247" operator="lessThan">
      <formula>0</formula>
    </cfRule>
  </conditionalFormatting>
  <conditionalFormatting sqref="AQ7">
    <cfRule type="cellIs" dxfId="2399" priority="2246" operator="lessThan">
      <formula>0</formula>
    </cfRule>
  </conditionalFormatting>
  <conditionalFormatting sqref="AQ7">
    <cfRule type="cellIs" dxfId="2398" priority="2245" operator="lessThan">
      <formula>0</formula>
    </cfRule>
  </conditionalFormatting>
  <conditionalFormatting sqref="AQ7">
    <cfRule type="cellIs" dxfId="2397" priority="2244" operator="lessThan">
      <formula>0</formula>
    </cfRule>
  </conditionalFormatting>
  <conditionalFormatting sqref="AQ7">
    <cfRule type="cellIs" dxfId="2396" priority="2243" operator="lessThan">
      <formula>0</formula>
    </cfRule>
  </conditionalFormatting>
  <conditionalFormatting sqref="AQ7">
    <cfRule type="cellIs" dxfId="2395" priority="2242" operator="lessThan">
      <formula>0</formula>
    </cfRule>
  </conditionalFormatting>
  <conditionalFormatting sqref="AQ7">
    <cfRule type="cellIs" dxfId="2394" priority="2241" operator="lessThan">
      <formula>0</formula>
    </cfRule>
  </conditionalFormatting>
  <conditionalFormatting sqref="AQ7">
    <cfRule type="cellIs" dxfId="2393" priority="2240" operator="lessThan">
      <formula>0</formula>
    </cfRule>
  </conditionalFormatting>
  <conditionalFormatting sqref="AQ7">
    <cfRule type="cellIs" dxfId="2392" priority="2239" operator="lessThan">
      <formula>0</formula>
    </cfRule>
  </conditionalFormatting>
  <conditionalFormatting sqref="AQ7">
    <cfRule type="cellIs" dxfId="2391" priority="2238" operator="lessThan">
      <formula>0</formula>
    </cfRule>
  </conditionalFormatting>
  <conditionalFormatting sqref="AQ7">
    <cfRule type="cellIs" dxfId="2390" priority="2237" operator="lessThan">
      <formula>0</formula>
    </cfRule>
  </conditionalFormatting>
  <conditionalFormatting sqref="AQ14">
    <cfRule type="cellIs" dxfId="2389" priority="2235" operator="lessThan">
      <formula>0</formula>
    </cfRule>
  </conditionalFormatting>
  <conditionalFormatting sqref="AQ14">
    <cfRule type="cellIs" dxfId="2388" priority="2234" operator="lessThan">
      <formula>0</formula>
    </cfRule>
  </conditionalFormatting>
  <conditionalFormatting sqref="AQ16:AQ17">
    <cfRule type="cellIs" dxfId="2387" priority="2233" operator="lessThan">
      <formula>0</formula>
    </cfRule>
  </conditionalFormatting>
  <conditionalFormatting sqref="AQ16:AQ17">
    <cfRule type="cellIs" dxfId="2386" priority="2232" operator="lessThan">
      <formula>0</formula>
    </cfRule>
  </conditionalFormatting>
  <conditionalFormatting sqref="AQ16:AQ17">
    <cfRule type="cellIs" dxfId="2385" priority="2231" operator="lessThan">
      <formula>0</formula>
    </cfRule>
  </conditionalFormatting>
  <conditionalFormatting sqref="AQ16:AQ17">
    <cfRule type="cellIs" dxfId="2384" priority="2230" operator="lessThan">
      <formula>0</formula>
    </cfRule>
  </conditionalFormatting>
  <conditionalFormatting sqref="AQ16:AQ17">
    <cfRule type="cellIs" dxfId="2383" priority="2229" operator="lessThan">
      <formula>0</formula>
    </cfRule>
  </conditionalFormatting>
  <conditionalFormatting sqref="AQ16:AQ17">
    <cfRule type="cellIs" dxfId="2382" priority="2228" operator="lessThan">
      <formula>0</formula>
    </cfRule>
  </conditionalFormatting>
  <conditionalFormatting sqref="AQ16:AQ17">
    <cfRule type="cellIs" dxfId="2381" priority="2227" operator="lessThan">
      <formula>0</formula>
    </cfRule>
  </conditionalFormatting>
  <conditionalFormatting sqref="AQ16:AQ17">
    <cfRule type="cellIs" dxfId="2380" priority="2226" operator="lessThan">
      <formula>0</formula>
    </cfRule>
  </conditionalFormatting>
  <conditionalFormatting sqref="AQ14">
    <cfRule type="cellIs" dxfId="2379" priority="2225" operator="lessThan">
      <formula>0</formula>
    </cfRule>
  </conditionalFormatting>
  <conditionalFormatting sqref="AQ14 AQ16:AQ17">
    <cfRule type="cellIs" dxfId="2378" priority="2224" operator="lessThan">
      <formula>0</formula>
    </cfRule>
  </conditionalFormatting>
  <conditionalFormatting sqref="AQ14 AQ16:AQ17">
    <cfRule type="cellIs" dxfId="2377" priority="2223" operator="lessThan">
      <formula>0</formula>
    </cfRule>
  </conditionalFormatting>
  <conditionalFormatting sqref="AQ14 AQ16:AQ17">
    <cfRule type="cellIs" dxfId="2376" priority="2222" operator="lessThan">
      <formula>0</formula>
    </cfRule>
  </conditionalFormatting>
  <conditionalFormatting sqref="AQ14 AQ16:AQ17">
    <cfRule type="cellIs" dxfId="2375" priority="2221" operator="lessThan">
      <formula>0</formula>
    </cfRule>
  </conditionalFormatting>
  <conditionalFormatting sqref="AQ16:AQ17">
    <cfRule type="cellIs" dxfId="2374" priority="2220" operator="lessThan">
      <formula>0</formula>
    </cfRule>
  </conditionalFormatting>
  <conditionalFormatting sqref="AQ16:AQ17">
    <cfRule type="cellIs" dxfId="2373" priority="2219" operator="lessThan">
      <formula>0</formula>
    </cfRule>
  </conditionalFormatting>
  <conditionalFormatting sqref="AQ16:AQ17">
    <cfRule type="cellIs" dxfId="2372" priority="2218" operator="lessThan">
      <formula>0</formula>
    </cfRule>
  </conditionalFormatting>
  <conditionalFormatting sqref="AQ16:AQ17">
    <cfRule type="cellIs" dxfId="2371" priority="2217" operator="lessThan">
      <formula>0</formula>
    </cfRule>
  </conditionalFormatting>
  <conditionalFormatting sqref="AQ15">
    <cfRule type="cellIs" dxfId="2370" priority="2216" operator="lessThan">
      <formula>0</formula>
    </cfRule>
  </conditionalFormatting>
  <conditionalFormatting sqref="AQ15">
    <cfRule type="cellIs" dxfId="2369" priority="2215" operator="lessThan">
      <formula>0</formula>
    </cfRule>
  </conditionalFormatting>
  <conditionalFormatting sqref="AQ15">
    <cfRule type="cellIs" dxfId="2368" priority="2214" operator="lessThan">
      <formula>0</formula>
    </cfRule>
  </conditionalFormatting>
  <conditionalFormatting sqref="AQ15">
    <cfRule type="cellIs" dxfId="2367" priority="2213" operator="lessThan">
      <formula>0</formula>
    </cfRule>
  </conditionalFormatting>
  <conditionalFormatting sqref="AQ15">
    <cfRule type="cellIs" dxfId="2366" priority="2212" operator="lessThan">
      <formula>0</formula>
    </cfRule>
  </conditionalFormatting>
  <conditionalFormatting sqref="AQ15">
    <cfRule type="cellIs" dxfId="2365" priority="2211" operator="lessThan">
      <formula>0</formula>
    </cfRule>
  </conditionalFormatting>
  <conditionalFormatting sqref="AQ15">
    <cfRule type="cellIs" dxfId="2364" priority="2210" operator="lessThan">
      <formula>0</formula>
    </cfRule>
  </conditionalFormatting>
  <conditionalFormatting sqref="AQ15">
    <cfRule type="cellIs" dxfId="2363" priority="2209" operator="lessThan">
      <formula>0</formula>
    </cfRule>
  </conditionalFormatting>
  <conditionalFormatting sqref="AQ15">
    <cfRule type="cellIs" dxfId="2362" priority="2208" operator="lessThan">
      <formula>0</formula>
    </cfRule>
  </conditionalFormatting>
  <conditionalFormatting sqref="AQ15">
    <cfRule type="cellIs" dxfId="2361" priority="2207" operator="lessThan">
      <formula>0</formula>
    </cfRule>
  </conditionalFormatting>
  <conditionalFormatting sqref="AQ15">
    <cfRule type="cellIs" dxfId="2360" priority="2206" operator="lessThan">
      <formula>0</formula>
    </cfRule>
  </conditionalFormatting>
  <conditionalFormatting sqref="AQ15">
    <cfRule type="cellIs" dxfId="2359" priority="2205" operator="lessThan">
      <formula>0</formula>
    </cfRule>
  </conditionalFormatting>
  <conditionalFormatting sqref="AQ15">
    <cfRule type="cellIs" dxfId="2358" priority="2204" operator="lessThan">
      <formula>0</formula>
    </cfRule>
  </conditionalFormatting>
  <conditionalFormatting sqref="AQ15">
    <cfRule type="cellIs" dxfId="2357" priority="2203" operator="lessThan">
      <formula>0</formula>
    </cfRule>
  </conditionalFormatting>
  <conditionalFormatting sqref="AQ15">
    <cfRule type="cellIs" dxfId="2356" priority="2202" operator="lessThan">
      <formula>0</formula>
    </cfRule>
  </conditionalFormatting>
  <conditionalFormatting sqref="AQ15">
    <cfRule type="cellIs" dxfId="2355" priority="2201" operator="lessThan">
      <formula>0</formula>
    </cfRule>
  </conditionalFormatting>
  <conditionalFormatting sqref="AQ15">
    <cfRule type="cellIs" dxfId="2354" priority="2200" operator="lessThan">
      <formula>0</formula>
    </cfRule>
  </conditionalFormatting>
  <conditionalFormatting sqref="AQ15">
    <cfRule type="cellIs" dxfId="2353" priority="2199" operator="lessThan">
      <formula>0</formula>
    </cfRule>
  </conditionalFormatting>
  <conditionalFormatting sqref="AQ15">
    <cfRule type="cellIs" dxfId="2352" priority="2198" operator="lessThan">
      <formula>0</formula>
    </cfRule>
  </conditionalFormatting>
  <conditionalFormatting sqref="AQ15">
    <cfRule type="cellIs" dxfId="2351" priority="2197" operator="lessThan">
      <formula>0</formula>
    </cfRule>
  </conditionalFormatting>
  <conditionalFormatting sqref="AQ15">
    <cfRule type="cellIs" dxfId="2350" priority="2196" operator="lessThan">
      <formula>0</formula>
    </cfRule>
  </conditionalFormatting>
  <conditionalFormatting sqref="AQ15">
    <cfRule type="cellIs" dxfId="2349" priority="2195" operator="lessThan">
      <formula>0</formula>
    </cfRule>
  </conditionalFormatting>
  <conditionalFormatting sqref="AQ15">
    <cfRule type="cellIs" dxfId="2348" priority="2194" operator="lessThan">
      <formula>0</formula>
    </cfRule>
  </conditionalFormatting>
  <conditionalFormatting sqref="AQ15">
    <cfRule type="cellIs" dxfId="2347" priority="2193" operator="lessThan">
      <formula>0</formula>
    </cfRule>
  </conditionalFormatting>
  <conditionalFormatting sqref="AQ15">
    <cfRule type="cellIs" dxfId="2346" priority="2192" operator="lessThan">
      <formula>0</formula>
    </cfRule>
  </conditionalFormatting>
  <conditionalFormatting sqref="AQ15">
    <cfRule type="cellIs" dxfId="2345" priority="2191" operator="lessThan">
      <formula>0</formula>
    </cfRule>
  </conditionalFormatting>
  <conditionalFormatting sqref="AQ15">
    <cfRule type="cellIs" dxfId="2344" priority="2190" operator="lessThan">
      <formula>0</formula>
    </cfRule>
  </conditionalFormatting>
  <conditionalFormatting sqref="AQ15">
    <cfRule type="cellIs" dxfId="2343" priority="2189" operator="lessThan">
      <formula>0</formula>
    </cfRule>
  </conditionalFormatting>
  <conditionalFormatting sqref="AQ15">
    <cfRule type="cellIs" dxfId="2342" priority="2188" operator="lessThan">
      <formula>0</formula>
    </cfRule>
  </conditionalFormatting>
  <conditionalFormatting sqref="AQ15">
    <cfRule type="cellIs" dxfId="2341" priority="2187" operator="lessThan">
      <formula>0</formula>
    </cfRule>
  </conditionalFormatting>
  <conditionalFormatting sqref="AQ15">
    <cfRule type="cellIs" dxfId="2340" priority="2186" operator="lessThan">
      <formula>0</formula>
    </cfRule>
  </conditionalFormatting>
  <conditionalFormatting sqref="AQ15">
    <cfRule type="cellIs" dxfId="2339" priority="2185" operator="lessThan">
      <formula>0</formula>
    </cfRule>
  </conditionalFormatting>
  <conditionalFormatting sqref="AQ15">
    <cfRule type="cellIs" dxfId="2338" priority="2184" operator="lessThan">
      <formula>0</formula>
    </cfRule>
  </conditionalFormatting>
  <conditionalFormatting sqref="AQ15">
    <cfRule type="cellIs" dxfId="2337" priority="2183" operator="lessThan">
      <formula>0</formula>
    </cfRule>
  </conditionalFormatting>
  <conditionalFormatting sqref="AQ15">
    <cfRule type="cellIs" dxfId="2336" priority="2182" operator="lessThan">
      <formula>0</formula>
    </cfRule>
  </conditionalFormatting>
  <conditionalFormatting sqref="AQ15">
    <cfRule type="cellIs" dxfId="2335" priority="2181" operator="lessThan">
      <formula>0</formula>
    </cfRule>
  </conditionalFormatting>
  <conditionalFormatting sqref="AQ15">
    <cfRule type="cellIs" dxfId="2334" priority="2180" operator="lessThan">
      <formula>0</formula>
    </cfRule>
  </conditionalFormatting>
  <conditionalFormatting sqref="AQ15">
    <cfRule type="cellIs" dxfId="2333" priority="2179" operator="lessThan">
      <formula>0</formula>
    </cfRule>
  </conditionalFormatting>
  <conditionalFormatting sqref="AQ15">
    <cfRule type="cellIs" dxfId="2332" priority="2178" operator="lessThan">
      <formula>0</formula>
    </cfRule>
  </conditionalFormatting>
  <conditionalFormatting sqref="AQ15">
    <cfRule type="cellIs" dxfId="2331" priority="2177" operator="lessThan">
      <formula>0</formula>
    </cfRule>
  </conditionalFormatting>
  <conditionalFormatting sqref="AQ15">
    <cfRule type="cellIs" dxfId="2330" priority="2176" operator="lessThan">
      <formula>0</formula>
    </cfRule>
  </conditionalFormatting>
  <conditionalFormatting sqref="AQ15">
    <cfRule type="cellIs" dxfId="2329" priority="2175" operator="lessThan">
      <formula>0</formula>
    </cfRule>
  </conditionalFormatting>
  <conditionalFormatting sqref="AQ15">
    <cfRule type="cellIs" dxfId="2328" priority="2174" operator="lessThan">
      <formula>0</formula>
    </cfRule>
  </conditionalFormatting>
  <conditionalFormatting sqref="AQ15">
    <cfRule type="cellIs" dxfId="2327" priority="2173" operator="lessThan">
      <formula>0</formula>
    </cfRule>
  </conditionalFormatting>
  <conditionalFormatting sqref="AQ15">
    <cfRule type="cellIs" dxfId="2326" priority="2172" operator="lessThan">
      <formula>0</formula>
    </cfRule>
  </conditionalFormatting>
  <conditionalFormatting sqref="AQ15">
    <cfRule type="cellIs" dxfId="2325" priority="2171" operator="lessThan">
      <formula>0</formula>
    </cfRule>
  </conditionalFormatting>
  <conditionalFormatting sqref="AQ15">
    <cfRule type="cellIs" dxfId="2324" priority="2170" operator="lessThan">
      <formula>0</formula>
    </cfRule>
  </conditionalFormatting>
  <conditionalFormatting sqref="AQ15">
    <cfRule type="cellIs" dxfId="2323" priority="2169" operator="lessThan">
      <formula>0</formula>
    </cfRule>
  </conditionalFormatting>
  <conditionalFormatting sqref="AQ15">
    <cfRule type="cellIs" dxfId="2322" priority="2168" operator="lessThan">
      <formula>0</formula>
    </cfRule>
  </conditionalFormatting>
  <conditionalFormatting sqref="AQ15">
    <cfRule type="cellIs" dxfId="2321" priority="2167" operator="lessThan">
      <formula>0</formula>
    </cfRule>
  </conditionalFormatting>
  <conditionalFormatting sqref="AQ15">
    <cfRule type="cellIs" dxfId="2320" priority="2166" operator="lessThan">
      <formula>0</formula>
    </cfRule>
  </conditionalFormatting>
  <conditionalFormatting sqref="AQ15">
    <cfRule type="cellIs" dxfId="2319" priority="2165" operator="lessThan">
      <formula>0</formula>
    </cfRule>
  </conditionalFormatting>
  <conditionalFormatting sqref="AQ15">
    <cfRule type="cellIs" dxfId="2318" priority="2164" operator="lessThan">
      <formula>0</formula>
    </cfRule>
  </conditionalFormatting>
  <conditionalFormatting sqref="AQ15">
    <cfRule type="cellIs" dxfId="2317" priority="2163" operator="lessThan">
      <formula>0</formula>
    </cfRule>
  </conditionalFormatting>
  <conditionalFormatting sqref="AQ15">
    <cfRule type="cellIs" dxfId="2316" priority="2162" operator="lessThan">
      <formula>0</formula>
    </cfRule>
  </conditionalFormatting>
  <conditionalFormatting sqref="AQ15">
    <cfRule type="cellIs" dxfId="2315" priority="2161" operator="lessThan">
      <formula>0</formula>
    </cfRule>
  </conditionalFormatting>
  <conditionalFormatting sqref="AQ15">
    <cfRule type="cellIs" dxfId="2314" priority="2160" operator="lessThan">
      <formula>0</formula>
    </cfRule>
  </conditionalFormatting>
  <conditionalFormatting sqref="AQ15">
    <cfRule type="cellIs" dxfId="2313" priority="2159" operator="lessThan">
      <formula>0</formula>
    </cfRule>
  </conditionalFormatting>
  <conditionalFormatting sqref="AQ15">
    <cfRule type="cellIs" dxfId="2312" priority="2158" operator="lessThan">
      <formula>0</formula>
    </cfRule>
  </conditionalFormatting>
  <conditionalFormatting sqref="AQ15">
    <cfRule type="cellIs" dxfId="2311" priority="2157" operator="lessThan">
      <formula>0</formula>
    </cfRule>
  </conditionalFormatting>
  <conditionalFormatting sqref="AQ15">
    <cfRule type="cellIs" dxfId="2310" priority="2156" operator="lessThan">
      <formula>0</formula>
    </cfRule>
  </conditionalFormatting>
  <conditionalFormatting sqref="AQ15">
    <cfRule type="cellIs" dxfId="2309" priority="2155" operator="lessThan">
      <formula>0</formula>
    </cfRule>
  </conditionalFormatting>
  <conditionalFormatting sqref="AQ15">
    <cfRule type="cellIs" dxfId="2308" priority="2154" operator="lessThan">
      <formula>0</formula>
    </cfRule>
  </conditionalFormatting>
  <conditionalFormatting sqref="AQ15">
    <cfRule type="cellIs" dxfId="2307" priority="2153" operator="lessThan">
      <formula>0</formula>
    </cfRule>
  </conditionalFormatting>
  <conditionalFormatting sqref="AQ15">
    <cfRule type="cellIs" dxfId="2306" priority="2152" operator="lessThan">
      <formula>0</formula>
    </cfRule>
  </conditionalFormatting>
  <conditionalFormatting sqref="AQ15">
    <cfRule type="cellIs" dxfId="2305" priority="2151" operator="lessThan">
      <formula>0</formula>
    </cfRule>
  </conditionalFormatting>
  <conditionalFormatting sqref="AQ15">
    <cfRule type="cellIs" dxfId="2304" priority="2150" operator="lessThan">
      <formula>0</formula>
    </cfRule>
  </conditionalFormatting>
  <conditionalFormatting sqref="AQ15">
    <cfRule type="cellIs" dxfId="2303" priority="2149" operator="lessThan">
      <formula>0</formula>
    </cfRule>
  </conditionalFormatting>
  <conditionalFormatting sqref="AQ15">
    <cfRule type="cellIs" dxfId="2302" priority="2148" operator="lessThan">
      <formula>0</formula>
    </cfRule>
  </conditionalFormatting>
  <conditionalFormatting sqref="AQ15">
    <cfRule type="cellIs" dxfId="2301" priority="2147" operator="lessThan">
      <formula>0</formula>
    </cfRule>
  </conditionalFormatting>
  <conditionalFormatting sqref="AQ15">
    <cfRule type="cellIs" dxfId="2300" priority="2146" operator="lessThan">
      <formula>0</formula>
    </cfRule>
  </conditionalFormatting>
  <conditionalFormatting sqref="AQ15">
    <cfRule type="cellIs" dxfId="2299" priority="2145" operator="lessThan">
      <formula>0</formula>
    </cfRule>
  </conditionalFormatting>
  <conditionalFormatting sqref="AQ15">
    <cfRule type="cellIs" dxfId="2298" priority="2144" operator="lessThan">
      <formula>0</formula>
    </cfRule>
  </conditionalFormatting>
  <conditionalFormatting sqref="AQ15">
    <cfRule type="cellIs" dxfId="2297" priority="2143" operator="lessThan">
      <formula>0</formula>
    </cfRule>
  </conditionalFormatting>
  <conditionalFormatting sqref="AQ15">
    <cfRule type="cellIs" dxfId="2296" priority="2142" operator="lessThan">
      <formula>0</formula>
    </cfRule>
  </conditionalFormatting>
  <conditionalFormatting sqref="AQ15">
    <cfRule type="cellIs" dxfId="2295" priority="2141" operator="lessThan">
      <formula>0</formula>
    </cfRule>
  </conditionalFormatting>
  <conditionalFormatting sqref="AQ15">
    <cfRule type="cellIs" dxfId="2294" priority="2140" operator="lessThan">
      <formula>0</formula>
    </cfRule>
  </conditionalFormatting>
  <conditionalFormatting sqref="AQ15">
    <cfRule type="cellIs" dxfId="2293" priority="2139" operator="lessThan">
      <formula>0</formula>
    </cfRule>
  </conditionalFormatting>
  <conditionalFormatting sqref="AQ15">
    <cfRule type="cellIs" dxfId="2292" priority="2138" operator="lessThan">
      <formula>0</formula>
    </cfRule>
  </conditionalFormatting>
  <conditionalFormatting sqref="AQ15">
    <cfRule type="cellIs" dxfId="2291" priority="2137" operator="lessThan">
      <formula>0</formula>
    </cfRule>
  </conditionalFormatting>
  <conditionalFormatting sqref="AQ15">
    <cfRule type="cellIs" dxfId="2290" priority="2121" operator="lessThan">
      <formula>0</formula>
    </cfRule>
  </conditionalFormatting>
  <conditionalFormatting sqref="AQ15">
    <cfRule type="cellIs" dxfId="2289" priority="2136" operator="lessThan">
      <formula>0</formula>
    </cfRule>
  </conditionalFormatting>
  <conditionalFormatting sqref="AQ15">
    <cfRule type="cellIs" dxfId="2288" priority="2135" operator="lessThan">
      <formula>0</formula>
    </cfRule>
  </conditionalFormatting>
  <conditionalFormatting sqref="AQ15">
    <cfRule type="cellIs" dxfId="2287" priority="2134" operator="lessThan">
      <formula>0</formula>
    </cfRule>
  </conditionalFormatting>
  <conditionalFormatting sqref="AQ15">
    <cfRule type="cellIs" dxfId="2286" priority="2133" operator="lessThan">
      <formula>0</formula>
    </cfRule>
  </conditionalFormatting>
  <conditionalFormatting sqref="AQ15">
    <cfRule type="cellIs" dxfId="2285" priority="2132" operator="lessThan">
      <formula>0</formula>
    </cfRule>
  </conditionalFormatting>
  <conditionalFormatting sqref="AQ15">
    <cfRule type="cellIs" dxfId="2284" priority="2131" operator="lessThan">
      <formula>0</formula>
    </cfRule>
  </conditionalFormatting>
  <conditionalFormatting sqref="AQ15">
    <cfRule type="cellIs" dxfId="2283" priority="2130" operator="lessThan">
      <formula>0</formula>
    </cfRule>
  </conditionalFormatting>
  <conditionalFormatting sqref="AQ15">
    <cfRule type="cellIs" dxfId="2282" priority="2129" operator="lessThan">
      <formula>0</formula>
    </cfRule>
  </conditionalFormatting>
  <conditionalFormatting sqref="AQ15">
    <cfRule type="cellIs" dxfId="2281" priority="2128" operator="lessThan">
      <formula>0</formula>
    </cfRule>
  </conditionalFormatting>
  <conditionalFormatting sqref="AQ15">
    <cfRule type="cellIs" dxfId="2280" priority="2127" operator="lessThan">
      <formula>0</formula>
    </cfRule>
  </conditionalFormatting>
  <conditionalFormatting sqref="AQ15">
    <cfRule type="cellIs" dxfId="2279" priority="2126" operator="lessThan">
      <formula>0</formula>
    </cfRule>
  </conditionalFormatting>
  <conditionalFormatting sqref="AQ15">
    <cfRule type="cellIs" dxfId="2278" priority="2125" operator="lessThan">
      <formula>0</formula>
    </cfRule>
  </conditionalFormatting>
  <conditionalFormatting sqref="AQ15">
    <cfRule type="cellIs" dxfId="2277" priority="2124" operator="lessThan">
      <formula>0</formula>
    </cfRule>
  </conditionalFormatting>
  <conditionalFormatting sqref="AQ15">
    <cfRule type="cellIs" dxfId="2276" priority="2123" operator="lessThan">
      <formula>0</formula>
    </cfRule>
  </conditionalFormatting>
  <conditionalFormatting sqref="AQ15">
    <cfRule type="cellIs" dxfId="2275" priority="2122" operator="lessThan">
      <formula>0</formula>
    </cfRule>
  </conditionalFormatting>
  <conditionalFormatting sqref="AQ22 AQ26 AQ30 AQ34 AQ42 AQ46 AQ54 AQ58 AQ70 AQ78">
    <cfRule type="cellIs" dxfId="2274" priority="2120" operator="lessThan">
      <formula>0</formula>
    </cfRule>
  </conditionalFormatting>
  <conditionalFormatting sqref="AQ22 AQ26 AQ30 AQ34 AQ42 AQ46 AQ54 AQ58 AQ70 AQ78">
    <cfRule type="cellIs" dxfId="2273" priority="2119" operator="lessThan">
      <formula>0</formula>
    </cfRule>
  </conditionalFormatting>
  <conditionalFormatting sqref="AQ24:AQ25 AQ28:AQ29 AQ32:AQ33 AQ36:AQ37 AQ44:AQ45 AQ48:AQ49 AQ56:AQ57 AQ60:AQ61 AQ72:AQ73 AQ80:AQ81">
    <cfRule type="cellIs" dxfId="2272" priority="2118" operator="lessThan">
      <formula>0</formula>
    </cfRule>
  </conditionalFormatting>
  <conditionalFormatting sqref="AQ24:AQ25 AQ28:AQ29 AQ32:AQ33 AQ36:AQ37 AQ44:AQ45 AQ48:AQ49 AQ56:AQ57 AQ60:AQ61 AQ72:AQ73 AQ80:AQ81">
    <cfRule type="cellIs" dxfId="2271" priority="2117" operator="lessThan">
      <formula>0</formula>
    </cfRule>
  </conditionalFormatting>
  <conditionalFormatting sqref="AQ24:AQ25 AQ28:AQ29 AQ32:AQ33 AQ36:AQ37 AQ44:AQ45 AQ48:AQ49 AQ56:AQ57 AQ60:AQ61 AQ72:AQ73 AQ80:AQ81">
    <cfRule type="cellIs" dxfId="2270" priority="2116" operator="lessThan">
      <formula>0</formula>
    </cfRule>
  </conditionalFormatting>
  <conditionalFormatting sqref="AQ24:AQ25 AQ28:AQ29 AQ32:AQ33 AQ36:AQ37 AQ44:AQ45 AQ48:AQ49 AQ56:AQ57 AQ60:AQ61 AQ72:AQ73 AQ80:AQ81">
    <cfRule type="cellIs" dxfId="2269" priority="2115" operator="lessThan">
      <formula>0</formula>
    </cfRule>
  </conditionalFormatting>
  <conditionalFormatting sqref="AQ24:AQ25 AQ28:AQ29 AQ32:AQ33 AQ36:AQ37 AQ44:AQ45 AQ48:AQ49 AQ56:AQ57 AQ60:AQ61 AQ72:AQ73 AQ80:AQ81">
    <cfRule type="cellIs" dxfId="2268" priority="2114" operator="lessThan">
      <formula>0</formula>
    </cfRule>
  </conditionalFormatting>
  <conditionalFormatting sqref="AQ24:AQ25 AQ28:AQ29 AQ32:AQ33 AQ36:AQ37 AQ44:AQ45 AQ48:AQ49 AQ56:AQ57 AQ60:AQ61 AQ72:AQ73 AQ80:AQ81">
    <cfRule type="cellIs" dxfId="2267" priority="2113" operator="lessThan">
      <formula>0</formula>
    </cfRule>
  </conditionalFormatting>
  <conditionalFormatting sqref="AQ24:AQ25 AQ28:AQ29 AQ32:AQ33 AQ36:AQ37 AQ44:AQ45 AQ48:AQ49 AQ56:AQ57 AQ60:AQ61 AQ72:AQ73 AQ80:AQ81">
    <cfRule type="cellIs" dxfId="2266" priority="2112" operator="lessThan">
      <formula>0</formula>
    </cfRule>
  </conditionalFormatting>
  <conditionalFormatting sqref="AQ24:AQ25 AQ28:AQ29 AQ32:AQ33 AQ36:AQ37 AQ44:AQ45 AQ48:AQ49 AQ56:AQ57 AQ60:AQ61 AQ72:AQ73 AQ80:AQ81">
    <cfRule type="cellIs" dxfId="2265" priority="2111" operator="lessThan">
      <formula>0</formula>
    </cfRule>
  </conditionalFormatting>
  <conditionalFormatting sqref="AQ22 AQ26 AQ30 AQ34 AQ42 AQ46 AQ54 AQ58 AQ70 AQ78">
    <cfRule type="cellIs" dxfId="2264" priority="2110" operator="lessThan">
      <formula>0</formula>
    </cfRule>
  </conditionalFormatting>
  <conditionalFormatting sqref="AQ24:AQ26 AQ28:AQ30 AQ32:AQ34 AQ36:AQ37 AQ44:AQ46 AQ48:AQ49 AQ56:AQ58 AQ60:AQ61 AQ72:AQ73 AQ80:AQ81 AQ70 AQ78 AQ42">
    <cfRule type="cellIs" dxfId="2263" priority="2109" operator="lessThan">
      <formula>0</formula>
    </cfRule>
  </conditionalFormatting>
  <conditionalFormatting sqref="AQ24:AQ26 AQ28:AQ30 AQ32:AQ34 AQ36:AQ37 AQ44:AQ46 AQ48:AQ49 AQ56:AQ58 AQ60:AQ61 AQ72:AQ73 AQ80:AQ81 AQ70 AQ78 AQ42">
    <cfRule type="cellIs" dxfId="2262" priority="2108" operator="lessThan">
      <formula>0</formula>
    </cfRule>
  </conditionalFormatting>
  <conditionalFormatting sqref="AQ24:AQ26 AQ28:AQ30 AQ32:AQ34 AQ36:AQ37 AQ44:AQ46 AQ48:AQ49 AQ56:AQ58 AQ60:AQ61 AQ72:AQ73 AQ80:AQ81 AQ70 AQ78 AQ42">
    <cfRule type="cellIs" dxfId="2261" priority="2107" operator="lessThan">
      <formula>0</formula>
    </cfRule>
  </conditionalFormatting>
  <conditionalFormatting sqref="AQ24:AQ26 AQ28:AQ30 AQ32:AQ34 AQ36:AQ37 AQ44:AQ46 AQ48:AQ49 AQ56:AQ58 AQ60:AQ61 AQ72:AQ73 AQ80:AQ81 AQ70 AQ78 AQ42">
    <cfRule type="cellIs" dxfId="2260" priority="2106" operator="lessThan">
      <formula>0</formula>
    </cfRule>
  </conditionalFormatting>
  <conditionalFormatting sqref="AQ24:AQ25 AQ28:AQ29 AQ32:AQ33 AQ36:AQ37 AQ44:AQ45 AQ48:AQ49 AQ56:AQ57 AQ60:AQ61 AQ72:AQ73 AQ80:AQ81">
    <cfRule type="cellIs" dxfId="2259" priority="2105" operator="lessThan">
      <formula>0</formula>
    </cfRule>
  </conditionalFormatting>
  <conditionalFormatting sqref="AQ24:AQ25 AQ28:AQ29 AQ32:AQ33 AQ36:AQ37 AQ44:AQ45 AQ48:AQ49 AQ56:AQ57 AQ60:AQ61 AQ72:AQ73 AQ80:AQ81">
    <cfRule type="cellIs" dxfId="2258" priority="2104" operator="lessThan">
      <formula>0</formula>
    </cfRule>
  </conditionalFormatting>
  <conditionalFormatting sqref="AQ24:AQ25 AQ28:AQ29 AQ32:AQ33 AQ36:AQ37 AQ44:AQ45 AQ48:AQ49 AQ56:AQ57 AQ60:AQ61 AQ72:AQ73 AQ80:AQ81">
    <cfRule type="cellIs" dxfId="2257" priority="2103" operator="lessThan">
      <formula>0</formula>
    </cfRule>
  </conditionalFormatting>
  <conditionalFormatting sqref="AQ24:AQ25 AQ28:AQ29 AQ32:AQ33 AQ36:AQ37 AQ44:AQ45 AQ48:AQ49 AQ56:AQ57 AQ60:AQ61 AQ72:AQ73 AQ80:AQ81">
    <cfRule type="cellIs" dxfId="2256" priority="2102" operator="lessThan">
      <formula>0</formula>
    </cfRule>
  </conditionalFormatting>
  <conditionalFormatting sqref="AQ23 AQ35 AQ43 AQ59 AQ71 AQ27 AQ31 AQ55 AQ79 AQ47">
    <cfRule type="cellIs" dxfId="2255" priority="2101" operator="lessThan">
      <formula>0</formula>
    </cfRule>
  </conditionalFormatting>
  <conditionalFormatting sqref="AQ23 AQ35 AQ43 AQ59 AQ71 AQ27 AQ31 AQ55 AQ79 AQ47">
    <cfRule type="cellIs" dxfId="2254" priority="2100" operator="lessThan">
      <formula>0</formula>
    </cfRule>
  </conditionalFormatting>
  <conditionalFormatting sqref="AQ23 AQ35 AQ43 AQ59 AQ71 AQ27 AQ31 AQ55 AQ79 AQ47">
    <cfRule type="cellIs" dxfId="2253" priority="2099" operator="lessThan">
      <formula>0</formula>
    </cfRule>
  </conditionalFormatting>
  <conditionalFormatting sqref="AQ23 AQ35 AQ43 AQ59 AQ71 AQ27 AQ31 AQ55 AQ79 AQ47">
    <cfRule type="cellIs" dxfId="2252" priority="2098" operator="lessThan">
      <formula>0</formula>
    </cfRule>
  </conditionalFormatting>
  <conditionalFormatting sqref="AQ23 AQ35 AQ43 AQ59 AQ71 AQ27 AQ31 AQ55 AQ79 AQ47">
    <cfRule type="cellIs" dxfId="2251" priority="2097" operator="lessThan">
      <formula>0</formula>
    </cfRule>
  </conditionalFormatting>
  <conditionalFormatting sqref="AQ23 AQ35 AQ43 AQ59 AQ71 AQ27 AQ31 AQ55 AQ79 AQ47">
    <cfRule type="cellIs" dxfId="2250" priority="2096" operator="lessThan">
      <formula>0</formula>
    </cfRule>
  </conditionalFormatting>
  <conditionalFormatting sqref="AQ23 AQ35 AQ43 AQ59 AQ71 AQ27 AQ31 AQ55 AQ79 AQ47">
    <cfRule type="cellIs" dxfId="2249" priority="2095" operator="lessThan">
      <formula>0</formula>
    </cfRule>
  </conditionalFormatting>
  <conditionalFormatting sqref="AQ23 AQ35 AQ43 AQ59 AQ71 AQ27 AQ31 AQ55 AQ79 AQ47">
    <cfRule type="cellIs" dxfId="2248" priority="2094" operator="lessThan">
      <formula>0</formula>
    </cfRule>
  </conditionalFormatting>
  <conditionalFormatting sqref="AQ23 AQ35 AQ43 AQ59 AQ71 AQ27 AQ31 AQ55 AQ79 AQ47">
    <cfRule type="cellIs" dxfId="2247" priority="2093" operator="lessThan">
      <formula>0</formula>
    </cfRule>
  </conditionalFormatting>
  <conditionalFormatting sqref="AQ23 AQ35 AQ43 AQ59 AQ71 AQ27 AQ31 AQ55 AQ79 AQ47">
    <cfRule type="cellIs" dxfId="2246" priority="2092" operator="lessThan">
      <formula>0</formula>
    </cfRule>
  </conditionalFormatting>
  <conditionalFormatting sqref="AQ23 AQ35 AQ43 AQ59 AQ71 AQ27 AQ31 AQ55 AQ79 AQ47">
    <cfRule type="cellIs" dxfId="2245" priority="2091" operator="lessThan">
      <formula>0</formula>
    </cfRule>
  </conditionalFormatting>
  <conditionalFormatting sqref="AQ23 AQ35 AQ43 AQ59 AQ71 AQ27 AQ31 AQ55 AQ79 AQ47">
    <cfRule type="cellIs" dxfId="2244" priority="2090" operator="lessThan">
      <formula>0</formula>
    </cfRule>
  </conditionalFormatting>
  <conditionalFormatting sqref="AQ23 AQ35 AQ43 AQ59 AQ71 AQ27 AQ31 AQ55 AQ79 AQ47">
    <cfRule type="cellIs" dxfId="2243" priority="2089" operator="lessThan">
      <formula>0</formula>
    </cfRule>
  </conditionalFormatting>
  <conditionalFormatting sqref="AQ23 AQ35 AQ43 AQ59 AQ71 AQ27 AQ31 AQ55 AQ79 AQ47">
    <cfRule type="cellIs" dxfId="2242" priority="2088" operator="lessThan">
      <formula>0</formula>
    </cfRule>
  </conditionalFormatting>
  <conditionalFormatting sqref="AQ23 AQ35 AQ43 AQ59 AQ71 AQ27 AQ31 AQ55 AQ79 AQ47">
    <cfRule type="cellIs" dxfId="2241" priority="2087" operator="lessThan">
      <formula>0</formula>
    </cfRule>
  </conditionalFormatting>
  <conditionalFormatting sqref="AQ23 AQ35 AQ43 AQ59 AQ71 AQ27 AQ31 AQ55 AQ79 AQ47">
    <cfRule type="cellIs" dxfId="2240" priority="2086" operator="lessThan">
      <formula>0</formula>
    </cfRule>
  </conditionalFormatting>
  <conditionalFormatting sqref="AQ23 AQ35 AQ43 AQ59 AQ71 AQ27 AQ31 AQ55 AQ79 AQ47">
    <cfRule type="cellIs" dxfId="2239" priority="2085" operator="lessThan">
      <formula>0</formula>
    </cfRule>
  </conditionalFormatting>
  <conditionalFormatting sqref="AQ23 AQ35 AQ43 AQ59 AQ71 AQ27 AQ31 AQ55 AQ79 AQ47">
    <cfRule type="cellIs" dxfId="2238" priority="2084" operator="lessThan">
      <formula>0</formula>
    </cfRule>
  </conditionalFormatting>
  <conditionalFormatting sqref="AQ23 AQ35 AQ43 AQ59 AQ71 AQ27 AQ31 AQ55 AQ79 AQ47">
    <cfRule type="cellIs" dxfId="2237" priority="2083" operator="lessThan">
      <formula>0</formula>
    </cfRule>
  </conditionalFormatting>
  <conditionalFormatting sqref="AQ23 AQ35 AQ43 AQ59 AQ71 AQ27 AQ31 AQ55 AQ79 AQ47">
    <cfRule type="cellIs" dxfId="2236" priority="2082" operator="lessThan">
      <formula>0</formula>
    </cfRule>
  </conditionalFormatting>
  <conditionalFormatting sqref="AQ23 AQ35 AQ43 AQ59 AQ71 AQ27 AQ31 AQ55 AQ79 AQ47">
    <cfRule type="cellIs" dxfId="2235" priority="2081" operator="lessThan">
      <formula>0</formula>
    </cfRule>
  </conditionalFormatting>
  <conditionalFormatting sqref="AQ23 AQ35 AQ43 AQ59 AQ71 AQ27 AQ31 AQ55 AQ79 AQ47">
    <cfRule type="cellIs" dxfId="2234" priority="2080" operator="lessThan">
      <formula>0</formula>
    </cfRule>
  </conditionalFormatting>
  <conditionalFormatting sqref="AQ23 AQ35 AQ43 AQ59 AQ71 AQ27 AQ31 AQ55 AQ79 AQ47">
    <cfRule type="cellIs" dxfId="2233" priority="2079" operator="lessThan">
      <formula>0</formula>
    </cfRule>
  </conditionalFormatting>
  <conditionalFormatting sqref="AQ23 AQ35 AQ43 AQ59 AQ71 AQ27 AQ31 AQ55 AQ79 AQ47">
    <cfRule type="cellIs" dxfId="2232" priority="2078" operator="lessThan">
      <formula>0</formula>
    </cfRule>
  </conditionalFormatting>
  <conditionalFormatting sqref="AQ23 AQ35 AQ43 AQ59 AQ71 AQ27 AQ31 AQ55 AQ79 AQ47">
    <cfRule type="cellIs" dxfId="2231" priority="2077" operator="lessThan">
      <formula>0</formula>
    </cfRule>
  </conditionalFormatting>
  <conditionalFormatting sqref="AQ23 AQ35 AQ43 AQ59 AQ71 AQ27 AQ31 AQ55 AQ79 AQ47">
    <cfRule type="cellIs" dxfId="2230" priority="2076" operator="lessThan">
      <formula>0</formula>
    </cfRule>
  </conditionalFormatting>
  <conditionalFormatting sqref="AQ23 AQ35 AQ43 AQ59 AQ71 AQ27 AQ31 AQ55 AQ79 AQ47">
    <cfRule type="cellIs" dxfId="2229" priority="2075" operator="lessThan">
      <formula>0</formula>
    </cfRule>
  </conditionalFormatting>
  <conditionalFormatting sqref="AQ23 AQ35 AQ43 AQ59 AQ71 AQ27 AQ31 AQ55 AQ79 AQ47">
    <cfRule type="cellIs" dxfId="2228" priority="2074" operator="lessThan">
      <formula>0</formula>
    </cfRule>
  </conditionalFormatting>
  <conditionalFormatting sqref="AQ23 AQ35 AQ43 AQ59 AQ71 AQ27 AQ31 AQ55 AQ79 AQ47">
    <cfRule type="cellIs" dxfId="2227" priority="2073" operator="lessThan">
      <formula>0</formula>
    </cfRule>
  </conditionalFormatting>
  <conditionalFormatting sqref="AQ23 AQ35 AQ43 AQ59 AQ71 AQ27 AQ31 AQ55 AQ79 AQ47">
    <cfRule type="cellIs" dxfId="2226" priority="2072" operator="lessThan">
      <formula>0</formula>
    </cfRule>
  </conditionalFormatting>
  <conditionalFormatting sqref="AQ23 AQ35 AQ43 AQ59 AQ71 AQ27 AQ31 AQ55 AQ79 AQ47">
    <cfRule type="cellIs" dxfId="2225" priority="2071" operator="lessThan">
      <formula>0</formula>
    </cfRule>
  </conditionalFormatting>
  <conditionalFormatting sqref="AQ23 AQ35 AQ43 AQ59 AQ71 AQ27 AQ31 AQ55 AQ79 AQ47">
    <cfRule type="cellIs" dxfId="2224" priority="2070" operator="lessThan">
      <formula>0</formula>
    </cfRule>
  </conditionalFormatting>
  <conditionalFormatting sqref="AQ23 AQ35 AQ43 AQ59 AQ71 AQ27 AQ31 AQ55 AQ79 AQ47">
    <cfRule type="cellIs" dxfId="2223" priority="2069" operator="lessThan">
      <formula>0</formula>
    </cfRule>
  </conditionalFormatting>
  <conditionalFormatting sqref="AQ23 AQ35 AQ43 AQ59 AQ71 AQ27 AQ31 AQ55 AQ79 AQ47">
    <cfRule type="cellIs" dxfId="2222" priority="2068" operator="lessThan">
      <formula>0</formula>
    </cfRule>
  </conditionalFormatting>
  <conditionalFormatting sqref="AQ23 AQ35 AQ43 AQ59 AQ71 AQ27 AQ31 AQ55 AQ79 AQ47">
    <cfRule type="cellIs" dxfId="2221" priority="2067" operator="lessThan">
      <formula>0</formula>
    </cfRule>
  </conditionalFormatting>
  <conditionalFormatting sqref="AQ23 AQ35 AQ43 AQ59 AQ71 AQ27 AQ31 AQ55 AQ79 AQ47">
    <cfRule type="cellIs" dxfId="2220" priority="2066" operator="lessThan">
      <formula>0</formula>
    </cfRule>
  </conditionalFormatting>
  <conditionalFormatting sqref="AQ23 AQ35 AQ43 AQ59 AQ71 AQ27 AQ31 AQ55 AQ79 AQ47">
    <cfRule type="cellIs" dxfId="2219" priority="2065" operator="lessThan">
      <formula>0</formula>
    </cfRule>
  </conditionalFormatting>
  <conditionalFormatting sqref="AQ23 AQ35 AQ43 AQ59 AQ71 AQ27 AQ31 AQ55 AQ79 AQ47">
    <cfRule type="cellIs" dxfId="2218" priority="2064" operator="lessThan">
      <formula>0</formula>
    </cfRule>
  </conditionalFormatting>
  <conditionalFormatting sqref="AQ23 AQ35 AQ43 AQ59 AQ71 AQ27 AQ31 AQ55 AQ79 AQ47">
    <cfRule type="cellIs" dxfId="2217" priority="2063" operator="lessThan">
      <formula>0</formula>
    </cfRule>
  </conditionalFormatting>
  <conditionalFormatting sqref="AQ23 AQ35 AQ43 AQ59 AQ71 AQ27 AQ31 AQ55 AQ79 AQ47">
    <cfRule type="cellIs" dxfId="2216" priority="2062" operator="lessThan">
      <formula>0</formula>
    </cfRule>
  </conditionalFormatting>
  <conditionalFormatting sqref="AQ23 AQ35 AQ43 AQ59 AQ71 AQ27 AQ31 AQ55 AQ79 AQ47">
    <cfRule type="cellIs" dxfId="2215" priority="2061" operator="lessThan">
      <formula>0</formula>
    </cfRule>
  </conditionalFormatting>
  <conditionalFormatting sqref="AQ23 AQ35 AQ43 AQ59 AQ71 AQ27 AQ31 AQ55 AQ79 AQ47">
    <cfRule type="cellIs" dxfId="2214" priority="2060" operator="lessThan">
      <formula>0</formula>
    </cfRule>
  </conditionalFormatting>
  <conditionalFormatting sqref="AQ23 AQ35 AQ43 AQ59 AQ71 AQ27 AQ31 AQ55 AQ79 AQ47">
    <cfRule type="cellIs" dxfId="2213" priority="2059" operator="lessThan">
      <formula>0</formula>
    </cfRule>
  </conditionalFormatting>
  <conditionalFormatting sqref="AQ23 AQ35 AQ43 AQ59 AQ71 AQ27 AQ31 AQ55 AQ79 AQ47">
    <cfRule type="cellIs" dxfId="2212" priority="2058" operator="lessThan">
      <formula>0</formula>
    </cfRule>
  </conditionalFormatting>
  <conditionalFormatting sqref="AQ23 AQ35 AQ43 AQ59 AQ71 AQ27 AQ31 AQ55 AQ79 AQ47">
    <cfRule type="cellIs" dxfId="2211" priority="2057" operator="lessThan">
      <formula>0</formula>
    </cfRule>
  </conditionalFormatting>
  <conditionalFormatting sqref="AQ23 AQ35 AQ43 AQ59 AQ71 AQ27 AQ31 AQ55 AQ79 AQ47">
    <cfRule type="cellIs" dxfId="2210" priority="2056" operator="lessThan">
      <formula>0</formula>
    </cfRule>
  </conditionalFormatting>
  <conditionalFormatting sqref="AQ23 AQ35 AQ43 AQ59 AQ71 AQ27 AQ31 AQ55 AQ79 AQ47">
    <cfRule type="cellIs" dxfId="2209" priority="2055" operator="lessThan">
      <formula>0</formula>
    </cfRule>
  </conditionalFormatting>
  <conditionalFormatting sqref="AQ23 AQ35 AQ43 AQ59 AQ71 AQ27 AQ31 AQ55 AQ79 AQ47">
    <cfRule type="cellIs" dxfId="2208" priority="2054" operator="lessThan">
      <formula>0</formula>
    </cfRule>
  </conditionalFormatting>
  <conditionalFormatting sqref="AQ23 AQ35 AQ43 AQ59 AQ71 AQ27 AQ31 AQ55 AQ79 AQ47">
    <cfRule type="cellIs" dxfId="2207" priority="2053" operator="lessThan">
      <formula>0</formula>
    </cfRule>
  </conditionalFormatting>
  <conditionalFormatting sqref="AQ23 AQ35 AQ43 AQ59 AQ71 AQ27 AQ31 AQ55 AQ79 AQ47">
    <cfRule type="cellIs" dxfId="2206" priority="2052" operator="lessThan">
      <formula>0</formula>
    </cfRule>
  </conditionalFormatting>
  <conditionalFormatting sqref="AQ23 AQ35 AQ43 AQ59 AQ71 AQ27 AQ31 AQ55 AQ79 AQ47">
    <cfRule type="cellIs" dxfId="2205" priority="2051" operator="lessThan">
      <formula>0</formula>
    </cfRule>
  </conditionalFormatting>
  <conditionalFormatting sqref="AQ23 AQ35 AQ43 AQ59 AQ71 AQ27 AQ31 AQ55 AQ79 AQ47">
    <cfRule type="cellIs" dxfId="2204" priority="2050" operator="lessThan">
      <formula>0</formula>
    </cfRule>
  </conditionalFormatting>
  <conditionalFormatting sqref="AQ23 AQ35 AQ43 AQ59 AQ71 AQ27 AQ31 AQ55 AQ79 AQ47">
    <cfRule type="cellIs" dxfId="2203" priority="2049" operator="lessThan">
      <formula>0</formula>
    </cfRule>
  </conditionalFormatting>
  <conditionalFormatting sqref="AQ23 AQ35 AQ43 AQ59 AQ71 AQ27 AQ31 AQ55 AQ79 AQ47">
    <cfRule type="cellIs" dxfId="2202" priority="2048" operator="lessThan">
      <formula>0</formula>
    </cfRule>
  </conditionalFormatting>
  <conditionalFormatting sqref="AQ23 AQ35 AQ43 AQ59 AQ71 AQ27 AQ31 AQ55 AQ79 AQ47">
    <cfRule type="cellIs" dxfId="2201" priority="2047" operator="lessThan">
      <formula>0</formula>
    </cfRule>
  </conditionalFormatting>
  <conditionalFormatting sqref="AQ23 AQ35 AQ43 AQ59 AQ71 AQ27 AQ31 AQ55 AQ79 AQ47">
    <cfRule type="cellIs" dxfId="2200" priority="2046" operator="lessThan">
      <formula>0</formula>
    </cfRule>
  </conditionalFormatting>
  <conditionalFormatting sqref="AQ23 AQ35 AQ43 AQ59 AQ71 AQ27 AQ31 AQ55 AQ79 AQ47">
    <cfRule type="cellIs" dxfId="2199" priority="2045" operator="lessThan">
      <formula>0</formula>
    </cfRule>
  </conditionalFormatting>
  <conditionalFormatting sqref="AQ23 AQ35 AQ43 AQ59 AQ71 AQ27 AQ31 AQ55 AQ79 AQ47">
    <cfRule type="cellIs" dxfId="2198" priority="2044" operator="lessThan">
      <formula>0</formula>
    </cfRule>
  </conditionalFormatting>
  <conditionalFormatting sqref="AQ23 AQ35 AQ43 AQ59 AQ71 AQ27 AQ31 AQ55 AQ79 AQ47">
    <cfRule type="cellIs" dxfId="2197" priority="2043" operator="lessThan">
      <formula>0</formula>
    </cfRule>
  </conditionalFormatting>
  <conditionalFormatting sqref="AQ23 AQ35 AQ43 AQ59 AQ71 AQ27 AQ31 AQ55 AQ79 AQ47">
    <cfRule type="cellIs" dxfId="2196" priority="2042" operator="lessThan">
      <formula>0</formula>
    </cfRule>
  </conditionalFormatting>
  <conditionalFormatting sqref="AQ23 AQ35 AQ43 AQ59 AQ71 AQ27 AQ31 AQ55 AQ79 AQ47">
    <cfRule type="cellIs" dxfId="2195" priority="2041" operator="lessThan">
      <formula>0</formula>
    </cfRule>
  </conditionalFormatting>
  <conditionalFormatting sqref="AQ23 AQ35 AQ43 AQ59 AQ71 AQ27 AQ31 AQ55 AQ79 AQ47">
    <cfRule type="cellIs" dxfId="2194" priority="2040" operator="lessThan">
      <formula>0</formula>
    </cfRule>
  </conditionalFormatting>
  <conditionalFormatting sqref="AQ23 AQ35 AQ43 AQ59 AQ71 AQ27 AQ31 AQ55 AQ79 AQ47">
    <cfRule type="cellIs" dxfId="2193" priority="2039" operator="lessThan">
      <formula>0</formula>
    </cfRule>
  </conditionalFormatting>
  <conditionalFormatting sqref="AQ23 AQ35 AQ43 AQ59 AQ71 AQ27 AQ31 AQ55 AQ79 AQ47">
    <cfRule type="cellIs" dxfId="2192" priority="2038" operator="lessThan">
      <formula>0</formula>
    </cfRule>
  </conditionalFormatting>
  <conditionalFormatting sqref="AQ23 AQ35 AQ43 AQ59 AQ71 AQ27 AQ31 AQ55 AQ79 AQ47">
    <cfRule type="cellIs" dxfId="2191" priority="2037" operator="lessThan">
      <formula>0</formula>
    </cfRule>
  </conditionalFormatting>
  <conditionalFormatting sqref="AQ23 AQ35 AQ43 AQ59 AQ71 AQ27 AQ31 AQ55 AQ79 AQ47">
    <cfRule type="cellIs" dxfId="2190" priority="2036" operator="lessThan">
      <formula>0</formula>
    </cfRule>
  </conditionalFormatting>
  <conditionalFormatting sqref="AQ23 AQ35 AQ43 AQ59 AQ71 AQ27 AQ31 AQ55 AQ79 AQ47">
    <cfRule type="cellIs" dxfId="2189" priority="2035" operator="lessThan">
      <formula>0</formula>
    </cfRule>
  </conditionalFormatting>
  <conditionalFormatting sqref="AQ23 AQ35 AQ43 AQ59 AQ71 AQ27 AQ31 AQ55 AQ79 AQ47">
    <cfRule type="cellIs" dxfId="2188" priority="2034" operator="lessThan">
      <formula>0</formula>
    </cfRule>
  </conditionalFormatting>
  <conditionalFormatting sqref="AQ23 AQ35 AQ43 AQ59 AQ71 AQ27 AQ31 AQ55 AQ79 AQ47">
    <cfRule type="cellIs" dxfId="2187" priority="2033" operator="lessThan">
      <formula>0</formula>
    </cfRule>
  </conditionalFormatting>
  <conditionalFormatting sqref="AQ23 AQ35 AQ43 AQ59 AQ71 AQ27 AQ31 AQ55 AQ79 AQ47">
    <cfRule type="cellIs" dxfId="2186" priority="2032" operator="lessThan">
      <formula>0</formula>
    </cfRule>
  </conditionalFormatting>
  <conditionalFormatting sqref="AQ23 AQ35 AQ43 AQ59 AQ71 AQ27 AQ31 AQ55 AQ79 AQ47">
    <cfRule type="cellIs" dxfId="2185" priority="2031" operator="lessThan">
      <formula>0</formula>
    </cfRule>
  </conditionalFormatting>
  <conditionalFormatting sqref="AQ23 AQ35 AQ43 AQ59 AQ71 AQ27 AQ31 AQ55 AQ79 AQ47">
    <cfRule type="cellIs" dxfId="2184" priority="2030" operator="lessThan">
      <formula>0</formula>
    </cfRule>
  </conditionalFormatting>
  <conditionalFormatting sqref="AQ23 AQ35 AQ43 AQ59 AQ71 AQ27 AQ31 AQ55 AQ79 AQ47">
    <cfRule type="cellIs" dxfId="2183" priority="2029" operator="lessThan">
      <formula>0</formula>
    </cfRule>
  </conditionalFormatting>
  <conditionalFormatting sqref="AQ23 AQ35 AQ43 AQ59 AQ71 AQ27 AQ31 AQ55 AQ79 AQ47">
    <cfRule type="cellIs" dxfId="2182" priority="2028" operator="lessThan">
      <formula>0</formula>
    </cfRule>
  </conditionalFormatting>
  <conditionalFormatting sqref="AQ23 AQ35 AQ43 AQ59 AQ71 AQ27 AQ31 AQ55 AQ79 AQ47">
    <cfRule type="cellIs" dxfId="2181" priority="2027" operator="lessThan">
      <formula>0</formula>
    </cfRule>
  </conditionalFormatting>
  <conditionalFormatting sqref="AQ23 AQ35 AQ43 AQ59 AQ71 AQ27 AQ31 AQ55 AQ79 AQ47">
    <cfRule type="cellIs" dxfId="2180" priority="2026" operator="lessThan">
      <formula>0</formula>
    </cfRule>
  </conditionalFormatting>
  <conditionalFormatting sqref="AQ23 AQ35 AQ43 AQ59 AQ71 AQ27 AQ31 AQ55 AQ79 AQ47">
    <cfRule type="cellIs" dxfId="2179" priority="2025" operator="lessThan">
      <formula>0</formula>
    </cfRule>
  </conditionalFormatting>
  <conditionalFormatting sqref="AQ23 AQ35 AQ43 AQ59 AQ71 AQ27 AQ31 AQ55 AQ79 AQ47">
    <cfRule type="cellIs" dxfId="2178" priority="2024" operator="lessThan">
      <formula>0</formula>
    </cfRule>
  </conditionalFormatting>
  <conditionalFormatting sqref="AQ23 AQ35 AQ43 AQ59 AQ71 AQ27 AQ31 AQ55 AQ79 AQ47">
    <cfRule type="cellIs" dxfId="2177" priority="2023" operator="lessThan">
      <formula>0</formula>
    </cfRule>
  </conditionalFormatting>
  <conditionalFormatting sqref="AQ23 AQ35 AQ43 AQ59 AQ71 AQ27 AQ31 AQ55 AQ79 AQ47">
    <cfRule type="cellIs" dxfId="2176" priority="2022" operator="lessThan">
      <formula>0</formula>
    </cfRule>
  </conditionalFormatting>
  <conditionalFormatting sqref="AQ23 AQ35 AQ43 AQ59 AQ71 AQ27 AQ31 AQ55 AQ79 AQ47">
    <cfRule type="cellIs" dxfId="2175" priority="2006" operator="lessThan">
      <formula>0</formula>
    </cfRule>
  </conditionalFormatting>
  <conditionalFormatting sqref="AQ23 AQ35 AQ43 AQ59 AQ71 AQ27 AQ31 AQ55 AQ79 AQ47">
    <cfRule type="cellIs" dxfId="2174" priority="2021" operator="lessThan">
      <formula>0</formula>
    </cfRule>
  </conditionalFormatting>
  <conditionalFormatting sqref="AQ23 AQ35 AQ43 AQ59 AQ71 AQ27 AQ31 AQ55 AQ79 AQ47">
    <cfRule type="cellIs" dxfId="2173" priority="2020" operator="lessThan">
      <formula>0</formula>
    </cfRule>
  </conditionalFormatting>
  <conditionalFormatting sqref="AQ23 AQ35 AQ43 AQ59 AQ71 AQ27 AQ31 AQ55 AQ79 AQ47">
    <cfRule type="cellIs" dxfId="2172" priority="2019" operator="lessThan">
      <formula>0</formula>
    </cfRule>
  </conditionalFormatting>
  <conditionalFormatting sqref="AQ23 AQ35 AQ43 AQ59 AQ71 AQ27 AQ31 AQ55 AQ79 AQ47">
    <cfRule type="cellIs" dxfId="2171" priority="2018" operator="lessThan">
      <formula>0</formula>
    </cfRule>
  </conditionalFormatting>
  <conditionalFormatting sqref="AQ23 AQ35 AQ43 AQ59 AQ71 AQ27 AQ31 AQ55 AQ79 AQ47">
    <cfRule type="cellIs" dxfId="2170" priority="2017" operator="lessThan">
      <formula>0</formula>
    </cfRule>
  </conditionalFormatting>
  <conditionalFormatting sqref="AQ23 AQ35 AQ43 AQ59 AQ71 AQ27 AQ31 AQ55 AQ79 AQ47">
    <cfRule type="cellIs" dxfId="2169" priority="2016" operator="lessThan">
      <formula>0</formula>
    </cfRule>
  </conditionalFormatting>
  <conditionalFormatting sqref="AQ23 AQ35 AQ43 AQ59 AQ71 AQ27 AQ31 AQ55 AQ79 AQ47">
    <cfRule type="cellIs" dxfId="2168" priority="2015" operator="lessThan">
      <formula>0</formula>
    </cfRule>
  </conditionalFormatting>
  <conditionalFormatting sqref="AQ23 AQ35 AQ43 AQ59 AQ71 AQ27 AQ31 AQ55 AQ79 AQ47">
    <cfRule type="cellIs" dxfId="2167" priority="2014" operator="lessThan">
      <formula>0</formula>
    </cfRule>
  </conditionalFormatting>
  <conditionalFormatting sqref="AQ23 AQ35 AQ43 AQ59 AQ71 AQ27 AQ31 AQ55 AQ79 AQ47">
    <cfRule type="cellIs" dxfId="2166" priority="2013" operator="lessThan">
      <formula>0</formula>
    </cfRule>
  </conditionalFormatting>
  <conditionalFormatting sqref="AQ23 AQ35 AQ43 AQ59 AQ71 AQ27 AQ31 AQ55 AQ79 AQ47">
    <cfRule type="cellIs" dxfId="2165" priority="2012" operator="lessThan">
      <formula>0</formula>
    </cfRule>
  </conditionalFormatting>
  <conditionalFormatting sqref="AQ23 AQ35 AQ43 AQ59 AQ71 AQ27 AQ31 AQ55 AQ79 AQ47">
    <cfRule type="cellIs" dxfId="2164" priority="2011" operator="lessThan">
      <formula>0</formula>
    </cfRule>
  </conditionalFormatting>
  <conditionalFormatting sqref="AQ23 AQ35 AQ43 AQ59 AQ71 AQ27 AQ31 AQ55 AQ79 AQ47">
    <cfRule type="cellIs" dxfId="2163" priority="2010" operator="lessThan">
      <formula>0</formula>
    </cfRule>
  </conditionalFormatting>
  <conditionalFormatting sqref="AQ23 AQ35 AQ43 AQ59 AQ71 AQ27 AQ31 AQ55 AQ79 AQ47">
    <cfRule type="cellIs" dxfId="2162" priority="2009" operator="lessThan">
      <formula>0</formula>
    </cfRule>
  </conditionalFormatting>
  <conditionalFormatting sqref="AQ23 AQ35 AQ43 AQ59 AQ71 AQ27 AQ31 AQ55 AQ79 AQ47">
    <cfRule type="cellIs" dxfId="2161" priority="2008" operator="lessThan">
      <formula>0</formula>
    </cfRule>
  </conditionalFormatting>
  <conditionalFormatting sqref="AQ23 AQ35 AQ43 AQ59 AQ71 AQ27 AQ31 AQ55 AQ79 AQ47">
    <cfRule type="cellIs" dxfId="2160" priority="2007" operator="lessThan">
      <formula>0</formula>
    </cfRule>
  </conditionalFormatting>
  <conditionalFormatting sqref="AQ18">
    <cfRule type="cellIs" dxfId="2159" priority="2004" operator="lessThan">
      <formula>0</formula>
    </cfRule>
  </conditionalFormatting>
  <conditionalFormatting sqref="AM18:AM21">
    <cfRule type="cellIs" dxfId="2158" priority="2002" operator="notEqual">
      <formula>0</formula>
    </cfRule>
  </conditionalFormatting>
  <conditionalFormatting sqref="I20">
    <cfRule type="cellIs" dxfId="2157" priority="2001" operator="greaterThan">
      <formula>0</formula>
    </cfRule>
  </conditionalFormatting>
  <conditionalFormatting sqref="Y20">
    <cfRule type="cellIs" dxfId="2156" priority="2000" operator="lessThan">
      <formula>0</formula>
    </cfRule>
  </conditionalFormatting>
  <conditionalFormatting sqref="Y18:Y20">
    <cfRule type="cellIs" dxfId="2155" priority="1999" operator="lessThan">
      <formula>0</formula>
    </cfRule>
  </conditionalFormatting>
  <conditionalFormatting sqref="Y21">
    <cfRule type="cellIs" dxfId="2154" priority="1998" operator="lessThan">
      <formula>0</formula>
    </cfRule>
  </conditionalFormatting>
  <conditionalFormatting sqref="Y19">
    <cfRule type="iconSet" priority="2005">
      <iconSet>
        <cfvo type="percent" val="0"/>
        <cfvo type="percent" val="&quot;$I$6&quot;"/>
        <cfvo type="percent" val="#REF!"/>
      </iconSet>
    </cfRule>
  </conditionalFormatting>
  <conditionalFormatting sqref="AQ18">
    <cfRule type="cellIs" dxfId="2153" priority="1997" operator="lessThan">
      <formula>0</formula>
    </cfRule>
  </conditionalFormatting>
  <conditionalFormatting sqref="AQ18">
    <cfRule type="cellIs" dxfId="2152" priority="1996" operator="lessThan">
      <formula>0</formula>
    </cfRule>
  </conditionalFormatting>
  <conditionalFormatting sqref="AQ20:AQ21">
    <cfRule type="cellIs" dxfId="2151" priority="1995" operator="lessThan">
      <formula>0</formula>
    </cfRule>
  </conditionalFormatting>
  <conditionalFormatting sqref="AQ20:AQ21">
    <cfRule type="cellIs" dxfId="2150" priority="1994" operator="lessThan">
      <formula>0</formula>
    </cfRule>
  </conditionalFormatting>
  <conditionalFormatting sqref="AQ20:AQ21">
    <cfRule type="cellIs" dxfId="2149" priority="1993" operator="lessThan">
      <formula>0</formula>
    </cfRule>
  </conditionalFormatting>
  <conditionalFormatting sqref="AQ20:AQ21">
    <cfRule type="cellIs" dxfId="2148" priority="1992" operator="lessThan">
      <formula>0</formula>
    </cfRule>
  </conditionalFormatting>
  <conditionalFormatting sqref="AQ20:AQ21">
    <cfRule type="cellIs" dxfId="2147" priority="1991" operator="lessThan">
      <formula>0</formula>
    </cfRule>
  </conditionalFormatting>
  <conditionalFormatting sqref="AQ20:AQ21">
    <cfRule type="cellIs" dxfId="2146" priority="1990" operator="lessThan">
      <formula>0</formula>
    </cfRule>
  </conditionalFormatting>
  <conditionalFormatting sqref="AQ20:AQ21">
    <cfRule type="cellIs" dxfId="2145" priority="1989" operator="lessThan">
      <formula>0</formula>
    </cfRule>
  </conditionalFormatting>
  <conditionalFormatting sqref="AQ20:AQ21">
    <cfRule type="cellIs" dxfId="2144" priority="1988" operator="lessThan">
      <formula>0</formula>
    </cfRule>
  </conditionalFormatting>
  <conditionalFormatting sqref="AQ18">
    <cfRule type="cellIs" dxfId="2143" priority="1987" operator="lessThan">
      <formula>0</formula>
    </cfRule>
  </conditionalFormatting>
  <conditionalFormatting sqref="AQ20:AQ21">
    <cfRule type="cellIs" dxfId="2142" priority="1986" operator="lessThan">
      <formula>0</formula>
    </cfRule>
  </conditionalFormatting>
  <conditionalFormatting sqref="AQ20:AQ21">
    <cfRule type="cellIs" dxfId="2141" priority="1985" operator="lessThan">
      <formula>0</formula>
    </cfRule>
  </conditionalFormatting>
  <conditionalFormatting sqref="AQ20:AQ21">
    <cfRule type="cellIs" dxfId="2140" priority="1984" operator="lessThan">
      <formula>0</formula>
    </cfRule>
  </conditionalFormatting>
  <conditionalFormatting sqref="AQ20:AQ21">
    <cfRule type="cellIs" dxfId="2139" priority="1983" operator="lessThan">
      <formula>0</formula>
    </cfRule>
  </conditionalFormatting>
  <conditionalFormatting sqref="AQ20:AQ21">
    <cfRule type="cellIs" dxfId="2138" priority="1982" operator="lessThan">
      <formula>0</formula>
    </cfRule>
  </conditionalFormatting>
  <conditionalFormatting sqref="AQ20:AQ21">
    <cfRule type="cellIs" dxfId="2137" priority="1981" operator="lessThan">
      <formula>0</formula>
    </cfRule>
  </conditionalFormatting>
  <conditionalFormatting sqref="AQ20:AQ21">
    <cfRule type="cellIs" dxfId="2136" priority="1980" operator="lessThan">
      <formula>0</formula>
    </cfRule>
  </conditionalFormatting>
  <conditionalFormatting sqref="AQ20:AQ21">
    <cfRule type="cellIs" dxfId="2135" priority="1979" operator="lessThan">
      <formula>0</formula>
    </cfRule>
  </conditionalFormatting>
  <conditionalFormatting sqref="AQ19">
    <cfRule type="cellIs" dxfId="2134" priority="1978" operator="lessThan">
      <formula>0</formula>
    </cfRule>
  </conditionalFormatting>
  <conditionalFormatting sqref="AQ19">
    <cfRule type="cellIs" dxfId="2133" priority="1977" operator="lessThan">
      <formula>0</formula>
    </cfRule>
  </conditionalFormatting>
  <conditionalFormatting sqref="AQ19">
    <cfRule type="cellIs" dxfId="2132" priority="1976" operator="lessThan">
      <formula>0</formula>
    </cfRule>
  </conditionalFormatting>
  <conditionalFormatting sqref="AQ19">
    <cfRule type="cellIs" dxfId="2131" priority="1975" operator="lessThan">
      <formula>0</formula>
    </cfRule>
  </conditionalFormatting>
  <conditionalFormatting sqref="AQ19">
    <cfRule type="cellIs" dxfId="2130" priority="1974" operator="lessThan">
      <formula>0</formula>
    </cfRule>
  </conditionalFormatting>
  <conditionalFormatting sqref="AQ19">
    <cfRule type="cellIs" dxfId="2129" priority="1973" operator="lessThan">
      <formula>0</formula>
    </cfRule>
  </conditionalFormatting>
  <conditionalFormatting sqref="AQ19">
    <cfRule type="cellIs" dxfId="2128" priority="1972" operator="lessThan">
      <formula>0</formula>
    </cfRule>
  </conditionalFormatting>
  <conditionalFormatting sqref="AQ19">
    <cfRule type="cellIs" dxfId="2127" priority="1971" operator="lessThan">
      <formula>0</formula>
    </cfRule>
  </conditionalFormatting>
  <conditionalFormatting sqref="AQ19">
    <cfRule type="cellIs" dxfId="2126" priority="1970" operator="lessThan">
      <formula>0</formula>
    </cfRule>
  </conditionalFormatting>
  <conditionalFormatting sqref="AQ19">
    <cfRule type="cellIs" dxfId="2125" priority="1969" operator="lessThan">
      <formula>0</formula>
    </cfRule>
  </conditionalFormatting>
  <conditionalFormatting sqref="AQ19">
    <cfRule type="cellIs" dxfId="2124" priority="1968" operator="lessThan">
      <formula>0</formula>
    </cfRule>
  </conditionalFormatting>
  <conditionalFormatting sqref="AQ19">
    <cfRule type="cellIs" dxfId="2123" priority="1967" operator="lessThan">
      <formula>0</formula>
    </cfRule>
  </conditionalFormatting>
  <conditionalFormatting sqref="AQ19">
    <cfRule type="cellIs" dxfId="2122" priority="1966" operator="lessThan">
      <formula>0</formula>
    </cfRule>
  </conditionalFormatting>
  <conditionalFormatting sqref="AQ19">
    <cfRule type="cellIs" dxfId="2121" priority="1965" operator="lessThan">
      <formula>0</formula>
    </cfRule>
  </conditionalFormatting>
  <conditionalFormatting sqref="AQ19">
    <cfRule type="cellIs" dxfId="2120" priority="1964" operator="lessThan">
      <formula>0</formula>
    </cfRule>
  </conditionalFormatting>
  <conditionalFormatting sqref="AQ19">
    <cfRule type="cellIs" dxfId="2119" priority="1963" operator="lessThan">
      <formula>0</formula>
    </cfRule>
  </conditionalFormatting>
  <conditionalFormatting sqref="AQ19">
    <cfRule type="cellIs" dxfId="2118" priority="1962" operator="lessThan">
      <formula>0</formula>
    </cfRule>
  </conditionalFormatting>
  <conditionalFormatting sqref="AQ19">
    <cfRule type="cellIs" dxfId="2117" priority="1961" operator="lessThan">
      <formula>0</formula>
    </cfRule>
  </conditionalFormatting>
  <conditionalFormatting sqref="AQ19">
    <cfRule type="cellIs" dxfId="2116" priority="1960" operator="lessThan">
      <formula>0</formula>
    </cfRule>
  </conditionalFormatting>
  <conditionalFormatting sqref="AQ19">
    <cfRule type="cellIs" dxfId="2115" priority="1959" operator="lessThan">
      <formula>0</formula>
    </cfRule>
  </conditionalFormatting>
  <conditionalFormatting sqref="AQ19">
    <cfRule type="cellIs" dxfId="2114" priority="1958" operator="lessThan">
      <formula>0</formula>
    </cfRule>
  </conditionalFormatting>
  <conditionalFormatting sqref="AQ19">
    <cfRule type="cellIs" dxfId="2113" priority="1957" operator="lessThan">
      <formula>0</formula>
    </cfRule>
  </conditionalFormatting>
  <conditionalFormatting sqref="AQ19">
    <cfRule type="cellIs" dxfId="2112" priority="1956" operator="lessThan">
      <formula>0</formula>
    </cfRule>
  </conditionalFormatting>
  <conditionalFormatting sqref="AQ19">
    <cfRule type="cellIs" dxfId="2111" priority="1955" operator="lessThan">
      <formula>0</formula>
    </cfRule>
  </conditionalFormatting>
  <conditionalFormatting sqref="AQ19">
    <cfRule type="cellIs" dxfId="2110" priority="1954" operator="lessThan">
      <formula>0</formula>
    </cfRule>
  </conditionalFormatting>
  <conditionalFormatting sqref="AQ19">
    <cfRule type="cellIs" dxfId="2109" priority="1953" operator="lessThan">
      <formula>0</formula>
    </cfRule>
  </conditionalFormatting>
  <conditionalFormatting sqref="AQ19">
    <cfRule type="cellIs" dxfId="2108" priority="1952" operator="lessThan">
      <formula>0</formula>
    </cfRule>
  </conditionalFormatting>
  <conditionalFormatting sqref="AQ19">
    <cfRule type="cellIs" dxfId="2107" priority="1951" operator="lessThan">
      <formula>0</formula>
    </cfRule>
  </conditionalFormatting>
  <conditionalFormatting sqref="AQ19">
    <cfRule type="cellIs" dxfId="2106" priority="1950" operator="lessThan">
      <formula>0</formula>
    </cfRule>
  </conditionalFormatting>
  <conditionalFormatting sqref="AQ19">
    <cfRule type="cellIs" dxfId="2105" priority="1949" operator="lessThan">
      <formula>0</formula>
    </cfRule>
  </conditionalFormatting>
  <conditionalFormatting sqref="AQ19">
    <cfRule type="cellIs" dxfId="2104" priority="1948" operator="lessThan">
      <formula>0</formula>
    </cfRule>
  </conditionalFormatting>
  <conditionalFormatting sqref="AQ19">
    <cfRule type="cellIs" dxfId="2103" priority="1947" operator="lessThan">
      <formula>0</formula>
    </cfRule>
  </conditionalFormatting>
  <conditionalFormatting sqref="AQ19">
    <cfRule type="cellIs" dxfId="2102" priority="1946" operator="lessThan">
      <formula>0</formula>
    </cfRule>
  </conditionalFormatting>
  <conditionalFormatting sqref="AQ19">
    <cfRule type="cellIs" dxfId="2101" priority="1945" operator="lessThan">
      <formula>0</formula>
    </cfRule>
  </conditionalFormatting>
  <conditionalFormatting sqref="AQ19">
    <cfRule type="cellIs" dxfId="2100" priority="1944" operator="lessThan">
      <formula>0</formula>
    </cfRule>
  </conditionalFormatting>
  <conditionalFormatting sqref="AQ19">
    <cfRule type="cellIs" dxfId="2099" priority="1943" operator="lessThan">
      <formula>0</formula>
    </cfRule>
  </conditionalFormatting>
  <conditionalFormatting sqref="AQ19">
    <cfRule type="cellIs" dxfId="2098" priority="1942" operator="lessThan">
      <formula>0</formula>
    </cfRule>
  </conditionalFormatting>
  <conditionalFormatting sqref="AQ19">
    <cfRule type="cellIs" dxfId="2097" priority="1941" operator="lessThan">
      <formula>0</formula>
    </cfRule>
  </conditionalFormatting>
  <conditionalFormatting sqref="AQ19">
    <cfRule type="cellIs" dxfId="2096" priority="1940" operator="lessThan">
      <formula>0</formula>
    </cfRule>
  </conditionalFormatting>
  <conditionalFormatting sqref="AQ19">
    <cfRule type="cellIs" dxfId="2095" priority="1939" operator="lessThan">
      <formula>0</formula>
    </cfRule>
  </conditionalFormatting>
  <conditionalFormatting sqref="AQ19">
    <cfRule type="cellIs" dxfId="2094" priority="1938" operator="lessThan">
      <formula>0</formula>
    </cfRule>
  </conditionalFormatting>
  <conditionalFormatting sqref="AQ19">
    <cfRule type="cellIs" dxfId="2093" priority="1937" operator="lessThan">
      <formula>0</formula>
    </cfRule>
  </conditionalFormatting>
  <conditionalFormatting sqref="AQ19">
    <cfRule type="cellIs" dxfId="2092" priority="1936" operator="lessThan">
      <formula>0</formula>
    </cfRule>
  </conditionalFormatting>
  <conditionalFormatting sqref="AQ19">
    <cfRule type="cellIs" dxfId="2091" priority="1935" operator="lessThan">
      <formula>0</formula>
    </cfRule>
  </conditionalFormatting>
  <conditionalFormatting sqref="AQ19">
    <cfRule type="cellIs" dxfId="2090" priority="1934" operator="lessThan">
      <formula>0</formula>
    </cfRule>
  </conditionalFormatting>
  <conditionalFormatting sqref="AQ19">
    <cfRule type="cellIs" dxfId="2089" priority="1933" operator="lessThan">
      <formula>0</formula>
    </cfRule>
  </conditionalFormatting>
  <conditionalFormatting sqref="AQ19">
    <cfRule type="cellIs" dxfId="2088" priority="1932" operator="lessThan">
      <formula>0</formula>
    </cfRule>
  </conditionalFormatting>
  <conditionalFormatting sqref="AQ19">
    <cfRule type="cellIs" dxfId="2087" priority="1931" operator="lessThan">
      <formula>0</formula>
    </cfRule>
  </conditionalFormatting>
  <conditionalFormatting sqref="AQ19">
    <cfRule type="cellIs" dxfId="2086" priority="1930" operator="lessThan">
      <formula>0</formula>
    </cfRule>
  </conditionalFormatting>
  <conditionalFormatting sqref="AQ19">
    <cfRule type="cellIs" dxfId="2085" priority="1929" operator="lessThan">
      <formula>0</formula>
    </cfRule>
  </conditionalFormatting>
  <conditionalFormatting sqref="AQ19">
    <cfRule type="cellIs" dxfId="2084" priority="1928" operator="lessThan">
      <formula>0</formula>
    </cfRule>
  </conditionalFormatting>
  <conditionalFormatting sqref="AQ19">
    <cfRule type="cellIs" dxfId="2083" priority="1927" operator="lessThan">
      <formula>0</formula>
    </cfRule>
  </conditionalFormatting>
  <conditionalFormatting sqref="AQ19">
    <cfRule type="cellIs" dxfId="2082" priority="1926" operator="lessThan">
      <formula>0</formula>
    </cfRule>
  </conditionalFormatting>
  <conditionalFormatting sqref="AQ19">
    <cfRule type="cellIs" dxfId="2081" priority="1925" operator="lessThan">
      <formula>0</formula>
    </cfRule>
  </conditionalFormatting>
  <conditionalFormatting sqref="AQ19">
    <cfRule type="cellIs" dxfId="2080" priority="1924" operator="lessThan">
      <formula>0</formula>
    </cfRule>
  </conditionalFormatting>
  <conditionalFormatting sqref="AQ19">
    <cfRule type="cellIs" dxfId="2079" priority="1923" operator="lessThan">
      <formula>0</formula>
    </cfRule>
  </conditionalFormatting>
  <conditionalFormatting sqref="AQ19">
    <cfRule type="cellIs" dxfId="2078" priority="1922" operator="lessThan">
      <formula>0</formula>
    </cfRule>
  </conditionalFormatting>
  <conditionalFormatting sqref="AQ19">
    <cfRule type="cellIs" dxfId="2077" priority="1921" operator="lessThan">
      <formula>0</formula>
    </cfRule>
  </conditionalFormatting>
  <conditionalFormatting sqref="AQ19">
    <cfRule type="cellIs" dxfId="2076" priority="1920" operator="lessThan">
      <formula>0</formula>
    </cfRule>
  </conditionalFormatting>
  <conditionalFormatting sqref="AQ19">
    <cfRule type="cellIs" dxfId="2075" priority="1919" operator="lessThan">
      <formula>0</formula>
    </cfRule>
  </conditionalFormatting>
  <conditionalFormatting sqref="AQ19">
    <cfRule type="cellIs" dxfId="2074" priority="1918" operator="lessThan">
      <formula>0</formula>
    </cfRule>
  </conditionalFormatting>
  <conditionalFormatting sqref="AQ19">
    <cfRule type="cellIs" dxfId="2073" priority="1917" operator="lessThan">
      <formula>0</formula>
    </cfRule>
  </conditionalFormatting>
  <conditionalFormatting sqref="AQ19">
    <cfRule type="cellIs" dxfId="2072" priority="1916" operator="lessThan">
      <formula>0</formula>
    </cfRule>
  </conditionalFormatting>
  <conditionalFormatting sqref="AQ19">
    <cfRule type="cellIs" dxfId="2071" priority="1915" operator="lessThan">
      <formula>0</formula>
    </cfRule>
  </conditionalFormatting>
  <conditionalFormatting sqref="AQ19">
    <cfRule type="cellIs" dxfId="2070" priority="1914" operator="lessThan">
      <formula>0</formula>
    </cfRule>
  </conditionalFormatting>
  <conditionalFormatting sqref="AQ19">
    <cfRule type="cellIs" dxfId="2069" priority="1913" operator="lessThan">
      <formula>0</formula>
    </cfRule>
  </conditionalFormatting>
  <conditionalFormatting sqref="AQ19">
    <cfRule type="cellIs" dxfId="2068" priority="1912" operator="lessThan">
      <formula>0</formula>
    </cfRule>
  </conditionalFormatting>
  <conditionalFormatting sqref="AQ19">
    <cfRule type="cellIs" dxfId="2067" priority="1911" operator="lessThan">
      <formula>0</formula>
    </cfRule>
  </conditionalFormatting>
  <conditionalFormatting sqref="AQ19">
    <cfRule type="cellIs" dxfId="2066" priority="1910" operator="lessThan">
      <formula>0</formula>
    </cfRule>
  </conditionalFormatting>
  <conditionalFormatting sqref="AQ19">
    <cfRule type="cellIs" dxfId="2065" priority="1909" operator="lessThan">
      <formula>0</formula>
    </cfRule>
  </conditionalFormatting>
  <conditionalFormatting sqref="AQ19">
    <cfRule type="cellIs" dxfId="2064" priority="1908" operator="lessThan">
      <formula>0</formula>
    </cfRule>
  </conditionalFormatting>
  <conditionalFormatting sqref="AQ19">
    <cfRule type="cellIs" dxfId="2063" priority="1907" operator="lessThan">
      <formula>0</formula>
    </cfRule>
  </conditionalFormatting>
  <conditionalFormatting sqref="AQ19">
    <cfRule type="cellIs" dxfId="2062" priority="1906" operator="lessThan">
      <formula>0</formula>
    </cfRule>
  </conditionalFormatting>
  <conditionalFormatting sqref="AQ19">
    <cfRule type="cellIs" dxfId="2061" priority="1905" operator="lessThan">
      <formula>0</formula>
    </cfRule>
  </conditionalFormatting>
  <conditionalFormatting sqref="AQ19">
    <cfRule type="cellIs" dxfId="2060" priority="1904" operator="lessThan">
      <formula>0</formula>
    </cfRule>
  </conditionalFormatting>
  <conditionalFormatting sqref="AQ19">
    <cfRule type="cellIs" dxfId="2059" priority="1903" operator="lessThan">
      <formula>0</formula>
    </cfRule>
  </conditionalFormatting>
  <conditionalFormatting sqref="AQ19">
    <cfRule type="cellIs" dxfId="2058" priority="1902" operator="lessThan">
      <formula>0</formula>
    </cfRule>
  </conditionalFormatting>
  <conditionalFormatting sqref="AQ19">
    <cfRule type="cellIs" dxfId="2057" priority="1901" operator="lessThan">
      <formula>0</formula>
    </cfRule>
  </conditionalFormatting>
  <conditionalFormatting sqref="AQ19">
    <cfRule type="cellIs" dxfId="2056" priority="1900" operator="lessThan">
      <formula>0</formula>
    </cfRule>
  </conditionalFormatting>
  <conditionalFormatting sqref="AQ19">
    <cfRule type="cellIs" dxfId="2055" priority="1899" operator="lessThan">
      <formula>0</formula>
    </cfRule>
  </conditionalFormatting>
  <conditionalFormatting sqref="AQ19">
    <cfRule type="cellIs" dxfId="2054" priority="1883" operator="lessThan">
      <formula>0</formula>
    </cfRule>
  </conditionalFormatting>
  <conditionalFormatting sqref="AQ19">
    <cfRule type="cellIs" dxfId="2053" priority="1898" operator="lessThan">
      <formula>0</formula>
    </cfRule>
  </conditionalFormatting>
  <conditionalFormatting sqref="AQ19">
    <cfRule type="cellIs" dxfId="2052" priority="1897" operator="lessThan">
      <formula>0</formula>
    </cfRule>
  </conditionalFormatting>
  <conditionalFormatting sqref="AQ19">
    <cfRule type="cellIs" dxfId="2051" priority="1896" operator="lessThan">
      <formula>0</formula>
    </cfRule>
  </conditionalFormatting>
  <conditionalFormatting sqref="AQ19">
    <cfRule type="cellIs" dxfId="2050" priority="1895" operator="lessThan">
      <formula>0</formula>
    </cfRule>
  </conditionalFormatting>
  <conditionalFormatting sqref="AQ19">
    <cfRule type="cellIs" dxfId="2049" priority="1894" operator="lessThan">
      <formula>0</formula>
    </cfRule>
  </conditionalFormatting>
  <conditionalFormatting sqref="AQ19">
    <cfRule type="cellIs" dxfId="2048" priority="1893" operator="lessThan">
      <formula>0</formula>
    </cfRule>
  </conditionalFormatting>
  <conditionalFormatting sqref="AQ19">
    <cfRule type="cellIs" dxfId="2047" priority="1892" operator="lessThan">
      <formula>0</formula>
    </cfRule>
  </conditionalFormatting>
  <conditionalFormatting sqref="AQ19">
    <cfRule type="cellIs" dxfId="2046" priority="1891" operator="lessThan">
      <formula>0</formula>
    </cfRule>
  </conditionalFormatting>
  <conditionalFormatting sqref="AQ19">
    <cfRule type="cellIs" dxfId="2045" priority="1890" operator="lessThan">
      <formula>0</formula>
    </cfRule>
  </conditionalFormatting>
  <conditionalFormatting sqref="AQ19">
    <cfRule type="cellIs" dxfId="2044" priority="1889" operator="lessThan">
      <formula>0</formula>
    </cfRule>
  </conditionalFormatting>
  <conditionalFormatting sqref="AQ19">
    <cfRule type="cellIs" dxfId="2043" priority="1888" operator="lessThan">
      <formula>0</formula>
    </cfRule>
  </conditionalFormatting>
  <conditionalFormatting sqref="AQ19">
    <cfRule type="cellIs" dxfId="2042" priority="1887" operator="lessThan">
      <formula>0</formula>
    </cfRule>
  </conditionalFormatting>
  <conditionalFormatting sqref="AQ19">
    <cfRule type="cellIs" dxfId="2041" priority="1886" operator="lessThan">
      <formula>0</formula>
    </cfRule>
  </conditionalFormatting>
  <conditionalFormatting sqref="AQ19">
    <cfRule type="cellIs" dxfId="2040" priority="1885" operator="lessThan">
      <formula>0</formula>
    </cfRule>
  </conditionalFormatting>
  <conditionalFormatting sqref="AQ19">
    <cfRule type="cellIs" dxfId="2039" priority="1884" operator="lessThan">
      <formula>0</formula>
    </cfRule>
  </conditionalFormatting>
  <conditionalFormatting sqref="AQ50">
    <cfRule type="cellIs" dxfId="2038" priority="1882" operator="lessThan">
      <formula>0</formula>
    </cfRule>
  </conditionalFormatting>
  <conditionalFormatting sqref="AM50:AM53">
    <cfRule type="cellIs" dxfId="2037" priority="1880" operator="notEqual">
      <formula>0</formula>
    </cfRule>
  </conditionalFormatting>
  <conditionalFormatting sqref="Y51">
    <cfRule type="iconSet" priority="1879">
      <iconSet>
        <cfvo type="percent" val="0"/>
        <cfvo type="percent" val="&quot;$I$6&quot;"/>
        <cfvo type="percent" val="#REF!"/>
      </iconSet>
    </cfRule>
  </conditionalFormatting>
  <conditionalFormatting sqref="Y52">
    <cfRule type="cellIs" dxfId="2036" priority="1878" operator="lessThan">
      <formula>0</formula>
    </cfRule>
  </conditionalFormatting>
  <conditionalFormatting sqref="Y50:Y52">
    <cfRule type="cellIs" dxfId="2035" priority="1877" operator="lessThan">
      <formula>0</formula>
    </cfRule>
  </conditionalFormatting>
  <conditionalFormatting sqref="Y53">
    <cfRule type="cellIs" dxfId="2034" priority="1876" operator="lessThan">
      <formula>0</formula>
    </cfRule>
  </conditionalFormatting>
  <conditionalFormatting sqref="I52">
    <cfRule type="cellIs" dxfId="2033" priority="1875" operator="greaterThan">
      <formula>0</formula>
    </cfRule>
  </conditionalFormatting>
  <conditionalFormatting sqref="J52">
    <cfRule type="cellIs" dxfId="2032" priority="1874" operator="greaterThan">
      <formula>0</formula>
    </cfRule>
  </conditionalFormatting>
  <conditionalFormatting sqref="AQ50">
    <cfRule type="cellIs" dxfId="2031" priority="1873" operator="lessThan">
      <formula>0</formula>
    </cfRule>
  </conditionalFormatting>
  <conditionalFormatting sqref="AQ50">
    <cfRule type="cellIs" dxfId="2030" priority="1872" operator="lessThan">
      <formula>0</formula>
    </cfRule>
  </conditionalFormatting>
  <conditionalFormatting sqref="AQ52:AQ53">
    <cfRule type="cellIs" dxfId="2029" priority="1871" operator="lessThan">
      <formula>0</formula>
    </cfRule>
  </conditionalFormatting>
  <conditionalFormatting sqref="AQ52:AQ53">
    <cfRule type="cellIs" dxfId="2028" priority="1870" operator="lessThan">
      <formula>0</formula>
    </cfRule>
  </conditionalFormatting>
  <conditionalFormatting sqref="AQ52:AQ53">
    <cfRule type="cellIs" dxfId="2027" priority="1869" operator="lessThan">
      <formula>0</formula>
    </cfRule>
  </conditionalFormatting>
  <conditionalFormatting sqref="AQ52:AQ53">
    <cfRule type="cellIs" dxfId="2026" priority="1868" operator="lessThan">
      <formula>0</formula>
    </cfRule>
  </conditionalFormatting>
  <conditionalFormatting sqref="AQ52:AQ53">
    <cfRule type="cellIs" dxfId="2025" priority="1867" operator="lessThan">
      <formula>0</formula>
    </cfRule>
  </conditionalFormatting>
  <conditionalFormatting sqref="AQ52:AQ53">
    <cfRule type="cellIs" dxfId="2024" priority="1866" operator="lessThan">
      <formula>0</formula>
    </cfRule>
  </conditionalFormatting>
  <conditionalFormatting sqref="AQ52:AQ53">
    <cfRule type="cellIs" dxfId="2023" priority="1865" operator="lessThan">
      <formula>0</formula>
    </cfRule>
  </conditionalFormatting>
  <conditionalFormatting sqref="AQ52:AQ53">
    <cfRule type="cellIs" dxfId="2022" priority="1864" operator="lessThan">
      <formula>0</formula>
    </cfRule>
  </conditionalFormatting>
  <conditionalFormatting sqref="AQ50">
    <cfRule type="cellIs" dxfId="2021" priority="1863" operator="lessThan">
      <formula>0</formula>
    </cfRule>
  </conditionalFormatting>
  <conditionalFormatting sqref="AQ52:AQ53">
    <cfRule type="cellIs" dxfId="2020" priority="1862" operator="lessThan">
      <formula>0</formula>
    </cfRule>
  </conditionalFormatting>
  <conditionalFormatting sqref="AQ52:AQ53">
    <cfRule type="cellIs" dxfId="2019" priority="1861" operator="lessThan">
      <formula>0</formula>
    </cfRule>
  </conditionalFormatting>
  <conditionalFormatting sqref="AQ52:AQ53">
    <cfRule type="cellIs" dxfId="2018" priority="1860" operator="lessThan">
      <formula>0</formula>
    </cfRule>
  </conditionalFormatting>
  <conditionalFormatting sqref="AQ52:AQ53">
    <cfRule type="cellIs" dxfId="2017" priority="1859" operator="lessThan">
      <formula>0</formula>
    </cfRule>
  </conditionalFormatting>
  <conditionalFormatting sqref="AQ52:AQ53">
    <cfRule type="cellIs" dxfId="2016" priority="1858" operator="lessThan">
      <formula>0</formula>
    </cfRule>
  </conditionalFormatting>
  <conditionalFormatting sqref="AQ52:AQ53">
    <cfRule type="cellIs" dxfId="2015" priority="1857" operator="lessThan">
      <formula>0</formula>
    </cfRule>
  </conditionalFormatting>
  <conditionalFormatting sqref="AQ52:AQ53">
    <cfRule type="cellIs" dxfId="2014" priority="1856" operator="lessThan">
      <formula>0</formula>
    </cfRule>
  </conditionalFormatting>
  <conditionalFormatting sqref="AQ52:AQ53">
    <cfRule type="cellIs" dxfId="2013" priority="1855" operator="lessThan">
      <formula>0</formula>
    </cfRule>
  </conditionalFormatting>
  <conditionalFormatting sqref="AQ50">
    <cfRule type="cellIs" dxfId="2012" priority="1854" operator="lessThan">
      <formula>0</formula>
    </cfRule>
  </conditionalFormatting>
  <conditionalFormatting sqref="AQ50">
    <cfRule type="cellIs" dxfId="2011" priority="1853" operator="lessThan">
      <formula>0</formula>
    </cfRule>
  </conditionalFormatting>
  <conditionalFormatting sqref="AQ52:AQ53">
    <cfRule type="cellIs" dxfId="2010" priority="1852" operator="lessThan">
      <formula>0</formula>
    </cfRule>
  </conditionalFormatting>
  <conditionalFormatting sqref="AQ52:AQ53">
    <cfRule type="cellIs" dxfId="2009" priority="1851" operator="lessThan">
      <formula>0</formula>
    </cfRule>
  </conditionalFormatting>
  <conditionalFormatting sqref="AQ52:AQ53">
    <cfRule type="cellIs" dxfId="2008" priority="1850" operator="lessThan">
      <formula>0</formula>
    </cfRule>
  </conditionalFormatting>
  <conditionalFormatting sqref="AQ52:AQ53">
    <cfRule type="cellIs" dxfId="2007" priority="1849" operator="lessThan">
      <formula>0</formula>
    </cfRule>
  </conditionalFormatting>
  <conditionalFormatting sqref="AQ52:AQ53">
    <cfRule type="cellIs" dxfId="2006" priority="1848" operator="lessThan">
      <formula>0</formula>
    </cfRule>
  </conditionalFormatting>
  <conditionalFormatting sqref="AQ52:AQ53">
    <cfRule type="cellIs" dxfId="2005" priority="1847" operator="lessThan">
      <formula>0</formula>
    </cfRule>
  </conditionalFormatting>
  <conditionalFormatting sqref="AQ52:AQ53">
    <cfRule type="cellIs" dxfId="2004" priority="1846" operator="lessThan">
      <formula>0</formula>
    </cfRule>
  </conditionalFormatting>
  <conditionalFormatting sqref="AQ52:AQ53">
    <cfRule type="cellIs" dxfId="2003" priority="1845" operator="lessThan">
      <formula>0</formula>
    </cfRule>
  </conditionalFormatting>
  <conditionalFormatting sqref="AQ50">
    <cfRule type="cellIs" dxfId="2002" priority="1844" operator="lessThan">
      <formula>0</formula>
    </cfRule>
  </conditionalFormatting>
  <conditionalFormatting sqref="AQ50 AQ52:AQ53">
    <cfRule type="cellIs" dxfId="2001" priority="1843" operator="lessThan">
      <formula>0</formula>
    </cfRule>
  </conditionalFormatting>
  <conditionalFormatting sqref="AQ50 AQ52:AQ53">
    <cfRule type="cellIs" dxfId="2000" priority="1842" operator="lessThan">
      <formula>0</formula>
    </cfRule>
  </conditionalFormatting>
  <conditionalFormatting sqref="AQ50 AQ52:AQ53">
    <cfRule type="cellIs" dxfId="1999" priority="1841" operator="lessThan">
      <formula>0</formula>
    </cfRule>
  </conditionalFormatting>
  <conditionalFormatting sqref="AQ50 AQ52:AQ53">
    <cfRule type="cellIs" dxfId="1998" priority="1840" operator="lessThan">
      <formula>0</formula>
    </cfRule>
  </conditionalFormatting>
  <conditionalFormatting sqref="AQ52:AQ53">
    <cfRule type="cellIs" dxfId="1997" priority="1839" operator="lessThan">
      <formula>0</formula>
    </cfRule>
  </conditionalFormatting>
  <conditionalFormatting sqref="AQ52:AQ53">
    <cfRule type="cellIs" dxfId="1996" priority="1838" operator="lessThan">
      <formula>0</formula>
    </cfRule>
  </conditionalFormatting>
  <conditionalFormatting sqref="AQ52:AQ53">
    <cfRule type="cellIs" dxfId="1995" priority="1837" operator="lessThan">
      <formula>0</formula>
    </cfRule>
  </conditionalFormatting>
  <conditionalFormatting sqref="AQ52:AQ53">
    <cfRule type="cellIs" dxfId="1994" priority="1836" operator="lessThan">
      <formula>0</formula>
    </cfRule>
  </conditionalFormatting>
  <conditionalFormatting sqref="AQ66">
    <cfRule type="cellIs" dxfId="1993" priority="1834" operator="lessThan">
      <formula>0</formula>
    </cfRule>
  </conditionalFormatting>
  <conditionalFormatting sqref="AM66:AM69">
    <cfRule type="cellIs" dxfId="1992" priority="1832" operator="notEqual">
      <formula>0</formula>
    </cfRule>
  </conditionalFormatting>
  <conditionalFormatting sqref="I68">
    <cfRule type="cellIs" dxfId="1991" priority="1831" operator="greaterThan">
      <formula>0</formula>
    </cfRule>
  </conditionalFormatting>
  <conditionalFormatting sqref="J68">
    <cfRule type="cellIs" dxfId="1990" priority="1830" operator="greaterThan">
      <formula>0</formula>
    </cfRule>
  </conditionalFormatting>
  <conditionalFormatting sqref="Y68">
    <cfRule type="cellIs" dxfId="1989" priority="1829" operator="lessThan">
      <formula>0</formula>
    </cfRule>
  </conditionalFormatting>
  <conditionalFormatting sqref="Y66:Y68">
    <cfRule type="cellIs" dxfId="1988" priority="1828" operator="lessThan">
      <formula>0</formula>
    </cfRule>
  </conditionalFormatting>
  <conditionalFormatting sqref="Y69">
    <cfRule type="cellIs" dxfId="1987" priority="1827" operator="lessThan">
      <formula>0</formula>
    </cfRule>
  </conditionalFormatting>
  <conditionalFormatting sqref="Y67">
    <cfRule type="iconSet" priority="1835">
      <iconSet>
        <cfvo type="percent" val="0"/>
        <cfvo type="percent" val="&quot;$I$6&quot;"/>
        <cfvo type="percent" val="#REF!"/>
      </iconSet>
    </cfRule>
  </conditionalFormatting>
  <conditionalFormatting sqref="AQ66">
    <cfRule type="cellIs" dxfId="1986" priority="1826" operator="lessThan">
      <formula>0</formula>
    </cfRule>
  </conditionalFormatting>
  <conditionalFormatting sqref="AQ66">
    <cfRule type="cellIs" dxfId="1985" priority="1825" operator="lessThan">
      <formula>0</formula>
    </cfRule>
  </conditionalFormatting>
  <conditionalFormatting sqref="AQ68:AQ69">
    <cfRule type="cellIs" dxfId="1984" priority="1824" operator="lessThan">
      <formula>0</formula>
    </cfRule>
  </conditionalFormatting>
  <conditionalFormatting sqref="AQ68:AQ69">
    <cfRule type="cellIs" dxfId="1983" priority="1823" operator="lessThan">
      <formula>0</formula>
    </cfRule>
  </conditionalFormatting>
  <conditionalFormatting sqref="AQ68:AQ69">
    <cfRule type="cellIs" dxfId="1982" priority="1822" operator="lessThan">
      <formula>0</formula>
    </cfRule>
  </conditionalFormatting>
  <conditionalFormatting sqref="AQ68:AQ69">
    <cfRule type="cellIs" dxfId="1981" priority="1821" operator="lessThan">
      <formula>0</formula>
    </cfRule>
  </conditionalFormatting>
  <conditionalFormatting sqref="AQ68:AQ69">
    <cfRule type="cellIs" dxfId="1980" priority="1820" operator="lessThan">
      <formula>0</formula>
    </cfRule>
  </conditionalFormatting>
  <conditionalFormatting sqref="AQ68:AQ69">
    <cfRule type="cellIs" dxfId="1979" priority="1819" operator="lessThan">
      <formula>0</formula>
    </cfRule>
  </conditionalFormatting>
  <conditionalFormatting sqref="AQ68:AQ69">
    <cfRule type="cellIs" dxfId="1978" priority="1818" operator="lessThan">
      <formula>0</formula>
    </cfRule>
  </conditionalFormatting>
  <conditionalFormatting sqref="AQ68:AQ69">
    <cfRule type="cellIs" dxfId="1977" priority="1817" operator="lessThan">
      <formula>0</formula>
    </cfRule>
  </conditionalFormatting>
  <conditionalFormatting sqref="AQ66">
    <cfRule type="cellIs" dxfId="1976" priority="1816" operator="lessThan">
      <formula>0</formula>
    </cfRule>
  </conditionalFormatting>
  <conditionalFormatting sqref="AQ68:AQ69">
    <cfRule type="cellIs" dxfId="1975" priority="1815" operator="lessThan">
      <formula>0</formula>
    </cfRule>
  </conditionalFormatting>
  <conditionalFormatting sqref="AQ68:AQ69">
    <cfRule type="cellIs" dxfId="1974" priority="1814" operator="lessThan">
      <formula>0</formula>
    </cfRule>
  </conditionalFormatting>
  <conditionalFormatting sqref="AQ68:AQ69">
    <cfRule type="cellIs" dxfId="1973" priority="1813" operator="lessThan">
      <formula>0</formula>
    </cfRule>
  </conditionalFormatting>
  <conditionalFormatting sqref="AQ68:AQ69">
    <cfRule type="cellIs" dxfId="1972" priority="1812" operator="lessThan">
      <formula>0</formula>
    </cfRule>
  </conditionalFormatting>
  <conditionalFormatting sqref="AQ68:AQ69">
    <cfRule type="cellIs" dxfId="1971" priority="1811" operator="lessThan">
      <formula>0</formula>
    </cfRule>
  </conditionalFormatting>
  <conditionalFormatting sqref="AQ68:AQ69">
    <cfRule type="cellIs" dxfId="1970" priority="1810" operator="lessThan">
      <formula>0</formula>
    </cfRule>
  </conditionalFormatting>
  <conditionalFormatting sqref="AQ68:AQ69">
    <cfRule type="cellIs" dxfId="1969" priority="1809" operator="lessThan">
      <formula>0</formula>
    </cfRule>
  </conditionalFormatting>
  <conditionalFormatting sqref="AQ68:AQ69">
    <cfRule type="cellIs" dxfId="1968" priority="1808" operator="lessThan">
      <formula>0</formula>
    </cfRule>
  </conditionalFormatting>
  <conditionalFormatting sqref="AQ66">
    <cfRule type="cellIs" dxfId="1967" priority="1807" operator="lessThan">
      <formula>0</formula>
    </cfRule>
  </conditionalFormatting>
  <conditionalFormatting sqref="AQ66">
    <cfRule type="cellIs" dxfId="1966" priority="1806" operator="lessThan">
      <formula>0</formula>
    </cfRule>
  </conditionalFormatting>
  <conditionalFormatting sqref="AQ68:AQ69">
    <cfRule type="cellIs" dxfId="1965" priority="1805" operator="lessThan">
      <formula>0</formula>
    </cfRule>
  </conditionalFormatting>
  <conditionalFormatting sqref="AQ68:AQ69">
    <cfRule type="cellIs" dxfId="1964" priority="1804" operator="lessThan">
      <formula>0</formula>
    </cfRule>
  </conditionalFormatting>
  <conditionalFormatting sqref="AQ68:AQ69">
    <cfRule type="cellIs" dxfId="1963" priority="1803" operator="lessThan">
      <formula>0</formula>
    </cfRule>
  </conditionalFormatting>
  <conditionalFormatting sqref="AQ68:AQ69">
    <cfRule type="cellIs" dxfId="1962" priority="1802" operator="lessThan">
      <formula>0</formula>
    </cfRule>
  </conditionalFormatting>
  <conditionalFormatting sqref="AQ68:AQ69">
    <cfRule type="cellIs" dxfId="1961" priority="1801" operator="lessThan">
      <formula>0</formula>
    </cfRule>
  </conditionalFormatting>
  <conditionalFormatting sqref="AQ68:AQ69">
    <cfRule type="cellIs" dxfId="1960" priority="1800" operator="lessThan">
      <formula>0</formula>
    </cfRule>
  </conditionalFormatting>
  <conditionalFormatting sqref="AQ68:AQ69">
    <cfRule type="cellIs" dxfId="1959" priority="1799" operator="lessThan">
      <formula>0</formula>
    </cfRule>
  </conditionalFormatting>
  <conditionalFormatting sqref="AQ68:AQ69">
    <cfRule type="cellIs" dxfId="1958" priority="1798" operator="lessThan">
      <formula>0</formula>
    </cfRule>
  </conditionalFormatting>
  <conditionalFormatting sqref="AQ66">
    <cfRule type="cellIs" dxfId="1957" priority="1797" operator="lessThan">
      <formula>0</formula>
    </cfRule>
  </conditionalFormatting>
  <conditionalFormatting sqref="AQ66 AQ68:AQ69">
    <cfRule type="cellIs" dxfId="1956" priority="1796" operator="lessThan">
      <formula>0</formula>
    </cfRule>
  </conditionalFormatting>
  <conditionalFormatting sqref="AQ66 AQ68:AQ69">
    <cfRule type="cellIs" dxfId="1955" priority="1795" operator="lessThan">
      <formula>0</formula>
    </cfRule>
  </conditionalFormatting>
  <conditionalFormatting sqref="AQ66 AQ68:AQ69">
    <cfRule type="cellIs" dxfId="1954" priority="1794" operator="lessThan">
      <formula>0</formula>
    </cfRule>
  </conditionalFormatting>
  <conditionalFormatting sqref="AQ66 AQ68:AQ69">
    <cfRule type="cellIs" dxfId="1953" priority="1793" operator="lessThan">
      <formula>0</formula>
    </cfRule>
  </conditionalFormatting>
  <conditionalFormatting sqref="AQ68:AQ69">
    <cfRule type="cellIs" dxfId="1952" priority="1792" operator="lessThan">
      <formula>0</formula>
    </cfRule>
  </conditionalFormatting>
  <conditionalFormatting sqref="AQ68:AQ69">
    <cfRule type="cellIs" dxfId="1951" priority="1791" operator="lessThan">
      <formula>0</formula>
    </cfRule>
  </conditionalFormatting>
  <conditionalFormatting sqref="AQ68:AQ69">
    <cfRule type="cellIs" dxfId="1950" priority="1790" operator="lessThan">
      <formula>0</formula>
    </cfRule>
  </conditionalFormatting>
  <conditionalFormatting sqref="AQ68:AQ69">
    <cfRule type="cellIs" dxfId="1949" priority="1789" operator="lessThan">
      <formula>0</formula>
    </cfRule>
  </conditionalFormatting>
  <conditionalFormatting sqref="Z25">
    <cfRule type="cellIs" dxfId="1948" priority="1788" operator="lessThan">
      <formula>0</formula>
    </cfRule>
  </conditionalFormatting>
  <conditionalFormatting sqref="AQ51">
    <cfRule type="cellIs" dxfId="1947" priority="1787" operator="lessThan">
      <formula>0</formula>
    </cfRule>
  </conditionalFormatting>
  <conditionalFormatting sqref="AQ51">
    <cfRule type="cellIs" dxfId="1946" priority="1786" operator="lessThan">
      <formula>0</formula>
    </cfRule>
  </conditionalFormatting>
  <conditionalFormatting sqref="AQ51">
    <cfRule type="cellIs" dxfId="1945" priority="1785" operator="lessThan">
      <formula>0</formula>
    </cfRule>
  </conditionalFormatting>
  <conditionalFormatting sqref="AQ51">
    <cfRule type="cellIs" dxfId="1944" priority="1784" operator="lessThan">
      <formula>0</formula>
    </cfRule>
  </conditionalFormatting>
  <conditionalFormatting sqref="AQ51">
    <cfRule type="cellIs" dxfId="1943" priority="1783" operator="lessThan">
      <formula>0</formula>
    </cfRule>
  </conditionalFormatting>
  <conditionalFormatting sqref="AQ51">
    <cfRule type="cellIs" dxfId="1942" priority="1782" operator="lessThan">
      <formula>0</formula>
    </cfRule>
  </conditionalFormatting>
  <conditionalFormatting sqref="AQ51">
    <cfRule type="cellIs" dxfId="1941" priority="1781" operator="lessThan">
      <formula>0</formula>
    </cfRule>
  </conditionalFormatting>
  <conditionalFormatting sqref="AQ51">
    <cfRule type="cellIs" dxfId="1940" priority="1780" operator="lessThan">
      <formula>0</formula>
    </cfRule>
  </conditionalFormatting>
  <conditionalFormatting sqref="AQ51">
    <cfRule type="cellIs" dxfId="1939" priority="1779" operator="lessThan">
      <formula>0</formula>
    </cfRule>
  </conditionalFormatting>
  <conditionalFormatting sqref="AQ51">
    <cfRule type="cellIs" dxfId="1938" priority="1778" operator="lessThan">
      <formula>0</formula>
    </cfRule>
  </conditionalFormatting>
  <conditionalFormatting sqref="AQ51">
    <cfRule type="cellIs" dxfId="1937" priority="1777" operator="lessThan">
      <formula>0</formula>
    </cfRule>
  </conditionalFormatting>
  <conditionalFormatting sqref="AQ51">
    <cfRule type="cellIs" dxfId="1936" priority="1776" operator="lessThan">
      <formula>0</formula>
    </cfRule>
  </conditionalFormatting>
  <conditionalFormatting sqref="AQ51">
    <cfRule type="cellIs" dxfId="1935" priority="1775" operator="lessThan">
      <formula>0</formula>
    </cfRule>
  </conditionalFormatting>
  <conditionalFormatting sqref="AQ51">
    <cfRule type="cellIs" dxfId="1934" priority="1774" operator="lessThan">
      <formula>0</formula>
    </cfRule>
  </conditionalFormatting>
  <conditionalFormatting sqref="AQ51">
    <cfRule type="cellIs" dxfId="1933" priority="1773" operator="lessThan">
      <formula>0</formula>
    </cfRule>
  </conditionalFormatting>
  <conditionalFormatting sqref="AQ51">
    <cfRule type="cellIs" dxfId="1932" priority="1772" operator="lessThan">
      <formula>0</formula>
    </cfRule>
  </conditionalFormatting>
  <conditionalFormatting sqref="AQ51">
    <cfRule type="cellIs" dxfId="1931" priority="1771" operator="lessThan">
      <formula>0</formula>
    </cfRule>
  </conditionalFormatting>
  <conditionalFormatting sqref="AQ51">
    <cfRule type="cellIs" dxfId="1930" priority="1770" operator="lessThan">
      <formula>0</formula>
    </cfRule>
  </conditionalFormatting>
  <conditionalFormatting sqref="AQ51">
    <cfRule type="cellIs" dxfId="1929" priority="1769" operator="lessThan">
      <formula>0</formula>
    </cfRule>
  </conditionalFormatting>
  <conditionalFormatting sqref="AQ51">
    <cfRule type="cellIs" dxfId="1928" priority="1768" operator="lessThan">
      <formula>0</formula>
    </cfRule>
  </conditionalFormatting>
  <conditionalFormatting sqref="AQ51">
    <cfRule type="cellIs" dxfId="1927" priority="1767" operator="lessThan">
      <formula>0</formula>
    </cfRule>
  </conditionalFormatting>
  <conditionalFormatting sqref="AQ51">
    <cfRule type="cellIs" dxfId="1926" priority="1766" operator="lessThan">
      <formula>0</formula>
    </cfRule>
  </conditionalFormatting>
  <conditionalFormatting sqref="AQ51">
    <cfRule type="cellIs" dxfId="1925" priority="1765" operator="lessThan">
      <formula>0</formula>
    </cfRule>
  </conditionalFormatting>
  <conditionalFormatting sqref="AQ51">
    <cfRule type="cellIs" dxfId="1924" priority="1764" operator="lessThan">
      <formula>0</formula>
    </cfRule>
  </conditionalFormatting>
  <conditionalFormatting sqref="AQ51">
    <cfRule type="cellIs" dxfId="1923" priority="1763" operator="lessThan">
      <formula>0</formula>
    </cfRule>
  </conditionalFormatting>
  <conditionalFormatting sqref="AQ51">
    <cfRule type="cellIs" dxfId="1922" priority="1762" operator="lessThan">
      <formula>0</formula>
    </cfRule>
  </conditionalFormatting>
  <conditionalFormatting sqref="AQ51">
    <cfRule type="cellIs" dxfId="1921" priority="1761" operator="lessThan">
      <formula>0</formula>
    </cfRule>
  </conditionalFormatting>
  <conditionalFormatting sqref="AQ51">
    <cfRule type="cellIs" dxfId="1920" priority="1760" operator="lessThan">
      <formula>0</formula>
    </cfRule>
  </conditionalFormatting>
  <conditionalFormatting sqref="AQ51">
    <cfRule type="cellIs" dxfId="1919" priority="1759" operator="lessThan">
      <formula>0</formula>
    </cfRule>
  </conditionalFormatting>
  <conditionalFormatting sqref="AQ51">
    <cfRule type="cellIs" dxfId="1918" priority="1758" operator="lessThan">
      <formula>0</formula>
    </cfRule>
  </conditionalFormatting>
  <conditionalFormatting sqref="AQ51">
    <cfRule type="cellIs" dxfId="1917" priority="1757" operator="lessThan">
      <formula>0</formula>
    </cfRule>
  </conditionalFormatting>
  <conditionalFormatting sqref="AQ51">
    <cfRule type="cellIs" dxfId="1916" priority="1756" operator="lessThan">
      <formula>0</formula>
    </cfRule>
  </conditionalFormatting>
  <conditionalFormatting sqref="AQ51">
    <cfRule type="cellIs" dxfId="1915" priority="1755" operator="lessThan">
      <formula>0</formula>
    </cfRule>
  </conditionalFormatting>
  <conditionalFormatting sqref="AQ51">
    <cfRule type="cellIs" dxfId="1914" priority="1754" operator="lessThan">
      <formula>0</formula>
    </cfRule>
  </conditionalFormatting>
  <conditionalFormatting sqref="AQ51">
    <cfRule type="cellIs" dxfId="1913" priority="1753" operator="lessThan">
      <formula>0</formula>
    </cfRule>
  </conditionalFormatting>
  <conditionalFormatting sqref="AQ51">
    <cfRule type="cellIs" dxfId="1912" priority="1752" operator="lessThan">
      <formula>0</formula>
    </cfRule>
  </conditionalFormatting>
  <conditionalFormatting sqref="AQ51">
    <cfRule type="cellIs" dxfId="1911" priority="1751" operator="lessThan">
      <formula>0</formula>
    </cfRule>
  </conditionalFormatting>
  <conditionalFormatting sqref="AQ51">
    <cfRule type="cellIs" dxfId="1910" priority="1750" operator="lessThan">
      <formula>0</formula>
    </cfRule>
  </conditionalFormatting>
  <conditionalFormatting sqref="AQ51">
    <cfRule type="cellIs" dxfId="1909" priority="1749" operator="lessThan">
      <formula>0</formula>
    </cfRule>
  </conditionalFormatting>
  <conditionalFormatting sqref="AQ51">
    <cfRule type="cellIs" dxfId="1908" priority="1748" operator="lessThan">
      <formula>0</formula>
    </cfRule>
  </conditionalFormatting>
  <conditionalFormatting sqref="AQ51">
    <cfRule type="cellIs" dxfId="1907" priority="1747" operator="lessThan">
      <formula>0</formula>
    </cfRule>
  </conditionalFormatting>
  <conditionalFormatting sqref="AQ51">
    <cfRule type="cellIs" dxfId="1906" priority="1746" operator="lessThan">
      <formula>0</formula>
    </cfRule>
  </conditionalFormatting>
  <conditionalFormatting sqref="AQ51">
    <cfRule type="cellIs" dxfId="1905" priority="1745" operator="lessThan">
      <formula>0</formula>
    </cfRule>
  </conditionalFormatting>
  <conditionalFormatting sqref="AQ51">
    <cfRule type="cellIs" dxfId="1904" priority="1744" operator="lessThan">
      <formula>0</formula>
    </cfRule>
  </conditionalFormatting>
  <conditionalFormatting sqref="AQ51">
    <cfRule type="cellIs" dxfId="1903" priority="1743" operator="lessThan">
      <formula>0</formula>
    </cfRule>
  </conditionalFormatting>
  <conditionalFormatting sqref="AQ51">
    <cfRule type="cellIs" dxfId="1902" priority="1742" operator="lessThan">
      <formula>0</formula>
    </cfRule>
  </conditionalFormatting>
  <conditionalFormatting sqref="AQ51">
    <cfRule type="cellIs" dxfId="1901" priority="1741" operator="lessThan">
      <formula>0</formula>
    </cfRule>
  </conditionalFormatting>
  <conditionalFormatting sqref="AQ51">
    <cfRule type="cellIs" dxfId="1900" priority="1740" operator="lessThan">
      <formula>0</formula>
    </cfRule>
  </conditionalFormatting>
  <conditionalFormatting sqref="AQ51">
    <cfRule type="cellIs" dxfId="1899" priority="1739" operator="lessThan">
      <formula>0</formula>
    </cfRule>
  </conditionalFormatting>
  <conditionalFormatting sqref="AQ51">
    <cfRule type="cellIs" dxfId="1898" priority="1738" operator="lessThan">
      <formula>0</formula>
    </cfRule>
  </conditionalFormatting>
  <conditionalFormatting sqref="AQ51">
    <cfRule type="cellIs" dxfId="1897" priority="1737" operator="lessThan">
      <formula>0</formula>
    </cfRule>
  </conditionalFormatting>
  <conditionalFormatting sqref="AQ51">
    <cfRule type="cellIs" dxfId="1896" priority="1736" operator="lessThan">
      <formula>0</formula>
    </cfRule>
  </conditionalFormatting>
  <conditionalFormatting sqref="AQ51">
    <cfRule type="cellIs" dxfId="1895" priority="1735" operator="lessThan">
      <formula>0</formula>
    </cfRule>
  </conditionalFormatting>
  <conditionalFormatting sqref="AQ51">
    <cfRule type="cellIs" dxfId="1894" priority="1734" operator="lessThan">
      <formula>0</formula>
    </cfRule>
  </conditionalFormatting>
  <conditionalFormatting sqref="AQ51">
    <cfRule type="cellIs" dxfId="1893" priority="1733" operator="lessThan">
      <formula>0</formula>
    </cfRule>
  </conditionalFormatting>
  <conditionalFormatting sqref="AQ51">
    <cfRule type="cellIs" dxfId="1892" priority="1732" operator="lessThan">
      <formula>0</formula>
    </cfRule>
  </conditionalFormatting>
  <conditionalFormatting sqref="AQ51">
    <cfRule type="cellIs" dxfId="1891" priority="1731" operator="lessThan">
      <formula>0</formula>
    </cfRule>
  </conditionalFormatting>
  <conditionalFormatting sqref="AQ51">
    <cfRule type="cellIs" dxfId="1890" priority="1730" operator="lessThan">
      <formula>0</formula>
    </cfRule>
  </conditionalFormatting>
  <conditionalFormatting sqref="AQ51">
    <cfRule type="cellIs" dxfId="1889" priority="1729" operator="lessThan">
      <formula>0</formula>
    </cfRule>
  </conditionalFormatting>
  <conditionalFormatting sqref="AQ51">
    <cfRule type="cellIs" dxfId="1888" priority="1728" operator="lessThan">
      <formula>0</formula>
    </cfRule>
  </conditionalFormatting>
  <conditionalFormatting sqref="AQ51">
    <cfRule type="cellIs" dxfId="1887" priority="1727" operator="lessThan">
      <formula>0</formula>
    </cfRule>
  </conditionalFormatting>
  <conditionalFormatting sqref="AQ51">
    <cfRule type="cellIs" dxfId="1886" priority="1726" operator="lessThan">
      <formula>0</formula>
    </cfRule>
  </conditionalFormatting>
  <conditionalFormatting sqref="AQ51">
    <cfRule type="cellIs" dxfId="1885" priority="1725" operator="lessThan">
      <formula>0</formula>
    </cfRule>
  </conditionalFormatting>
  <conditionalFormatting sqref="AQ51">
    <cfRule type="cellIs" dxfId="1884" priority="1724" operator="lessThan">
      <formula>0</formula>
    </cfRule>
  </conditionalFormatting>
  <conditionalFormatting sqref="AQ51">
    <cfRule type="cellIs" dxfId="1883" priority="1723" operator="lessThan">
      <formula>0</formula>
    </cfRule>
  </conditionalFormatting>
  <conditionalFormatting sqref="AQ51">
    <cfRule type="cellIs" dxfId="1882" priority="1722" operator="lessThan">
      <formula>0</formula>
    </cfRule>
  </conditionalFormatting>
  <conditionalFormatting sqref="AQ51">
    <cfRule type="cellIs" dxfId="1881" priority="1721" operator="lessThan">
      <formula>0</formula>
    </cfRule>
  </conditionalFormatting>
  <conditionalFormatting sqref="AQ51">
    <cfRule type="cellIs" dxfId="1880" priority="1720" operator="lessThan">
      <formula>0</formula>
    </cfRule>
  </conditionalFormatting>
  <conditionalFormatting sqref="AQ51">
    <cfRule type="cellIs" dxfId="1879" priority="1719" operator="lessThan">
      <formula>0</formula>
    </cfRule>
  </conditionalFormatting>
  <conditionalFormatting sqref="AQ51">
    <cfRule type="cellIs" dxfId="1878" priority="1718" operator="lessThan">
      <formula>0</formula>
    </cfRule>
  </conditionalFormatting>
  <conditionalFormatting sqref="AQ51">
    <cfRule type="cellIs" dxfId="1877" priority="1717" operator="lessThan">
      <formula>0</formula>
    </cfRule>
  </conditionalFormatting>
  <conditionalFormatting sqref="AQ51">
    <cfRule type="cellIs" dxfId="1876" priority="1716" operator="lessThan">
      <formula>0</formula>
    </cfRule>
  </conditionalFormatting>
  <conditionalFormatting sqref="AQ51">
    <cfRule type="cellIs" dxfId="1875" priority="1715" operator="lessThan">
      <formula>0</formula>
    </cfRule>
  </conditionalFormatting>
  <conditionalFormatting sqref="AQ51">
    <cfRule type="cellIs" dxfId="1874" priority="1714" operator="lessThan">
      <formula>0</formula>
    </cfRule>
  </conditionalFormatting>
  <conditionalFormatting sqref="AQ51">
    <cfRule type="cellIs" dxfId="1873" priority="1713" operator="lessThan">
      <formula>0</formula>
    </cfRule>
  </conditionalFormatting>
  <conditionalFormatting sqref="AQ51">
    <cfRule type="cellIs" dxfId="1872" priority="1712" operator="lessThan">
      <formula>0</formula>
    </cfRule>
  </conditionalFormatting>
  <conditionalFormatting sqref="AQ51">
    <cfRule type="cellIs" dxfId="1871" priority="1711" operator="lessThan">
      <formula>0</formula>
    </cfRule>
  </conditionalFormatting>
  <conditionalFormatting sqref="AQ51">
    <cfRule type="cellIs" dxfId="1870" priority="1710" operator="lessThan">
      <formula>0</formula>
    </cfRule>
  </conditionalFormatting>
  <conditionalFormatting sqref="AQ51">
    <cfRule type="cellIs" dxfId="1869" priority="1709" operator="lessThan">
      <formula>0</formula>
    </cfRule>
  </conditionalFormatting>
  <conditionalFormatting sqref="AQ51">
    <cfRule type="cellIs" dxfId="1868" priority="1708" operator="lessThan">
      <formula>0</formula>
    </cfRule>
  </conditionalFormatting>
  <conditionalFormatting sqref="AQ51">
    <cfRule type="cellIs" dxfId="1867" priority="1692" operator="lessThan">
      <formula>0</formula>
    </cfRule>
  </conditionalFormatting>
  <conditionalFormatting sqref="AQ51">
    <cfRule type="cellIs" dxfId="1866" priority="1707" operator="lessThan">
      <formula>0</formula>
    </cfRule>
  </conditionalFormatting>
  <conditionalFormatting sqref="AQ51">
    <cfRule type="cellIs" dxfId="1865" priority="1706" operator="lessThan">
      <formula>0</formula>
    </cfRule>
  </conditionalFormatting>
  <conditionalFormatting sqref="AQ51">
    <cfRule type="cellIs" dxfId="1864" priority="1705" operator="lessThan">
      <formula>0</formula>
    </cfRule>
  </conditionalFormatting>
  <conditionalFormatting sqref="AQ51">
    <cfRule type="cellIs" dxfId="1863" priority="1704" operator="lessThan">
      <formula>0</formula>
    </cfRule>
  </conditionalFormatting>
  <conditionalFormatting sqref="AQ51">
    <cfRule type="cellIs" dxfId="1862" priority="1703" operator="lessThan">
      <formula>0</formula>
    </cfRule>
  </conditionalFormatting>
  <conditionalFormatting sqref="AQ51">
    <cfRule type="cellIs" dxfId="1861" priority="1702" operator="lessThan">
      <formula>0</formula>
    </cfRule>
  </conditionalFormatting>
  <conditionalFormatting sqref="AQ51">
    <cfRule type="cellIs" dxfId="1860" priority="1701" operator="lessThan">
      <formula>0</formula>
    </cfRule>
  </conditionalFormatting>
  <conditionalFormatting sqref="AQ51">
    <cfRule type="cellIs" dxfId="1859" priority="1700" operator="lessThan">
      <formula>0</formula>
    </cfRule>
  </conditionalFormatting>
  <conditionalFormatting sqref="AQ51">
    <cfRule type="cellIs" dxfId="1858" priority="1699" operator="lessThan">
      <formula>0</formula>
    </cfRule>
  </conditionalFormatting>
  <conditionalFormatting sqref="AQ51">
    <cfRule type="cellIs" dxfId="1857" priority="1698" operator="lessThan">
      <formula>0</formula>
    </cfRule>
  </conditionalFormatting>
  <conditionalFormatting sqref="AQ51">
    <cfRule type="cellIs" dxfId="1856" priority="1697" operator="lessThan">
      <formula>0</formula>
    </cfRule>
  </conditionalFormatting>
  <conditionalFormatting sqref="AQ51">
    <cfRule type="cellIs" dxfId="1855" priority="1696" operator="lessThan">
      <formula>0</formula>
    </cfRule>
  </conditionalFormatting>
  <conditionalFormatting sqref="AQ51">
    <cfRule type="cellIs" dxfId="1854" priority="1695" operator="lessThan">
      <formula>0</formula>
    </cfRule>
  </conditionalFormatting>
  <conditionalFormatting sqref="AQ51">
    <cfRule type="cellIs" dxfId="1853" priority="1694" operator="lessThan">
      <formula>0</formula>
    </cfRule>
  </conditionalFormatting>
  <conditionalFormatting sqref="AQ51">
    <cfRule type="cellIs" dxfId="1852" priority="1693" operator="lessThan">
      <formula>0</formula>
    </cfRule>
  </conditionalFormatting>
  <conditionalFormatting sqref="AQ67">
    <cfRule type="cellIs" dxfId="1851" priority="1691" operator="lessThan">
      <formula>0</formula>
    </cfRule>
  </conditionalFormatting>
  <conditionalFormatting sqref="AQ67">
    <cfRule type="cellIs" dxfId="1850" priority="1690" operator="lessThan">
      <formula>0</formula>
    </cfRule>
  </conditionalFormatting>
  <conditionalFormatting sqref="AQ67">
    <cfRule type="cellIs" dxfId="1849" priority="1689" operator="lessThan">
      <formula>0</formula>
    </cfRule>
  </conditionalFormatting>
  <conditionalFormatting sqref="AQ67">
    <cfRule type="cellIs" dxfId="1848" priority="1688" operator="lessThan">
      <formula>0</formula>
    </cfRule>
  </conditionalFormatting>
  <conditionalFormatting sqref="AQ67">
    <cfRule type="cellIs" dxfId="1847" priority="1687" operator="lessThan">
      <formula>0</formula>
    </cfRule>
  </conditionalFormatting>
  <conditionalFormatting sqref="AQ67">
    <cfRule type="cellIs" dxfId="1846" priority="1686" operator="lessThan">
      <formula>0</formula>
    </cfRule>
  </conditionalFormatting>
  <conditionalFormatting sqref="AQ67">
    <cfRule type="cellIs" dxfId="1845" priority="1685" operator="lessThan">
      <formula>0</formula>
    </cfRule>
  </conditionalFormatting>
  <conditionalFormatting sqref="AQ67">
    <cfRule type="cellIs" dxfId="1844" priority="1684" operator="lessThan">
      <formula>0</formula>
    </cfRule>
  </conditionalFormatting>
  <conditionalFormatting sqref="AQ67">
    <cfRule type="cellIs" dxfId="1843" priority="1683" operator="lessThan">
      <formula>0</formula>
    </cfRule>
  </conditionalFormatting>
  <conditionalFormatting sqref="AQ67">
    <cfRule type="cellIs" dxfId="1842" priority="1682" operator="lessThan">
      <formula>0</formula>
    </cfRule>
  </conditionalFormatting>
  <conditionalFormatting sqref="AQ67">
    <cfRule type="cellIs" dxfId="1841" priority="1681" operator="lessThan">
      <formula>0</formula>
    </cfRule>
  </conditionalFormatting>
  <conditionalFormatting sqref="AQ67">
    <cfRule type="cellIs" dxfId="1840" priority="1680" operator="lessThan">
      <formula>0</formula>
    </cfRule>
  </conditionalFormatting>
  <conditionalFormatting sqref="AQ67">
    <cfRule type="cellIs" dxfId="1839" priority="1679" operator="lessThan">
      <formula>0</formula>
    </cfRule>
  </conditionalFormatting>
  <conditionalFormatting sqref="AQ67">
    <cfRule type="cellIs" dxfId="1838" priority="1678" operator="lessThan">
      <formula>0</formula>
    </cfRule>
  </conditionalFormatting>
  <conditionalFormatting sqref="AQ67">
    <cfRule type="cellIs" dxfId="1837" priority="1677" operator="lessThan">
      <formula>0</formula>
    </cfRule>
  </conditionalFormatting>
  <conditionalFormatting sqref="AQ67">
    <cfRule type="cellIs" dxfId="1836" priority="1676" operator="lessThan">
      <formula>0</formula>
    </cfRule>
  </conditionalFormatting>
  <conditionalFormatting sqref="AQ67">
    <cfRule type="cellIs" dxfId="1835" priority="1675" operator="lessThan">
      <formula>0</formula>
    </cfRule>
  </conditionalFormatting>
  <conditionalFormatting sqref="AQ67">
    <cfRule type="cellIs" dxfId="1834" priority="1674" operator="lessThan">
      <formula>0</formula>
    </cfRule>
  </conditionalFormatting>
  <conditionalFormatting sqref="AQ67">
    <cfRule type="cellIs" dxfId="1833" priority="1673" operator="lessThan">
      <formula>0</formula>
    </cfRule>
  </conditionalFormatting>
  <conditionalFormatting sqref="AQ67">
    <cfRule type="cellIs" dxfId="1832" priority="1672" operator="lessThan">
      <formula>0</formula>
    </cfRule>
  </conditionalFormatting>
  <conditionalFormatting sqref="AQ67">
    <cfRule type="cellIs" dxfId="1831" priority="1671" operator="lessThan">
      <formula>0</formula>
    </cfRule>
  </conditionalFormatting>
  <conditionalFormatting sqref="AQ67">
    <cfRule type="cellIs" dxfId="1830" priority="1670" operator="lessThan">
      <formula>0</formula>
    </cfRule>
  </conditionalFormatting>
  <conditionalFormatting sqref="AQ67">
    <cfRule type="cellIs" dxfId="1829" priority="1669" operator="lessThan">
      <formula>0</formula>
    </cfRule>
  </conditionalFormatting>
  <conditionalFormatting sqref="AQ67">
    <cfRule type="cellIs" dxfId="1828" priority="1668" operator="lessThan">
      <formula>0</formula>
    </cfRule>
  </conditionalFormatting>
  <conditionalFormatting sqref="AQ67">
    <cfRule type="cellIs" dxfId="1827" priority="1667" operator="lessThan">
      <formula>0</formula>
    </cfRule>
  </conditionalFormatting>
  <conditionalFormatting sqref="AQ67">
    <cfRule type="cellIs" dxfId="1826" priority="1666" operator="lessThan">
      <formula>0</formula>
    </cfRule>
  </conditionalFormatting>
  <conditionalFormatting sqref="AQ67">
    <cfRule type="cellIs" dxfId="1825" priority="1665" operator="lessThan">
      <formula>0</formula>
    </cfRule>
  </conditionalFormatting>
  <conditionalFormatting sqref="AQ67">
    <cfRule type="cellIs" dxfId="1824" priority="1664" operator="lessThan">
      <formula>0</formula>
    </cfRule>
  </conditionalFormatting>
  <conditionalFormatting sqref="AQ67">
    <cfRule type="cellIs" dxfId="1823" priority="1663" operator="lessThan">
      <formula>0</formula>
    </cfRule>
  </conditionalFormatting>
  <conditionalFormatting sqref="AQ67">
    <cfRule type="cellIs" dxfId="1822" priority="1662" operator="lessThan">
      <formula>0</formula>
    </cfRule>
  </conditionalFormatting>
  <conditionalFormatting sqref="AQ67">
    <cfRule type="cellIs" dxfId="1821" priority="1661" operator="lessThan">
      <formula>0</formula>
    </cfRule>
  </conditionalFormatting>
  <conditionalFormatting sqref="AQ67">
    <cfRule type="cellIs" dxfId="1820" priority="1660" operator="lessThan">
      <formula>0</formula>
    </cfRule>
  </conditionalFormatting>
  <conditionalFormatting sqref="AQ67">
    <cfRule type="cellIs" dxfId="1819" priority="1659" operator="lessThan">
      <formula>0</formula>
    </cfRule>
  </conditionalFormatting>
  <conditionalFormatting sqref="AQ67">
    <cfRule type="cellIs" dxfId="1818" priority="1658" operator="lessThan">
      <formula>0</formula>
    </cfRule>
  </conditionalFormatting>
  <conditionalFormatting sqref="AQ67">
    <cfRule type="cellIs" dxfId="1817" priority="1657" operator="lessThan">
      <formula>0</formula>
    </cfRule>
  </conditionalFormatting>
  <conditionalFormatting sqref="AQ67">
    <cfRule type="cellIs" dxfId="1816" priority="1656" operator="lessThan">
      <formula>0</formula>
    </cfRule>
  </conditionalFormatting>
  <conditionalFormatting sqref="AQ67">
    <cfRule type="cellIs" dxfId="1815" priority="1655" operator="lessThan">
      <formula>0</formula>
    </cfRule>
  </conditionalFormatting>
  <conditionalFormatting sqref="AQ67">
    <cfRule type="cellIs" dxfId="1814" priority="1654" operator="lessThan">
      <formula>0</formula>
    </cfRule>
  </conditionalFormatting>
  <conditionalFormatting sqref="AQ67">
    <cfRule type="cellIs" dxfId="1813" priority="1653" operator="lessThan">
      <formula>0</formula>
    </cfRule>
  </conditionalFormatting>
  <conditionalFormatting sqref="AQ67">
    <cfRule type="cellIs" dxfId="1812" priority="1652" operator="lessThan">
      <formula>0</formula>
    </cfRule>
  </conditionalFormatting>
  <conditionalFormatting sqref="AQ67">
    <cfRule type="cellIs" dxfId="1811" priority="1651" operator="lessThan">
      <formula>0</formula>
    </cfRule>
  </conditionalFormatting>
  <conditionalFormatting sqref="AQ67">
    <cfRule type="cellIs" dxfId="1810" priority="1650" operator="lessThan">
      <formula>0</formula>
    </cfRule>
  </conditionalFormatting>
  <conditionalFormatting sqref="AQ67">
    <cfRule type="cellIs" dxfId="1809" priority="1649" operator="lessThan">
      <formula>0</formula>
    </cfRule>
  </conditionalFormatting>
  <conditionalFormatting sqref="AQ67">
    <cfRule type="cellIs" dxfId="1808" priority="1648" operator="lessThan">
      <formula>0</formula>
    </cfRule>
  </conditionalFormatting>
  <conditionalFormatting sqref="AQ67">
    <cfRule type="cellIs" dxfId="1807" priority="1647" operator="lessThan">
      <formula>0</formula>
    </cfRule>
  </conditionalFormatting>
  <conditionalFormatting sqref="AQ67">
    <cfRule type="cellIs" dxfId="1806" priority="1646" operator="lessThan">
      <formula>0</formula>
    </cfRule>
  </conditionalFormatting>
  <conditionalFormatting sqref="AQ67">
    <cfRule type="cellIs" dxfId="1805" priority="1645" operator="lessThan">
      <formula>0</formula>
    </cfRule>
  </conditionalFormatting>
  <conditionalFormatting sqref="AQ67">
    <cfRule type="cellIs" dxfId="1804" priority="1644" operator="lessThan">
      <formula>0</formula>
    </cfRule>
  </conditionalFormatting>
  <conditionalFormatting sqref="AQ67">
    <cfRule type="cellIs" dxfId="1803" priority="1643" operator="lessThan">
      <formula>0</formula>
    </cfRule>
  </conditionalFormatting>
  <conditionalFormatting sqref="AQ67">
    <cfRule type="cellIs" dxfId="1802" priority="1642" operator="lessThan">
      <formula>0</formula>
    </cfRule>
  </conditionalFormatting>
  <conditionalFormatting sqref="AQ67">
    <cfRule type="cellIs" dxfId="1801" priority="1641" operator="lessThan">
      <formula>0</formula>
    </cfRule>
  </conditionalFormatting>
  <conditionalFormatting sqref="AQ67">
    <cfRule type="cellIs" dxfId="1800" priority="1640" operator="lessThan">
      <formula>0</formula>
    </cfRule>
  </conditionalFormatting>
  <conditionalFormatting sqref="AQ67">
    <cfRule type="cellIs" dxfId="1799" priority="1639" operator="lessThan">
      <formula>0</formula>
    </cfRule>
  </conditionalFormatting>
  <conditionalFormatting sqref="AQ67">
    <cfRule type="cellIs" dxfId="1798" priority="1638" operator="lessThan">
      <formula>0</formula>
    </cfRule>
  </conditionalFormatting>
  <conditionalFormatting sqref="AQ67">
    <cfRule type="cellIs" dxfId="1797" priority="1637" operator="lessThan">
      <formula>0</formula>
    </cfRule>
  </conditionalFormatting>
  <conditionalFormatting sqref="AQ67">
    <cfRule type="cellIs" dxfId="1796" priority="1636" operator="lessThan">
      <formula>0</formula>
    </cfRule>
  </conditionalFormatting>
  <conditionalFormatting sqref="AQ67">
    <cfRule type="cellIs" dxfId="1795" priority="1635" operator="lessThan">
      <formula>0</formula>
    </cfRule>
  </conditionalFormatting>
  <conditionalFormatting sqref="AQ67">
    <cfRule type="cellIs" dxfId="1794" priority="1634" operator="lessThan">
      <formula>0</formula>
    </cfRule>
  </conditionalFormatting>
  <conditionalFormatting sqref="AQ67">
    <cfRule type="cellIs" dxfId="1793" priority="1633" operator="lessThan">
      <formula>0</formula>
    </cfRule>
  </conditionalFormatting>
  <conditionalFormatting sqref="AQ67">
    <cfRule type="cellIs" dxfId="1792" priority="1632" operator="lessThan">
      <formula>0</formula>
    </cfRule>
  </conditionalFormatting>
  <conditionalFormatting sqref="AQ67">
    <cfRule type="cellIs" dxfId="1791" priority="1631" operator="lessThan">
      <formula>0</formula>
    </cfRule>
  </conditionalFormatting>
  <conditionalFormatting sqref="AQ67">
    <cfRule type="cellIs" dxfId="1790" priority="1630" operator="lessThan">
      <formula>0</formula>
    </cfRule>
  </conditionalFormatting>
  <conditionalFormatting sqref="AQ67">
    <cfRule type="cellIs" dxfId="1789" priority="1629" operator="lessThan">
      <formula>0</formula>
    </cfRule>
  </conditionalFormatting>
  <conditionalFormatting sqref="AQ67">
    <cfRule type="cellIs" dxfId="1788" priority="1628" operator="lessThan">
      <formula>0</formula>
    </cfRule>
  </conditionalFormatting>
  <conditionalFormatting sqref="AQ67">
    <cfRule type="cellIs" dxfId="1787" priority="1627" operator="lessThan">
      <formula>0</formula>
    </cfRule>
  </conditionalFormatting>
  <conditionalFormatting sqref="AQ67">
    <cfRule type="cellIs" dxfId="1786" priority="1626" operator="lessThan">
      <formula>0</formula>
    </cfRule>
  </conditionalFormatting>
  <conditionalFormatting sqref="AQ67">
    <cfRule type="cellIs" dxfId="1785" priority="1625" operator="lessThan">
      <formula>0</formula>
    </cfRule>
  </conditionalFormatting>
  <conditionalFormatting sqref="AQ67">
    <cfRule type="cellIs" dxfId="1784" priority="1624" operator="lessThan">
      <formula>0</formula>
    </cfRule>
  </conditionalFormatting>
  <conditionalFormatting sqref="AQ67">
    <cfRule type="cellIs" dxfId="1783" priority="1623" operator="lessThan">
      <formula>0</formula>
    </cfRule>
  </conditionalFormatting>
  <conditionalFormatting sqref="AQ67">
    <cfRule type="cellIs" dxfId="1782" priority="1622" operator="lessThan">
      <formula>0</formula>
    </cfRule>
  </conditionalFormatting>
  <conditionalFormatting sqref="AQ67">
    <cfRule type="cellIs" dxfId="1781" priority="1621" operator="lessThan">
      <formula>0</formula>
    </cfRule>
  </conditionalFormatting>
  <conditionalFormatting sqref="AQ67">
    <cfRule type="cellIs" dxfId="1780" priority="1620" operator="lessThan">
      <formula>0</formula>
    </cfRule>
  </conditionalFormatting>
  <conditionalFormatting sqref="AQ67">
    <cfRule type="cellIs" dxfId="1779" priority="1619" operator="lessThan">
      <formula>0</formula>
    </cfRule>
  </conditionalFormatting>
  <conditionalFormatting sqref="AQ67">
    <cfRule type="cellIs" dxfId="1778" priority="1618" operator="lessThan">
      <formula>0</formula>
    </cfRule>
  </conditionalFormatting>
  <conditionalFormatting sqref="AQ67">
    <cfRule type="cellIs" dxfId="1777" priority="1617" operator="lessThan">
      <formula>0</formula>
    </cfRule>
  </conditionalFormatting>
  <conditionalFormatting sqref="AQ67">
    <cfRule type="cellIs" dxfId="1776" priority="1616" operator="lessThan">
      <formula>0</formula>
    </cfRule>
  </conditionalFormatting>
  <conditionalFormatting sqref="AQ67">
    <cfRule type="cellIs" dxfId="1775" priority="1615" operator="lessThan">
      <formula>0</formula>
    </cfRule>
  </conditionalFormatting>
  <conditionalFormatting sqref="AQ67">
    <cfRule type="cellIs" dxfId="1774" priority="1614" operator="lessThan">
      <formula>0</formula>
    </cfRule>
  </conditionalFormatting>
  <conditionalFormatting sqref="AQ67">
    <cfRule type="cellIs" dxfId="1773" priority="1613" operator="lessThan">
      <formula>0</formula>
    </cfRule>
  </conditionalFormatting>
  <conditionalFormatting sqref="AQ67">
    <cfRule type="cellIs" dxfId="1772" priority="1612" operator="lessThan">
      <formula>0</formula>
    </cfRule>
  </conditionalFormatting>
  <conditionalFormatting sqref="AQ67">
    <cfRule type="cellIs" dxfId="1771" priority="1596" operator="lessThan">
      <formula>0</formula>
    </cfRule>
  </conditionalFormatting>
  <conditionalFormatting sqref="AQ67">
    <cfRule type="cellIs" dxfId="1770" priority="1611" operator="lessThan">
      <formula>0</formula>
    </cfRule>
  </conditionalFormatting>
  <conditionalFormatting sqref="AQ67">
    <cfRule type="cellIs" dxfId="1769" priority="1610" operator="lessThan">
      <formula>0</formula>
    </cfRule>
  </conditionalFormatting>
  <conditionalFormatting sqref="AQ67">
    <cfRule type="cellIs" dxfId="1768" priority="1609" operator="lessThan">
      <formula>0</formula>
    </cfRule>
  </conditionalFormatting>
  <conditionalFormatting sqref="AQ67">
    <cfRule type="cellIs" dxfId="1767" priority="1608" operator="lessThan">
      <formula>0</formula>
    </cfRule>
  </conditionalFormatting>
  <conditionalFormatting sqref="AQ67">
    <cfRule type="cellIs" dxfId="1766" priority="1607" operator="lessThan">
      <formula>0</formula>
    </cfRule>
  </conditionalFormatting>
  <conditionalFormatting sqref="AQ67">
    <cfRule type="cellIs" dxfId="1765" priority="1606" operator="lessThan">
      <formula>0</formula>
    </cfRule>
  </conditionalFormatting>
  <conditionalFormatting sqref="AQ67">
    <cfRule type="cellIs" dxfId="1764" priority="1605" operator="lessThan">
      <formula>0</formula>
    </cfRule>
  </conditionalFormatting>
  <conditionalFormatting sqref="AQ67">
    <cfRule type="cellIs" dxfId="1763" priority="1604" operator="lessThan">
      <formula>0</formula>
    </cfRule>
  </conditionalFormatting>
  <conditionalFormatting sqref="AQ67">
    <cfRule type="cellIs" dxfId="1762" priority="1603" operator="lessThan">
      <formula>0</formula>
    </cfRule>
  </conditionalFormatting>
  <conditionalFormatting sqref="AQ67">
    <cfRule type="cellIs" dxfId="1761" priority="1602" operator="lessThan">
      <formula>0</formula>
    </cfRule>
  </conditionalFormatting>
  <conditionalFormatting sqref="AQ67">
    <cfRule type="cellIs" dxfId="1760" priority="1601" operator="lessThan">
      <formula>0</formula>
    </cfRule>
  </conditionalFormatting>
  <conditionalFormatting sqref="AQ67">
    <cfRule type="cellIs" dxfId="1759" priority="1600" operator="lessThan">
      <formula>0</formula>
    </cfRule>
  </conditionalFormatting>
  <conditionalFormatting sqref="AQ67">
    <cfRule type="cellIs" dxfId="1758" priority="1599" operator="lessThan">
      <formula>0</formula>
    </cfRule>
  </conditionalFormatting>
  <conditionalFormatting sqref="AQ67">
    <cfRule type="cellIs" dxfId="1757" priority="1598" operator="lessThan">
      <formula>0</formula>
    </cfRule>
  </conditionalFormatting>
  <conditionalFormatting sqref="AQ67">
    <cfRule type="cellIs" dxfId="1756" priority="1597" operator="lessThan">
      <formula>0</formula>
    </cfRule>
  </conditionalFormatting>
  <conditionalFormatting sqref="AQ67">
    <cfRule type="cellIs" dxfId="1755" priority="1595" operator="lessThan">
      <formula>0</formula>
    </cfRule>
  </conditionalFormatting>
  <conditionalFormatting sqref="AQ67">
    <cfRule type="cellIs" dxfId="1754" priority="1594" operator="lessThan">
      <formula>0</formula>
    </cfRule>
  </conditionalFormatting>
  <conditionalFormatting sqref="AQ67">
    <cfRule type="cellIs" dxfId="1753" priority="1593" operator="lessThan">
      <formula>0</formula>
    </cfRule>
  </conditionalFormatting>
  <conditionalFormatting sqref="AQ67">
    <cfRule type="cellIs" dxfId="1752" priority="1592" operator="lessThan">
      <formula>0</formula>
    </cfRule>
  </conditionalFormatting>
  <conditionalFormatting sqref="AQ67">
    <cfRule type="cellIs" dxfId="1751" priority="1591" operator="lessThan">
      <formula>0</formula>
    </cfRule>
  </conditionalFormatting>
  <conditionalFormatting sqref="AQ67">
    <cfRule type="cellIs" dxfId="1750" priority="1590" operator="lessThan">
      <formula>0</formula>
    </cfRule>
  </conditionalFormatting>
  <conditionalFormatting sqref="AQ67">
    <cfRule type="cellIs" dxfId="1749" priority="1589" operator="lessThan">
      <formula>0</formula>
    </cfRule>
  </conditionalFormatting>
  <conditionalFormatting sqref="AQ67">
    <cfRule type="cellIs" dxfId="1748" priority="1588" operator="lessThan">
      <formula>0</formula>
    </cfRule>
  </conditionalFormatting>
  <conditionalFormatting sqref="AQ67">
    <cfRule type="cellIs" dxfId="1747" priority="1587" operator="lessThan">
      <formula>0</formula>
    </cfRule>
  </conditionalFormatting>
  <conditionalFormatting sqref="AQ67">
    <cfRule type="cellIs" dxfId="1746" priority="1586" operator="lessThan">
      <formula>0</formula>
    </cfRule>
  </conditionalFormatting>
  <conditionalFormatting sqref="AQ67">
    <cfRule type="cellIs" dxfId="1745" priority="1585" operator="lessThan">
      <formula>0</formula>
    </cfRule>
  </conditionalFormatting>
  <conditionalFormatting sqref="AQ67">
    <cfRule type="cellIs" dxfId="1744" priority="1584" operator="lessThan">
      <formula>0</formula>
    </cfRule>
  </conditionalFormatting>
  <conditionalFormatting sqref="AQ67">
    <cfRule type="cellIs" dxfId="1743" priority="1583" operator="lessThan">
      <formula>0</formula>
    </cfRule>
  </conditionalFormatting>
  <conditionalFormatting sqref="AQ67">
    <cfRule type="cellIs" dxfId="1742" priority="1582" operator="lessThan">
      <formula>0</formula>
    </cfRule>
  </conditionalFormatting>
  <conditionalFormatting sqref="AQ67">
    <cfRule type="cellIs" dxfId="1741" priority="1581" operator="lessThan">
      <formula>0</formula>
    </cfRule>
  </conditionalFormatting>
  <conditionalFormatting sqref="AQ67">
    <cfRule type="cellIs" dxfId="1740" priority="1580" operator="lessThan">
      <formula>0</formula>
    </cfRule>
  </conditionalFormatting>
  <conditionalFormatting sqref="AQ67">
    <cfRule type="cellIs" dxfId="1739" priority="1579" operator="lessThan">
      <formula>0</formula>
    </cfRule>
  </conditionalFormatting>
  <conditionalFormatting sqref="AQ67">
    <cfRule type="cellIs" dxfId="1738" priority="1578" operator="lessThan">
      <formula>0</formula>
    </cfRule>
  </conditionalFormatting>
  <conditionalFormatting sqref="AQ67">
    <cfRule type="cellIs" dxfId="1737" priority="1577" operator="lessThan">
      <formula>0</formula>
    </cfRule>
  </conditionalFormatting>
  <conditionalFormatting sqref="AQ67">
    <cfRule type="cellIs" dxfId="1736" priority="1576" operator="lessThan">
      <formula>0</formula>
    </cfRule>
  </conditionalFormatting>
  <conditionalFormatting sqref="AQ67">
    <cfRule type="cellIs" dxfId="1735" priority="1575" operator="lessThan">
      <formula>0</formula>
    </cfRule>
  </conditionalFormatting>
  <conditionalFormatting sqref="AQ67">
    <cfRule type="cellIs" dxfId="1734" priority="1574" operator="lessThan">
      <formula>0</formula>
    </cfRule>
  </conditionalFormatting>
  <conditionalFormatting sqref="AQ67">
    <cfRule type="cellIs" dxfId="1733" priority="1573" operator="lessThan">
      <formula>0</formula>
    </cfRule>
  </conditionalFormatting>
  <conditionalFormatting sqref="AQ67">
    <cfRule type="cellIs" dxfId="1732" priority="1572" operator="lessThan">
      <formula>0</formula>
    </cfRule>
  </conditionalFormatting>
  <conditionalFormatting sqref="AQ67">
    <cfRule type="cellIs" dxfId="1731" priority="1571" operator="lessThan">
      <formula>0</formula>
    </cfRule>
  </conditionalFormatting>
  <conditionalFormatting sqref="AQ67">
    <cfRule type="cellIs" dxfId="1730" priority="1570" operator="lessThan">
      <formula>0</formula>
    </cfRule>
  </conditionalFormatting>
  <conditionalFormatting sqref="AQ67">
    <cfRule type="cellIs" dxfId="1729" priority="1569" operator="lessThan">
      <formula>0</formula>
    </cfRule>
  </conditionalFormatting>
  <conditionalFormatting sqref="AQ67">
    <cfRule type="cellIs" dxfId="1728" priority="1568" operator="lessThan">
      <formula>0</formula>
    </cfRule>
  </conditionalFormatting>
  <conditionalFormatting sqref="AQ67">
    <cfRule type="cellIs" dxfId="1727" priority="1567" operator="lessThan">
      <formula>0</formula>
    </cfRule>
  </conditionalFormatting>
  <conditionalFormatting sqref="AQ67">
    <cfRule type="cellIs" dxfId="1726" priority="1566" operator="lessThan">
      <formula>0</formula>
    </cfRule>
  </conditionalFormatting>
  <conditionalFormatting sqref="AQ67">
    <cfRule type="cellIs" dxfId="1725" priority="1565" operator="lessThan">
      <formula>0</formula>
    </cfRule>
  </conditionalFormatting>
  <conditionalFormatting sqref="AQ67">
    <cfRule type="cellIs" dxfId="1724" priority="1564" operator="lessThan">
      <formula>0</formula>
    </cfRule>
  </conditionalFormatting>
  <conditionalFormatting sqref="AQ67">
    <cfRule type="cellIs" dxfId="1723" priority="1563" operator="lessThan">
      <formula>0</formula>
    </cfRule>
  </conditionalFormatting>
  <conditionalFormatting sqref="AQ67">
    <cfRule type="cellIs" dxfId="1722" priority="1562" operator="lessThan">
      <formula>0</formula>
    </cfRule>
  </conditionalFormatting>
  <conditionalFormatting sqref="AQ67">
    <cfRule type="cellIs" dxfId="1721" priority="1561" operator="lessThan">
      <formula>0</formula>
    </cfRule>
  </conditionalFormatting>
  <conditionalFormatting sqref="AQ67">
    <cfRule type="cellIs" dxfId="1720" priority="1560" operator="lessThan">
      <formula>0</formula>
    </cfRule>
  </conditionalFormatting>
  <conditionalFormatting sqref="AQ67">
    <cfRule type="cellIs" dxfId="1719" priority="1559" operator="lessThan">
      <formula>0</formula>
    </cfRule>
  </conditionalFormatting>
  <conditionalFormatting sqref="AQ67">
    <cfRule type="cellIs" dxfId="1718" priority="1558" operator="lessThan">
      <formula>0</formula>
    </cfRule>
  </conditionalFormatting>
  <conditionalFormatting sqref="AQ67">
    <cfRule type="cellIs" dxfId="1717" priority="1557" operator="lessThan">
      <formula>0</formula>
    </cfRule>
  </conditionalFormatting>
  <conditionalFormatting sqref="AQ67">
    <cfRule type="cellIs" dxfId="1716" priority="1556" operator="lessThan">
      <formula>0</formula>
    </cfRule>
  </conditionalFormatting>
  <conditionalFormatting sqref="AQ67">
    <cfRule type="cellIs" dxfId="1715" priority="1555" operator="lessThan">
      <formula>0</formula>
    </cfRule>
  </conditionalFormatting>
  <conditionalFormatting sqref="AQ67">
    <cfRule type="cellIs" dxfId="1714" priority="1554" operator="lessThan">
      <formula>0</formula>
    </cfRule>
  </conditionalFormatting>
  <conditionalFormatting sqref="AQ67">
    <cfRule type="cellIs" dxfId="1713" priority="1553" operator="lessThan">
      <formula>0</formula>
    </cfRule>
  </conditionalFormatting>
  <conditionalFormatting sqref="AQ67">
    <cfRule type="cellIs" dxfId="1712" priority="1552" operator="lessThan">
      <formula>0</formula>
    </cfRule>
  </conditionalFormatting>
  <conditionalFormatting sqref="AQ67">
    <cfRule type="cellIs" dxfId="1711" priority="1551" operator="lessThan">
      <formula>0</formula>
    </cfRule>
  </conditionalFormatting>
  <conditionalFormatting sqref="AQ67">
    <cfRule type="cellIs" dxfId="1710" priority="1550" operator="lessThan">
      <formula>0</formula>
    </cfRule>
  </conditionalFormatting>
  <conditionalFormatting sqref="AQ67">
    <cfRule type="cellIs" dxfId="1709" priority="1549" operator="lessThan">
      <formula>0</formula>
    </cfRule>
  </conditionalFormatting>
  <conditionalFormatting sqref="AQ67">
    <cfRule type="cellIs" dxfId="1708" priority="1548" operator="lessThan">
      <formula>0</formula>
    </cfRule>
  </conditionalFormatting>
  <conditionalFormatting sqref="AQ67">
    <cfRule type="cellIs" dxfId="1707" priority="1547" operator="lessThan">
      <formula>0</formula>
    </cfRule>
  </conditionalFormatting>
  <conditionalFormatting sqref="AQ67">
    <cfRule type="cellIs" dxfId="1706" priority="1546" operator="lessThan">
      <formula>0</formula>
    </cfRule>
  </conditionalFormatting>
  <conditionalFormatting sqref="AQ67">
    <cfRule type="cellIs" dxfId="1705" priority="1545" operator="lessThan">
      <formula>0</formula>
    </cfRule>
  </conditionalFormatting>
  <conditionalFormatting sqref="AQ67">
    <cfRule type="cellIs" dxfId="1704" priority="1544" operator="lessThan">
      <formula>0</formula>
    </cfRule>
  </conditionalFormatting>
  <conditionalFormatting sqref="AQ67">
    <cfRule type="cellIs" dxfId="1703" priority="1543" operator="lessThan">
      <formula>0</formula>
    </cfRule>
  </conditionalFormatting>
  <conditionalFormatting sqref="AQ67">
    <cfRule type="cellIs" dxfId="1702" priority="1542" operator="lessThan">
      <formula>0</formula>
    </cfRule>
  </conditionalFormatting>
  <conditionalFormatting sqref="AQ67">
    <cfRule type="cellIs" dxfId="1701" priority="1541" operator="lessThan">
      <formula>0</formula>
    </cfRule>
  </conditionalFormatting>
  <conditionalFormatting sqref="AQ67">
    <cfRule type="cellIs" dxfId="1700" priority="1540" operator="lessThan">
      <formula>0</formula>
    </cfRule>
  </conditionalFormatting>
  <conditionalFormatting sqref="AQ67">
    <cfRule type="cellIs" dxfId="1699" priority="1539" operator="lessThan">
      <formula>0</formula>
    </cfRule>
  </conditionalFormatting>
  <conditionalFormatting sqref="AQ67">
    <cfRule type="cellIs" dxfId="1698" priority="1538" operator="lessThan">
      <formula>0</formula>
    </cfRule>
  </conditionalFormatting>
  <conditionalFormatting sqref="AQ67">
    <cfRule type="cellIs" dxfId="1697" priority="1537" operator="lessThan">
      <formula>0</formula>
    </cfRule>
  </conditionalFormatting>
  <conditionalFormatting sqref="AQ67">
    <cfRule type="cellIs" dxfId="1696" priority="1536" operator="lessThan">
      <formula>0</formula>
    </cfRule>
  </conditionalFormatting>
  <conditionalFormatting sqref="AQ67">
    <cfRule type="cellIs" dxfId="1695" priority="1535" operator="lessThan">
      <formula>0</formula>
    </cfRule>
  </conditionalFormatting>
  <conditionalFormatting sqref="AQ67">
    <cfRule type="cellIs" dxfId="1694" priority="1534" operator="lessThan">
      <formula>0</formula>
    </cfRule>
  </conditionalFormatting>
  <conditionalFormatting sqref="AQ67">
    <cfRule type="cellIs" dxfId="1693" priority="1533" operator="lessThan">
      <formula>0</formula>
    </cfRule>
  </conditionalFormatting>
  <conditionalFormatting sqref="AQ67">
    <cfRule type="cellIs" dxfId="1692" priority="1532" operator="lessThan">
      <formula>0</formula>
    </cfRule>
  </conditionalFormatting>
  <conditionalFormatting sqref="AQ67">
    <cfRule type="cellIs" dxfId="1691" priority="1531" operator="lessThan">
      <formula>0</formula>
    </cfRule>
  </conditionalFormatting>
  <conditionalFormatting sqref="AQ67">
    <cfRule type="cellIs" dxfId="1690" priority="1530" operator="lessThan">
      <formula>0</formula>
    </cfRule>
  </conditionalFormatting>
  <conditionalFormatting sqref="AQ67">
    <cfRule type="cellIs" dxfId="1689" priority="1529" operator="lessThan">
      <formula>0</formula>
    </cfRule>
  </conditionalFormatting>
  <conditionalFormatting sqref="AQ67">
    <cfRule type="cellIs" dxfId="1688" priority="1528" operator="lessThan">
      <formula>0</formula>
    </cfRule>
  </conditionalFormatting>
  <conditionalFormatting sqref="AQ67">
    <cfRule type="cellIs" dxfId="1687" priority="1527" operator="lessThan">
      <formula>0</formula>
    </cfRule>
  </conditionalFormatting>
  <conditionalFormatting sqref="AQ67">
    <cfRule type="cellIs" dxfId="1686" priority="1526" operator="lessThan">
      <formula>0</formula>
    </cfRule>
  </conditionalFormatting>
  <conditionalFormatting sqref="AQ67">
    <cfRule type="cellIs" dxfId="1685" priority="1525" operator="lessThan">
      <formula>0</formula>
    </cfRule>
  </conditionalFormatting>
  <conditionalFormatting sqref="AQ67">
    <cfRule type="cellIs" dxfId="1684" priority="1524" operator="lessThan">
      <formula>0</formula>
    </cfRule>
  </conditionalFormatting>
  <conditionalFormatting sqref="AQ67">
    <cfRule type="cellIs" dxfId="1683" priority="1523" operator="lessThan">
      <formula>0</formula>
    </cfRule>
  </conditionalFormatting>
  <conditionalFormatting sqref="AQ67">
    <cfRule type="cellIs" dxfId="1682" priority="1522" operator="lessThan">
      <formula>0</formula>
    </cfRule>
  </conditionalFormatting>
  <conditionalFormatting sqref="AQ67">
    <cfRule type="cellIs" dxfId="1681" priority="1521" operator="lessThan">
      <formula>0</formula>
    </cfRule>
  </conditionalFormatting>
  <conditionalFormatting sqref="AQ67">
    <cfRule type="cellIs" dxfId="1680" priority="1520" operator="lessThan">
      <formula>0</formula>
    </cfRule>
  </conditionalFormatting>
  <conditionalFormatting sqref="AQ67">
    <cfRule type="cellIs" dxfId="1679" priority="1519" operator="lessThan">
      <formula>0</formula>
    </cfRule>
  </conditionalFormatting>
  <conditionalFormatting sqref="AQ67">
    <cfRule type="cellIs" dxfId="1678" priority="1518" operator="lessThan">
      <formula>0</formula>
    </cfRule>
  </conditionalFormatting>
  <conditionalFormatting sqref="AQ67">
    <cfRule type="cellIs" dxfId="1677" priority="1517" operator="lessThan">
      <formula>0</formula>
    </cfRule>
  </conditionalFormatting>
  <conditionalFormatting sqref="AQ67">
    <cfRule type="cellIs" dxfId="1676" priority="1516" operator="lessThan">
      <formula>0</formula>
    </cfRule>
  </conditionalFormatting>
  <conditionalFormatting sqref="AQ67">
    <cfRule type="cellIs" dxfId="1675" priority="1500" operator="lessThan">
      <formula>0</formula>
    </cfRule>
  </conditionalFormatting>
  <conditionalFormatting sqref="AQ67">
    <cfRule type="cellIs" dxfId="1674" priority="1515" operator="lessThan">
      <formula>0</formula>
    </cfRule>
  </conditionalFormatting>
  <conditionalFormatting sqref="AQ67">
    <cfRule type="cellIs" dxfId="1673" priority="1514" operator="lessThan">
      <formula>0</formula>
    </cfRule>
  </conditionalFormatting>
  <conditionalFormatting sqref="AQ67">
    <cfRule type="cellIs" dxfId="1672" priority="1513" operator="lessThan">
      <formula>0</formula>
    </cfRule>
  </conditionalFormatting>
  <conditionalFormatting sqref="AQ67">
    <cfRule type="cellIs" dxfId="1671" priority="1512" operator="lessThan">
      <formula>0</formula>
    </cfRule>
  </conditionalFormatting>
  <conditionalFormatting sqref="AQ67">
    <cfRule type="cellIs" dxfId="1670" priority="1511" operator="lessThan">
      <formula>0</formula>
    </cfRule>
  </conditionalFormatting>
  <conditionalFormatting sqref="AQ67">
    <cfRule type="cellIs" dxfId="1669" priority="1510" operator="lessThan">
      <formula>0</formula>
    </cfRule>
  </conditionalFormatting>
  <conditionalFormatting sqref="AQ67">
    <cfRule type="cellIs" dxfId="1668" priority="1509" operator="lessThan">
      <formula>0</formula>
    </cfRule>
  </conditionalFormatting>
  <conditionalFormatting sqref="AQ67">
    <cfRule type="cellIs" dxfId="1667" priority="1508" operator="lessThan">
      <formula>0</formula>
    </cfRule>
  </conditionalFormatting>
  <conditionalFormatting sqref="AQ67">
    <cfRule type="cellIs" dxfId="1666" priority="1507" operator="lessThan">
      <formula>0</formula>
    </cfRule>
  </conditionalFormatting>
  <conditionalFormatting sqref="AQ67">
    <cfRule type="cellIs" dxfId="1665" priority="1506" operator="lessThan">
      <formula>0</formula>
    </cfRule>
  </conditionalFormatting>
  <conditionalFormatting sqref="AQ67">
    <cfRule type="cellIs" dxfId="1664" priority="1505" operator="lessThan">
      <formula>0</formula>
    </cfRule>
  </conditionalFormatting>
  <conditionalFormatting sqref="AQ67">
    <cfRule type="cellIs" dxfId="1663" priority="1504" operator="lessThan">
      <formula>0</formula>
    </cfRule>
  </conditionalFormatting>
  <conditionalFormatting sqref="AQ67">
    <cfRule type="cellIs" dxfId="1662" priority="1503" operator="lessThan">
      <formula>0</formula>
    </cfRule>
  </conditionalFormatting>
  <conditionalFormatting sqref="AQ67">
    <cfRule type="cellIs" dxfId="1661" priority="1502" operator="lessThan">
      <formula>0</formula>
    </cfRule>
  </conditionalFormatting>
  <conditionalFormatting sqref="AQ67">
    <cfRule type="cellIs" dxfId="1660" priority="1501" operator="lessThan">
      <formula>0</formula>
    </cfRule>
  </conditionalFormatting>
  <conditionalFormatting sqref="AM74:AM77">
    <cfRule type="cellIs" dxfId="1659" priority="1497" operator="notEqual">
      <formula>0</formula>
    </cfRule>
  </conditionalFormatting>
  <conditionalFormatting sqref="I76">
    <cfRule type="cellIs" dxfId="1658" priority="1496" operator="greaterThan">
      <formula>0</formula>
    </cfRule>
  </conditionalFormatting>
  <conditionalFormatting sqref="Y76">
    <cfRule type="cellIs" dxfId="1657" priority="1495" operator="lessThan">
      <formula>0</formula>
    </cfRule>
  </conditionalFormatting>
  <conditionalFormatting sqref="Y74:Y76">
    <cfRule type="cellIs" dxfId="1656" priority="1494" operator="lessThan">
      <formula>0</formula>
    </cfRule>
  </conditionalFormatting>
  <conditionalFormatting sqref="Y77">
    <cfRule type="cellIs" dxfId="1655" priority="1493" operator="lessThan">
      <formula>0</formula>
    </cfRule>
  </conditionalFormatting>
  <conditionalFormatting sqref="Y75">
    <cfRule type="iconSet" priority="1499">
      <iconSet>
        <cfvo type="percent" val="0"/>
        <cfvo type="percent" val="&quot;$I$6&quot;"/>
        <cfvo type="percent" val="#REF!"/>
      </iconSet>
    </cfRule>
  </conditionalFormatting>
  <conditionalFormatting sqref="AQ74">
    <cfRule type="cellIs" dxfId="1654" priority="1492" operator="lessThan">
      <formula>0</formula>
    </cfRule>
  </conditionalFormatting>
  <conditionalFormatting sqref="AQ74">
    <cfRule type="cellIs" dxfId="1653" priority="1491" operator="lessThan">
      <formula>0</formula>
    </cfRule>
  </conditionalFormatting>
  <conditionalFormatting sqref="AQ74">
    <cfRule type="cellIs" dxfId="1652" priority="1490" operator="lessThan">
      <formula>0</formula>
    </cfRule>
  </conditionalFormatting>
  <conditionalFormatting sqref="AQ76:AQ77">
    <cfRule type="cellIs" dxfId="1651" priority="1489" operator="lessThan">
      <formula>0</formula>
    </cfRule>
  </conditionalFormatting>
  <conditionalFormatting sqref="AQ76:AQ77">
    <cfRule type="cellIs" dxfId="1650" priority="1488" operator="lessThan">
      <formula>0</formula>
    </cfRule>
  </conditionalFormatting>
  <conditionalFormatting sqref="AQ76:AQ77">
    <cfRule type="cellIs" dxfId="1649" priority="1487" operator="lessThan">
      <formula>0</formula>
    </cfRule>
  </conditionalFormatting>
  <conditionalFormatting sqref="AQ76:AQ77">
    <cfRule type="cellIs" dxfId="1648" priority="1486" operator="lessThan">
      <formula>0</formula>
    </cfRule>
  </conditionalFormatting>
  <conditionalFormatting sqref="AQ76:AQ77">
    <cfRule type="cellIs" dxfId="1647" priority="1485" operator="lessThan">
      <formula>0</formula>
    </cfRule>
  </conditionalFormatting>
  <conditionalFormatting sqref="AQ76:AQ77">
    <cfRule type="cellIs" dxfId="1646" priority="1484" operator="lessThan">
      <formula>0</formula>
    </cfRule>
  </conditionalFormatting>
  <conditionalFormatting sqref="AQ76:AQ77">
    <cfRule type="cellIs" dxfId="1645" priority="1483" operator="lessThan">
      <formula>0</formula>
    </cfRule>
  </conditionalFormatting>
  <conditionalFormatting sqref="AQ76:AQ77">
    <cfRule type="cellIs" dxfId="1644" priority="1482" operator="lessThan">
      <formula>0</formula>
    </cfRule>
  </conditionalFormatting>
  <conditionalFormatting sqref="AQ74">
    <cfRule type="cellIs" dxfId="1643" priority="1481" operator="lessThan">
      <formula>0</formula>
    </cfRule>
  </conditionalFormatting>
  <conditionalFormatting sqref="AQ76:AQ77">
    <cfRule type="cellIs" dxfId="1642" priority="1480" operator="lessThan">
      <formula>0</formula>
    </cfRule>
  </conditionalFormatting>
  <conditionalFormatting sqref="AQ76:AQ77">
    <cfRule type="cellIs" dxfId="1641" priority="1479" operator="lessThan">
      <formula>0</formula>
    </cfRule>
  </conditionalFormatting>
  <conditionalFormatting sqref="AQ76:AQ77">
    <cfRule type="cellIs" dxfId="1640" priority="1478" operator="lessThan">
      <formula>0</formula>
    </cfRule>
  </conditionalFormatting>
  <conditionalFormatting sqref="AQ76:AQ77">
    <cfRule type="cellIs" dxfId="1639" priority="1477" operator="lessThan">
      <formula>0</formula>
    </cfRule>
  </conditionalFormatting>
  <conditionalFormatting sqref="AQ76:AQ77">
    <cfRule type="cellIs" dxfId="1638" priority="1476" operator="lessThan">
      <formula>0</formula>
    </cfRule>
  </conditionalFormatting>
  <conditionalFormatting sqref="AQ76:AQ77">
    <cfRule type="cellIs" dxfId="1637" priority="1475" operator="lessThan">
      <formula>0</formula>
    </cfRule>
  </conditionalFormatting>
  <conditionalFormatting sqref="AQ76:AQ77">
    <cfRule type="cellIs" dxfId="1636" priority="1474" operator="lessThan">
      <formula>0</formula>
    </cfRule>
  </conditionalFormatting>
  <conditionalFormatting sqref="AQ76:AQ77">
    <cfRule type="cellIs" dxfId="1635" priority="1473" operator="lessThan">
      <formula>0</formula>
    </cfRule>
  </conditionalFormatting>
  <conditionalFormatting sqref="AQ74">
    <cfRule type="cellIs" dxfId="1634" priority="1472" operator="lessThan">
      <formula>0</formula>
    </cfRule>
  </conditionalFormatting>
  <conditionalFormatting sqref="AQ74">
    <cfRule type="cellIs" dxfId="1633" priority="1471" operator="lessThan">
      <formula>0</formula>
    </cfRule>
  </conditionalFormatting>
  <conditionalFormatting sqref="AQ76:AQ77">
    <cfRule type="cellIs" dxfId="1632" priority="1470" operator="lessThan">
      <formula>0</formula>
    </cfRule>
  </conditionalFormatting>
  <conditionalFormatting sqref="AQ76:AQ77">
    <cfRule type="cellIs" dxfId="1631" priority="1469" operator="lessThan">
      <formula>0</formula>
    </cfRule>
  </conditionalFormatting>
  <conditionalFormatting sqref="AQ76:AQ77">
    <cfRule type="cellIs" dxfId="1630" priority="1468" operator="lessThan">
      <formula>0</formula>
    </cfRule>
  </conditionalFormatting>
  <conditionalFormatting sqref="AQ76:AQ77">
    <cfRule type="cellIs" dxfId="1629" priority="1467" operator="lessThan">
      <formula>0</formula>
    </cfRule>
  </conditionalFormatting>
  <conditionalFormatting sqref="AQ76:AQ77">
    <cfRule type="cellIs" dxfId="1628" priority="1466" operator="lessThan">
      <formula>0</formula>
    </cfRule>
  </conditionalFormatting>
  <conditionalFormatting sqref="AQ76:AQ77">
    <cfRule type="cellIs" dxfId="1627" priority="1465" operator="lessThan">
      <formula>0</formula>
    </cfRule>
  </conditionalFormatting>
  <conditionalFormatting sqref="AQ76:AQ77">
    <cfRule type="cellIs" dxfId="1626" priority="1464" operator="lessThan">
      <formula>0</formula>
    </cfRule>
  </conditionalFormatting>
  <conditionalFormatting sqref="AQ76:AQ77">
    <cfRule type="cellIs" dxfId="1625" priority="1463" operator="lessThan">
      <formula>0</formula>
    </cfRule>
  </conditionalFormatting>
  <conditionalFormatting sqref="AQ74">
    <cfRule type="cellIs" dxfId="1624" priority="1462" operator="lessThan">
      <formula>0</formula>
    </cfRule>
  </conditionalFormatting>
  <conditionalFormatting sqref="AQ76:AQ77 AQ74">
    <cfRule type="cellIs" dxfId="1623" priority="1461" operator="lessThan">
      <formula>0</formula>
    </cfRule>
  </conditionalFormatting>
  <conditionalFormatting sqref="AQ76:AQ77 AQ74">
    <cfRule type="cellIs" dxfId="1622" priority="1460" operator="lessThan">
      <formula>0</formula>
    </cfRule>
  </conditionalFormatting>
  <conditionalFormatting sqref="AQ76:AQ77 AQ74">
    <cfRule type="cellIs" dxfId="1621" priority="1459" operator="lessThan">
      <formula>0</formula>
    </cfRule>
  </conditionalFormatting>
  <conditionalFormatting sqref="AQ76:AQ77 AQ74">
    <cfRule type="cellIs" dxfId="1620" priority="1458" operator="lessThan">
      <formula>0</formula>
    </cfRule>
  </conditionalFormatting>
  <conditionalFormatting sqref="AQ76:AQ77">
    <cfRule type="cellIs" dxfId="1619" priority="1457" operator="lessThan">
      <formula>0</formula>
    </cfRule>
  </conditionalFormatting>
  <conditionalFormatting sqref="AQ76:AQ77">
    <cfRule type="cellIs" dxfId="1618" priority="1456" operator="lessThan">
      <formula>0</formula>
    </cfRule>
  </conditionalFormatting>
  <conditionalFormatting sqref="AQ76:AQ77">
    <cfRule type="cellIs" dxfId="1617" priority="1455" operator="lessThan">
      <formula>0</formula>
    </cfRule>
  </conditionalFormatting>
  <conditionalFormatting sqref="AQ76:AQ77">
    <cfRule type="cellIs" dxfId="1616" priority="1454" operator="lessThan">
      <formula>0</formula>
    </cfRule>
  </conditionalFormatting>
  <conditionalFormatting sqref="AQ75">
    <cfRule type="cellIs" dxfId="1615" priority="1453" operator="lessThan">
      <formula>0</formula>
    </cfRule>
  </conditionalFormatting>
  <conditionalFormatting sqref="AQ75">
    <cfRule type="cellIs" dxfId="1614" priority="1452" operator="lessThan">
      <formula>0</formula>
    </cfRule>
  </conditionalFormatting>
  <conditionalFormatting sqref="AQ75">
    <cfRule type="cellIs" dxfId="1613" priority="1451" operator="lessThan">
      <formula>0</formula>
    </cfRule>
  </conditionalFormatting>
  <conditionalFormatting sqref="AQ75">
    <cfRule type="cellIs" dxfId="1612" priority="1450" operator="lessThan">
      <formula>0</formula>
    </cfRule>
  </conditionalFormatting>
  <conditionalFormatting sqref="AQ75">
    <cfRule type="cellIs" dxfId="1611" priority="1449" operator="lessThan">
      <formula>0</formula>
    </cfRule>
  </conditionalFormatting>
  <conditionalFormatting sqref="AQ75">
    <cfRule type="cellIs" dxfId="1610" priority="1448" operator="lessThan">
      <formula>0</formula>
    </cfRule>
  </conditionalFormatting>
  <conditionalFormatting sqref="AQ75">
    <cfRule type="cellIs" dxfId="1609" priority="1447" operator="lessThan">
      <formula>0</formula>
    </cfRule>
  </conditionalFormatting>
  <conditionalFormatting sqref="AQ75">
    <cfRule type="cellIs" dxfId="1608" priority="1446" operator="lessThan">
      <formula>0</formula>
    </cfRule>
  </conditionalFormatting>
  <conditionalFormatting sqref="AQ75">
    <cfRule type="cellIs" dxfId="1607" priority="1445" operator="lessThan">
      <formula>0</formula>
    </cfRule>
  </conditionalFormatting>
  <conditionalFormatting sqref="AQ75">
    <cfRule type="cellIs" dxfId="1606" priority="1444" operator="lessThan">
      <formula>0</formula>
    </cfRule>
  </conditionalFormatting>
  <conditionalFormatting sqref="AQ75">
    <cfRule type="cellIs" dxfId="1605" priority="1443" operator="lessThan">
      <formula>0</formula>
    </cfRule>
  </conditionalFormatting>
  <conditionalFormatting sqref="AQ75">
    <cfRule type="cellIs" dxfId="1604" priority="1442" operator="lessThan">
      <formula>0</formula>
    </cfRule>
  </conditionalFormatting>
  <conditionalFormatting sqref="AQ75">
    <cfRule type="cellIs" dxfId="1603" priority="1441" operator="lessThan">
      <formula>0</formula>
    </cfRule>
  </conditionalFormatting>
  <conditionalFormatting sqref="AQ75">
    <cfRule type="cellIs" dxfId="1602" priority="1440" operator="lessThan">
      <formula>0</formula>
    </cfRule>
  </conditionalFormatting>
  <conditionalFormatting sqref="AQ75">
    <cfRule type="cellIs" dxfId="1601" priority="1439" operator="lessThan">
      <formula>0</formula>
    </cfRule>
  </conditionalFormatting>
  <conditionalFormatting sqref="AQ75">
    <cfRule type="cellIs" dxfId="1600" priority="1438" operator="lessThan">
      <formula>0</formula>
    </cfRule>
  </conditionalFormatting>
  <conditionalFormatting sqref="AQ75">
    <cfRule type="cellIs" dxfId="1599" priority="1437" operator="lessThan">
      <formula>0</formula>
    </cfRule>
  </conditionalFormatting>
  <conditionalFormatting sqref="AQ75">
    <cfRule type="cellIs" dxfId="1598" priority="1436" operator="lessThan">
      <formula>0</formula>
    </cfRule>
  </conditionalFormatting>
  <conditionalFormatting sqref="AQ75">
    <cfRule type="cellIs" dxfId="1597" priority="1435" operator="lessThan">
      <formula>0</formula>
    </cfRule>
  </conditionalFormatting>
  <conditionalFormatting sqref="AQ75">
    <cfRule type="cellIs" dxfId="1596" priority="1434" operator="lessThan">
      <formula>0</formula>
    </cfRule>
  </conditionalFormatting>
  <conditionalFormatting sqref="AQ75">
    <cfRule type="cellIs" dxfId="1595" priority="1433" operator="lessThan">
      <formula>0</formula>
    </cfRule>
  </conditionalFormatting>
  <conditionalFormatting sqref="AQ75">
    <cfRule type="cellIs" dxfId="1594" priority="1432" operator="lessThan">
      <formula>0</formula>
    </cfRule>
  </conditionalFormatting>
  <conditionalFormatting sqref="AQ75">
    <cfRule type="cellIs" dxfId="1593" priority="1431" operator="lessThan">
      <formula>0</formula>
    </cfRule>
  </conditionalFormatting>
  <conditionalFormatting sqref="AQ75">
    <cfRule type="cellIs" dxfId="1592" priority="1430" operator="lessThan">
      <formula>0</formula>
    </cfRule>
  </conditionalFormatting>
  <conditionalFormatting sqref="AQ75">
    <cfRule type="cellIs" dxfId="1591" priority="1429" operator="lessThan">
      <formula>0</formula>
    </cfRule>
  </conditionalFormatting>
  <conditionalFormatting sqref="AQ75">
    <cfRule type="cellIs" dxfId="1590" priority="1428" operator="lessThan">
      <formula>0</formula>
    </cfRule>
  </conditionalFormatting>
  <conditionalFormatting sqref="AQ75">
    <cfRule type="cellIs" dxfId="1589" priority="1427" operator="lessThan">
      <formula>0</formula>
    </cfRule>
  </conditionalFormatting>
  <conditionalFormatting sqref="AQ75">
    <cfRule type="cellIs" dxfId="1588" priority="1426" operator="lessThan">
      <formula>0</formula>
    </cfRule>
  </conditionalFormatting>
  <conditionalFormatting sqref="AQ75">
    <cfRule type="cellIs" dxfId="1587" priority="1425" operator="lessThan">
      <formula>0</formula>
    </cfRule>
  </conditionalFormatting>
  <conditionalFormatting sqref="AQ75">
    <cfRule type="cellIs" dxfId="1586" priority="1424" operator="lessThan">
      <formula>0</formula>
    </cfRule>
  </conditionalFormatting>
  <conditionalFormatting sqref="AQ75">
    <cfRule type="cellIs" dxfId="1585" priority="1423" operator="lessThan">
      <formula>0</formula>
    </cfRule>
  </conditionalFormatting>
  <conditionalFormatting sqref="AQ75">
    <cfRule type="cellIs" dxfId="1584" priority="1422" operator="lessThan">
      <formula>0</formula>
    </cfRule>
  </conditionalFormatting>
  <conditionalFormatting sqref="AQ75">
    <cfRule type="cellIs" dxfId="1583" priority="1421" operator="lessThan">
      <formula>0</formula>
    </cfRule>
  </conditionalFormatting>
  <conditionalFormatting sqref="AQ75">
    <cfRule type="cellIs" dxfId="1582" priority="1420" operator="lessThan">
      <formula>0</formula>
    </cfRule>
  </conditionalFormatting>
  <conditionalFormatting sqref="AQ75">
    <cfRule type="cellIs" dxfId="1581" priority="1419" operator="lessThan">
      <formula>0</formula>
    </cfRule>
  </conditionalFormatting>
  <conditionalFormatting sqref="AQ75">
    <cfRule type="cellIs" dxfId="1580" priority="1418" operator="lessThan">
      <formula>0</formula>
    </cfRule>
  </conditionalFormatting>
  <conditionalFormatting sqref="AQ75">
    <cfRule type="cellIs" dxfId="1579" priority="1417" operator="lessThan">
      <formula>0</formula>
    </cfRule>
  </conditionalFormatting>
  <conditionalFormatting sqref="AQ75">
    <cfRule type="cellIs" dxfId="1578" priority="1416" operator="lessThan">
      <formula>0</formula>
    </cfRule>
  </conditionalFormatting>
  <conditionalFormatting sqref="AQ75">
    <cfRule type="cellIs" dxfId="1577" priority="1415" operator="lessThan">
      <formula>0</formula>
    </cfRule>
  </conditionalFormatting>
  <conditionalFormatting sqref="AQ75">
    <cfRule type="cellIs" dxfId="1576" priority="1414" operator="lessThan">
      <formula>0</formula>
    </cfRule>
  </conditionalFormatting>
  <conditionalFormatting sqref="AQ75">
    <cfRule type="cellIs" dxfId="1575" priority="1413" operator="lessThan">
      <formula>0</formula>
    </cfRule>
  </conditionalFormatting>
  <conditionalFormatting sqref="AQ75">
    <cfRule type="cellIs" dxfId="1574" priority="1412" operator="lessThan">
      <formula>0</formula>
    </cfRule>
  </conditionalFormatting>
  <conditionalFormatting sqref="AQ75">
    <cfRule type="cellIs" dxfId="1573" priority="1411" operator="lessThan">
      <formula>0</formula>
    </cfRule>
  </conditionalFormatting>
  <conditionalFormatting sqref="AQ75">
    <cfRule type="cellIs" dxfId="1572" priority="1410" operator="lessThan">
      <formula>0</formula>
    </cfRule>
  </conditionalFormatting>
  <conditionalFormatting sqref="AQ75">
    <cfRule type="cellIs" dxfId="1571" priority="1409" operator="lessThan">
      <formula>0</formula>
    </cfRule>
  </conditionalFormatting>
  <conditionalFormatting sqref="AQ75">
    <cfRule type="cellIs" dxfId="1570" priority="1408" operator="lessThan">
      <formula>0</formula>
    </cfRule>
  </conditionalFormatting>
  <conditionalFormatting sqref="AQ75">
    <cfRule type="cellIs" dxfId="1569" priority="1407" operator="lessThan">
      <formula>0</formula>
    </cfRule>
  </conditionalFormatting>
  <conditionalFormatting sqref="AQ75">
    <cfRule type="cellIs" dxfId="1568" priority="1406" operator="lessThan">
      <formula>0</formula>
    </cfRule>
  </conditionalFormatting>
  <conditionalFormatting sqref="AQ75">
    <cfRule type="cellIs" dxfId="1567" priority="1405" operator="lessThan">
      <formula>0</formula>
    </cfRule>
  </conditionalFormatting>
  <conditionalFormatting sqref="AQ75">
    <cfRule type="cellIs" dxfId="1566" priority="1404" operator="lessThan">
      <formula>0</formula>
    </cfRule>
  </conditionalFormatting>
  <conditionalFormatting sqref="AQ75">
    <cfRule type="cellIs" dxfId="1565" priority="1403" operator="lessThan">
      <formula>0</formula>
    </cfRule>
  </conditionalFormatting>
  <conditionalFormatting sqref="AQ75">
    <cfRule type="cellIs" dxfId="1564" priority="1402" operator="lessThan">
      <formula>0</formula>
    </cfRule>
  </conditionalFormatting>
  <conditionalFormatting sqref="AQ75">
    <cfRule type="cellIs" dxfId="1563" priority="1401" operator="lessThan">
      <formula>0</formula>
    </cfRule>
  </conditionalFormatting>
  <conditionalFormatting sqref="AQ75">
    <cfRule type="cellIs" dxfId="1562" priority="1400" operator="lessThan">
      <formula>0</formula>
    </cfRule>
  </conditionalFormatting>
  <conditionalFormatting sqref="AQ75">
    <cfRule type="cellIs" dxfId="1561" priority="1399" operator="lessThan">
      <formula>0</formula>
    </cfRule>
  </conditionalFormatting>
  <conditionalFormatting sqref="AQ75">
    <cfRule type="cellIs" dxfId="1560" priority="1398" operator="lessThan">
      <formula>0</formula>
    </cfRule>
  </conditionalFormatting>
  <conditionalFormatting sqref="AQ75">
    <cfRule type="cellIs" dxfId="1559" priority="1397" operator="lessThan">
      <formula>0</formula>
    </cfRule>
  </conditionalFormatting>
  <conditionalFormatting sqref="AQ75">
    <cfRule type="cellIs" dxfId="1558" priority="1396" operator="lessThan">
      <formula>0</formula>
    </cfRule>
  </conditionalFormatting>
  <conditionalFormatting sqref="AQ75">
    <cfRule type="cellIs" dxfId="1557" priority="1395" operator="lessThan">
      <formula>0</formula>
    </cfRule>
  </conditionalFormatting>
  <conditionalFormatting sqref="AQ75">
    <cfRule type="cellIs" dxfId="1556" priority="1394" operator="lessThan">
      <formula>0</formula>
    </cfRule>
  </conditionalFormatting>
  <conditionalFormatting sqref="AQ75">
    <cfRule type="cellIs" dxfId="1555" priority="1393" operator="lessThan">
      <formula>0</formula>
    </cfRule>
  </conditionalFormatting>
  <conditionalFormatting sqref="AQ75">
    <cfRule type="cellIs" dxfId="1554" priority="1392" operator="lessThan">
      <formula>0</formula>
    </cfRule>
  </conditionalFormatting>
  <conditionalFormatting sqref="AQ75">
    <cfRule type="cellIs" dxfId="1553" priority="1391" operator="lessThan">
      <formula>0</formula>
    </cfRule>
  </conditionalFormatting>
  <conditionalFormatting sqref="AQ75">
    <cfRule type="cellIs" dxfId="1552" priority="1390" operator="lessThan">
      <formula>0</formula>
    </cfRule>
  </conditionalFormatting>
  <conditionalFormatting sqref="AQ75">
    <cfRule type="cellIs" dxfId="1551" priority="1389" operator="lessThan">
      <formula>0</formula>
    </cfRule>
  </conditionalFormatting>
  <conditionalFormatting sqref="AQ75">
    <cfRule type="cellIs" dxfId="1550" priority="1388" operator="lessThan">
      <formula>0</formula>
    </cfRule>
  </conditionalFormatting>
  <conditionalFormatting sqref="AQ75">
    <cfRule type="cellIs" dxfId="1549" priority="1387" operator="lessThan">
      <formula>0</formula>
    </cfRule>
  </conditionalFormatting>
  <conditionalFormatting sqref="AQ75">
    <cfRule type="cellIs" dxfId="1548" priority="1386" operator="lessThan">
      <formula>0</formula>
    </cfRule>
  </conditionalFormatting>
  <conditionalFormatting sqref="AQ75">
    <cfRule type="cellIs" dxfId="1547" priority="1385" operator="lessThan">
      <formula>0</formula>
    </cfRule>
  </conditionalFormatting>
  <conditionalFormatting sqref="AQ75">
    <cfRule type="cellIs" dxfId="1546" priority="1384" operator="lessThan">
      <formula>0</formula>
    </cfRule>
  </conditionalFormatting>
  <conditionalFormatting sqref="AQ75">
    <cfRule type="cellIs" dxfId="1545" priority="1383" operator="lessThan">
      <formula>0</formula>
    </cfRule>
  </conditionalFormatting>
  <conditionalFormatting sqref="AQ75">
    <cfRule type="cellIs" dxfId="1544" priority="1382" operator="lessThan">
      <formula>0</formula>
    </cfRule>
  </conditionalFormatting>
  <conditionalFormatting sqref="AQ75">
    <cfRule type="cellIs" dxfId="1543" priority="1381" operator="lessThan">
      <formula>0</formula>
    </cfRule>
  </conditionalFormatting>
  <conditionalFormatting sqref="AQ75">
    <cfRule type="cellIs" dxfId="1542" priority="1380" operator="lessThan">
      <formula>0</formula>
    </cfRule>
  </conditionalFormatting>
  <conditionalFormatting sqref="AQ75">
    <cfRule type="cellIs" dxfId="1541" priority="1379" operator="lessThan">
      <formula>0</formula>
    </cfRule>
  </conditionalFormatting>
  <conditionalFormatting sqref="AQ75">
    <cfRule type="cellIs" dxfId="1540" priority="1378" operator="lessThan">
      <formula>0</formula>
    </cfRule>
  </conditionalFormatting>
  <conditionalFormatting sqref="AQ75">
    <cfRule type="cellIs" dxfId="1539" priority="1377" operator="lessThan">
      <formula>0</formula>
    </cfRule>
  </conditionalFormatting>
  <conditionalFormatting sqref="AQ75">
    <cfRule type="cellIs" dxfId="1538" priority="1376" operator="lessThan">
      <formula>0</formula>
    </cfRule>
  </conditionalFormatting>
  <conditionalFormatting sqref="AQ75">
    <cfRule type="cellIs" dxfId="1537" priority="1375" operator="lessThan">
      <formula>0</formula>
    </cfRule>
  </conditionalFormatting>
  <conditionalFormatting sqref="AQ75">
    <cfRule type="cellIs" dxfId="1536" priority="1374" operator="lessThan">
      <formula>0</formula>
    </cfRule>
  </conditionalFormatting>
  <conditionalFormatting sqref="AQ75">
    <cfRule type="cellIs" dxfId="1535" priority="1358" operator="lessThan">
      <formula>0</formula>
    </cfRule>
  </conditionalFormatting>
  <conditionalFormatting sqref="AQ75">
    <cfRule type="cellIs" dxfId="1534" priority="1373" operator="lessThan">
      <formula>0</formula>
    </cfRule>
  </conditionalFormatting>
  <conditionalFormatting sqref="AQ75">
    <cfRule type="cellIs" dxfId="1533" priority="1372" operator="lessThan">
      <formula>0</formula>
    </cfRule>
  </conditionalFormatting>
  <conditionalFormatting sqref="AQ75">
    <cfRule type="cellIs" dxfId="1532" priority="1371" operator="lessThan">
      <formula>0</formula>
    </cfRule>
  </conditionalFormatting>
  <conditionalFormatting sqref="AQ75">
    <cfRule type="cellIs" dxfId="1531" priority="1370" operator="lessThan">
      <formula>0</formula>
    </cfRule>
  </conditionalFormatting>
  <conditionalFormatting sqref="AQ75">
    <cfRule type="cellIs" dxfId="1530" priority="1369" operator="lessThan">
      <formula>0</formula>
    </cfRule>
  </conditionalFormatting>
  <conditionalFormatting sqref="AQ75">
    <cfRule type="cellIs" dxfId="1529" priority="1368" operator="lessThan">
      <formula>0</formula>
    </cfRule>
  </conditionalFormatting>
  <conditionalFormatting sqref="AQ75">
    <cfRule type="cellIs" dxfId="1528" priority="1367" operator="lessThan">
      <formula>0</formula>
    </cfRule>
  </conditionalFormatting>
  <conditionalFormatting sqref="AQ75">
    <cfRule type="cellIs" dxfId="1527" priority="1366" operator="lessThan">
      <formula>0</formula>
    </cfRule>
  </conditionalFormatting>
  <conditionalFormatting sqref="AQ75">
    <cfRule type="cellIs" dxfId="1526" priority="1365" operator="lessThan">
      <formula>0</formula>
    </cfRule>
  </conditionalFormatting>
  <conditionalFormatting sqref="AQ75">
    <cfRule type="cellIs" dxfId="1525" priority="1364" operator="lessThan">
      <formula>0</formula>
    </cfRule>
  </conditionalFormatting>
  <conditionalFormatting sqref="AQ75">
    <cfRule type="cellIs" dxfId="1524" priority="1363" operator="lessThan">
      <formula>0</formula>
    </cfRule>
  </conditionalFormatting>
  <conditionalFormatting sqref="AQ75">
    <cfRule type="cellIs" dxfId="1523" priority="1362" operator="lessThan">
      <formula>0</formula>
    </cfRule>
  </conditionalFormatting>
  <conditionalFormatting sqref="AQ75">
    <cfRule type="cellIs" dxfId="1522" priority="1361" operator="lessThan">
      <formula>0</formula>
    </cfRule>
  </conditionalFormatting>
  <conditionalFormatting sqref="AQ75">
    <cfRule type="cellIs" dxfId="1521" priority="1360" operator="lessThan">
      <formula>0</formula>
    </cfRule>
  </conditionalFormatting>
  <conditionalFormatting sqref="AQ75">
    <cfRule type="cellIs" dxfId="1520" priority="1359" operator="lessThan">
      <formula>0</formula>
    </cfRule>
  </conditionalFormatting>
  <conditionalFormatting sqref="AQ75">
    <cfRule type="cellIs" dxfId="1519" priority="1357" operator="lessThan">
      <formula>0</formula>
    </cfRule>
  </conditionalFormatting>
  <conditionalFormatting sqref="AQ75">
    <cfRule type="cellIs" dxfId="1518" priority="1356" operator="lessThan">
      <formula>0</formula>
    </cfRule>
  </conditionalFormatting>
  <conditionalFormatting sqref="AQ75">
    <cfRule type="cellIs" dxfId="1517" priority="1355" operator="lessThan">
      <formula>0</formula>
    </cfRule>
  </conditionalFormatting>
  <conditionalFormatting sqref="AQ75">
    <cfRule type="cellIs" dxfId="1516" priority="1354" operator="lessThan">
      <formula>0</formula>
    </cfRule>
  </conditionalFormatting>
  <conditionalFormatting sqref="AQ75">
    <cfRule type="cellIs" dxfId="1515" priority="1353" operator="lessThan">
      <formula>0</formula>
    </cfRule>
  </conditionalFormatting>
  <conditionalFormatting sqref="AQ75">
    <cfRule type="cellIs" dxfId="1514" priority="1352" operator="lessThan">
      <formula>0</formula>
    </cfRule>
  </conditionalFormatting>
  <conditionalFormatting sqref="AQ75">
    <cfRule type="cellIs" dxfId="1513" priority="1351" operator="lessThan">
      <formula>0</formula>
    </cfRule>
  </conditionalFormatting>
  <conditionalFormatting sqref="AQ75">
    <cfRule type="cellIs" dxfId="1512" priority="1350" operator="lessThan">
      <formula>0</formula>
    </cfRule>
  </conditionalFormatting>
  <conditionalFormatting sqref="AQ75">
    <cfRule type="cellIs" dxfId="1511" priority="1349" operator="lessThan">
      <formula>0</formula>
    </cfRule>
  </conditionalFormatting>
  <conditionalFormatting sqref="AQ75">
    <cfRule type="cellIs" dxfId="1510" priority="1348" operator="lessThan">
      <formula>0</formula>
    </cfRule>
  </conditionalFormatting>
  <conditionalFormatting sqref="AQ75">
    <cfRule type="cellIs" dxfId="1509" priority="1347" operator="lessThan">
      <formula>0</formula>
    </cfRule>
  </conditionalFormatting>
  <conditionalFormatting sqref="AQ75">
    <cfRule type="cellIs" dxfId="1508" priority="1346" operator="lessThan">
      <formula>0</formula>
    </cfRule>
  </conditionalFormatting>
  <conditionalFormatting sqref="AQ75">
    <cfRule type="cellIs" dxfId="1507" priority="1345" operator="lessThan">
      <formula>0</formula>
    </cfRule>
  </conditionalFormatting>
  <conditionalFormatting sqref="AQ75">
    <cfRule type="cellIs" dxfId="1506" priority="1344" operator="lessThan">
      <formula>0</formula>
    </cfRule>
  </conditionalFormatting>
  <conditionalFormatting sqref="AQ75">
    <cfRule type="cellIs" dxfId="1505" priority="1343" operator="lessThan">
      <formula>0</formula>
    </cfRule>
  </conditionalFormatting>
  <conditionalFormatting sqref="AQ75">
    <cfRule type="cellIs" dxfId="1504" priority="1342" operator="lessThan">
      <formula>0</formula>
    </cfRule>
  </conditionalFormatting>
  <conditionalFormatting sqref="AQ75">
    <cfRule type="cellIs" dxfId="1503" priority="1341" operator="lessThan">
      <formula>0</formula>
    </cfRule>
  </conditionalFormatting>
  <conditionalFormatting sqref="AQ75">
    <cfRule type="cellIs" dxfId="1502" priority="1340" operator="lessThan">
      <formula>0</formula>
    </cfRule>
  </conditionalFormatting>
  <conditionalFormatting sqref="AQ75">
    <cfRule type="cellIs" dxfId="1501" priority="1339" operator="lessThan">
      <formula>0</formula>
    </cfRule>
  </conditionalFormatting>
  <conditionalFormatting sqref="AQ75">
    <cfRule type="cellIs" dxfId="1500" priority="1338" operator="lessThan">
      <formula>0</formula>
    </cfRule>
  </conditionalFormatting>
  <conditionalFormatting sqref="AQ75">
    <cfRule type="cellIs" dxfId="1499" priority="1337" operator="lessThan">
      <formula>0</formula>
    </cfRule>
  </conditionalFormatting>
  <conditionalFormatting sqref="AQ75">
    <cfRule type="cellIs" dxfId="1498" priority="1336" operator="lessThan">
      <formula>0</formula>
    </cfRule>
  </conditionalFormatting>
  <conditionalFormatting sqref="AQ75">
    <cfRule type="cellIs" dxfId="1497" priority="1335" operator="lessThan">
      <formula>0</formula>
    </cfRule>
  </conditionalFormatting>
  <conditionalFormatting sqref="AQ75">
    <cfRule type="cellIs" dxfId="1496" priority="1334" operator="lessThan">
      <formula>0</formula>
    </cfRule>
  </conditionalFormatting>
  <conditionalFormatting sqref="AQ75">
    <cfRule type="cellIs" dxfId="1495" priority="1333" operator="lessThan">
      <formula>0</formula>
    </cfRule>
  </conditionalFormatting>
  <conditionalFormatting sqref="AQ75">
    <cfRule type="cellIs" dxfId="1494" priority="1332" operator="lessThan">
      <formula>0</formula>
    </cfRule>
  </conditionalFormatting>
  <conditionalFormatting sqref="AQ75">
    <cfRule type="cellIs" dxfId="1493" priority="1331" operator="lessThan">
      <formula>0</formula>
    </cfRule>
  </conditionalFormatting>
  <conditionalFormatting sqref="AQ75">
    <cfRule type="cellIs" dxfId="1492" priority="1330" operator="lessThan">
      <formula>0</formula>
    </cfRule>
  </conditionalFormatting>
  <conditionalFormatting sqref="AQ75">
    <cfRule type="cellIs" dxfId="1491" priority="1329" operator="lessThan">
      <formula>0</formula>
    </cfRule>
  </conditionalFormatting>
  <conditionalFormatting sqref="AQ75">
    <cfRule type="cellIs" dxfId="1490" priority="1328" operator="lessThan">
      <formula>0</formula>
    </cfRule>
  </conditionalFormatting>
  <conditionalFormatting sqref="AQ75">
    <cfRule type="cellIs" dxfId="1489" priority="1327" operator="lessThan">
      <formula>0</formula>
    </cfRule>
  </conditionalFormatting>
  <conditionalFormatting sqref="AQ75">
    <cfRule type="cellIs" dxfId="1488" priority="1326" operator="lessThan">
      <formula>0</formula>
    </cfRule>
  </conditionalFormatting>
  <conditionalFormatting sqref="AQ75">
    <cfRule type="cellIs" dxfId="1487" priority="1325" operator="lessThan">
      <formula>0</formula>
    </cfRule>
  </conditionalFormatting>
  <conditionalFormatting sqref="AQ75">
    <cfRule type="cellIs" dxfId="1486" priority="1324" operator="lessThan">
      <formula>0</formula>
    </cfRule>
  </conditionalFormatting>
  <conditionalFormatting sqref="AQ75">
    <cfRule type="cellIs" dxfId="1485" priority="1323" operator="lessThan">
      <formula>0</formula>
    </cfRule>
  </conditionalFormatting>
  <conditionalFormatting sqref="AQ75">
    <cfRule type="cellIs" dxfId="1484" priority="1322" operator="lessThan">
      <formula>0</formula>
    </cfRule>
  </conditionalFormatting>
  <conditionalFormatting sqref="AQ75">
    <cfRule type="cellIs" dxfId="1483" priority="1321" operator="lessThan">
      <formula>0</formula>
    </cfRule>
  </conditionalFormatting>
  <conditionalFormatting sqref="AQ75">
    <cfRule type="cellIs" dxfId="1482" priority="1320" operator="lessThan">
      <formula>0</formula>
    </cfRule>
  </conditionalFormatting>
  <conditionalFormatting sqref="AQ75">
    <cfRule type="cellIs" dxfId="1481" priority="1319" operator="lessThan">
      <formula>0</formula>
    </cfRule>
  </conditionalFormatting>
  <conditionalFormatting sqref="AQ75">
    <cfRule type="cellIs" dxfId="1480" priority="1318" operator="lessThan">
      <formula>0</formula>
    </cfRule>
  </conditionalFormatting>
  <conditionalFormatting sqref="AQ75">
    <cfRule type="cellIs" dxfId="1479" priority="1317" operator="lessThan">
      <formula>0</formula>
    </cfRule>
  </conditionalFormatting>
  <conditionalFormatting sqref="AQ75">
    <cfRule type="cellIs" dxfId="1478" priority="1316" operator="lessThan">
      <formula>0</formula>
    </cfRule>
  </conditionalFormatting>
  <conditionalFormatting sqref="AQ75">
    <cfRule type="cellIs" dxfId="1477" priority="1315" operator="lessThan">
      <formula>0</formula>
    </cfRule>
  </conditionalFormatting>
  <conditionalFormatting sqref="AQ75">
    <cfRule type="cellIs" dxfId="1476" priority="1314" operator="lessThan">
      <formula>0</formula>
    </cfRule>
  </conditionalFormatting>
  <conditionalFormatting sqref="AQ75">
    <cfRule type="cellIs" dxfId="1475" priority="1313" operator="lessThan">
      <formula>0</formula>
    </cfRule>
  </conditionalFormatting>
  <conditionalFormatting sqref="AQ75">
    <cfRule type="cellIs" dxfId="1474" priority="1312" operator="lessThan">
      <formula>0</formula>
    </cfRule>
  </conditionalFormatting>
  <conditionalFormatting sqref="AQ75">
    <cfRule type="cellIs" dxfId="1473" priority="1311" operator="lessThan">
      <formula>0</formula>
    </cfRule>
  </conditionalFormatting>
  <conditionalFormatting sqref="AQ75">
    <cfRule type="cellIs" dxfId="1472" priority="1310" operator="lessThan">
      <formula>0</formula>
    </cfRule>
  </conditionalFormatting>
  <conditionalFormatting sqref="AQ75">
    <cfRule type="cellIs" dxfId="1471" priority="1309" operator="lessThan">
      <formula>0</formula>
    </cfRule>
  </conditionalFormatting>
  <conditionalFormatting sqref="AQ75">
    <cfRule type="cellIs" dxfId="1470" priority="1308" operator="lessThan">
      <formula>0</formula>
    </cfRule>
  </conditionalFormatting>
  <conditionalFormatting sqref="AQ75">
    <cfRule type="cellIs" dxfId="1469" priority="1307" operator="lessThan">
      <formula>0</formula>
    </cfRule>
  </conditionalFormatting>
  <conditionalFormatting sqref="AQ75">
    <cfRule type="cellIs" dxfId="1468" priority="1306" operator="lessThan">
      <formula>0</formula>
    </cfRule>
  </conditionalFormatting>
  <conditionalFormatting sqref="AQ75">
    <cfRule type="cellIs" dxfId="1467" priority="1305" operator="lessThan">
      <formula>0</formula>
    </cfRule>
  </conditionalFormatting>
  <conditionalFormatting sqref="AQ75">
    <cfRule type="cellIs" dxfId="1466" priority="1304" operator="lessThan">
      <formula>0</formula>
    </cfRule>
  </conditionalFormatting>
  <conditionalFormatting sqref="AQ75">
    <cfRule type="cellIs" dxfId="1465" priority="1303" operator="lessThan">
      <formula>0</formula>
    </cfRule>
  </conditionalFormatting>
  <conditionalFormatting sqref="AQ75">
    <cfRule type="cellIs" dxfId="1464" priority="1302" operator="lessThan">
      <formula>0</formula>
    </cfRule>
  </conditionalFormatting>
  <conditionalFormatting sqref="AQ75">
    <cfRule type="cellIs" dxfId="1463" priority="1301" operator="lessThan">
      <formula>0</formula>
    </cfRule>
  </conditionalFormatting>
  <conditionalFormatting sqref="AQ75">
    <cfRule type="cellIs" dxfId="1462" priority="1300" operator="lessThan">
      <formula>0</formula>
    </cfRule>
  </conditionalFormatting>
  <conditionalFormatting sqref="AQ75">
    <cfRule type="cellIs" dxfId="1461" priority="1299" operator="lessThan">
      <formula>0</formula>
    </cfRule>
  </conditionalFormatting>
  <conditionalFormatting sqref="AQ75">
    <cfRule type="cellIs" dxfId="1460" priority="1298" operator="lessThan">
      <formula>0</formula>
    </cfRule>
  </conditionalFormatting>
  <conditionalFormatting sqref="AQ75">
    <cfRule type="cellIs" dxfId="1459" priority="1297" operator="lessThan">
      <formula>0</formula>
    </cfRule>
  </conditionalFormatting>
  <conditionalFormatting sqref="AQ75">
    <cfRule type="cellIs" dxfId="1458" priority="1296" operator="lessThan">
      <formula>0</formula>
    </cfRule>
  </conditionalFormatting>
  <conditionalFormatting sqref="AQ75">
    <cfRule type="cellIs" dxfId="1457" priority="1295" operator="lessThan">
      <formula>0</formula>
    </cfRule>
  </conditionalFormatting>
  <conditionalFormatting sqref="AQ75">
    <cfRule type="cellIs" dxfId="1456" priority="1294" operator="lessThan">
      <formula>0</formula>
    </cfRule>
  </conditionalFormatting>
  <conditionalFormatting sqref="AQ75">
    <cfRule type="cellIs" dxfId="1455" priority="1293" operator="lessThan">
      <formula>0</formula>
    </cfRule>
  </conditionalFormatting>
  <conditionalFormatting sqref="AQ75">
    <cfRule type="cellIs" dxfId="1454" priority="1292" operator="lessThan">
      <formula>0</formula>
    </cfRule>
  </conditionalFormatting>
  <conditionalFormatting sqref="AQ75">
    <cfRule type="cellIs" dxfId="1453" priority="1291" operator="lessThan">
      <formula>0</formula>
    </cfRule>
  </conditionalFormatting>
  <conditionalFormatting sqref="AQ75">
    <cfRule type="cellIs" dxfId="1452" priority="1290" operator="lessThan">
      <formula>0</formula>
    </cfRule>
  </conditionalFormatting>
  <conditionalFormatting sqref="AQ75">
    <cfRule type="cellIs" dxfId="1451" priority="1289" operator="lessThan">
      <formula>0</formula>
    </cfRule>
  </conditionalFormatting>
  <conditionalFormatting sqref="AQ75">
    <cfRule type="cellIs" dxfId="1450" priority="1288" operator="lessThan">
      <formula>0</formula>
    </cfRule>
  </conditionalFormatting>
  <conditionalFormatting sqref="AQ75">
    <cfRule type="cellIs" dxfId="1449" priority="1287" operator="lessThan">
      <formula>0</formula>
    </cfRule>
  </conditionalFormatting>
  <conditionalFormatting sqref="AQ75">
    <cfRule type="cellIs" dxfId="1448" priority="1286" operator="lessThan">
      <formula>0</formula>
    </cfRule>
  </conditionalFormatting>
  <conditionalFormatting sqref="AQ75">
    <cfRule type="cellIs" dxfId="1447" priority="1285" operator="lessThan">
      <formula>0</formula>
    </cfRule>
  </conditionalFormatting>
  <conditionalFormatting sqref="AQ75">
    <cfRule type="cellIs" dxfId="1446" priority="1284" operator="lessThan">
      <formula>0</formula>
    </cfRule>
  </conditionalFormatting>
  <conditionalFormatting sqref="AQ75">
    <cfRule type="cellIs" dxfId="1445" priority="1283" operator="lessThan">
      <formula>0</formula>
    </cfRule>
  </conditionalFormatting>
  <conditionalFormatting sqref="AQ75">
    <cfRule type="cellIs" dxfId="1444" priority="1282" operator="lessThan">
      <formula>0</formula>
    </cfRule>
  </conditionalFormatting>
  <conditionalFormatting sqref="AQ75">
    <cfRule type="cellIs" dxfId="1443" priority="1281" operator="lessThan">
      <formula>0</formula>
    </cfRule>
  </conditionalFormatting>
  <conditionalFormatting sqref="AQ75">
    <cfRule type="cellIs" dxfId="1442" priority="1280" operator="lessThan">
      <formula>0</formula>
    </cfRule>
  </conditionalFormatting>
  <conditionalFormatting sqref="AQ75">
    <cfRule type="cellIs" dxfId="1441" priority="1279" operator="lessThan">
      <formula>0</formula>
    </cfRule>
  </conditionalFormatting>
  <conditionalFormatting sqref="AQ75">
    <cfRule type="cellIs" dxfId="1440" priority="1278" operator="lessThan">
      <formula>0</formula>
    </cfRule>
  </conditionalFormatting>
  <conditionalFormatting sqref="AQ75">
    <cfRule type="cellIs" dxfId="1439" priority="1262" operator="lessThan">
      <formula>0</formula>
    </cfRule>
  </conditionalFormatting>
  <conditionalFormatting sqref="AQ75">
    <cfRule type="cellIs" dxfId="1438" priority="1277" operator="lessThan">
      <formula>0</formula>
    </cfRule>
  </conditionalFormatting>
  <conditionalFormatting sqref="AQ75">
    <cfRule type="cellIs" dxfId="1437" priority="1276" operator="lessThan">
      <formula>0</formula>
    </cfRule>
  </conditionalFormatting>
  <conditionalFormatting sqref="AQ75">
    <cfRule type="cellIs" dxfId="1436" priority="1275" operator="lessThan">
      <formula>0</formula>
    </cfRule>
  </conditionalFormatting>
  <conditionalFormatting sqref="AQ75">
    <cfRule type="cellIs" dxfId="1435" priority="1274" operator="lessThan">
      <formula>0</formula>
    </cfRule>
  </conditionalFormatting>
  <conditionalFormatting sqref="AQ75">
    <cfRule type="cellIs" dxfId="1434" priority="1273" operator="lessThan">
      <formula>0</formula>
    </cfRule>
  </conditionalFormatting>
  <conditionalFormatting sqref="AQ75">
    <cfRule type="cellIs" dxfId="1433" priority="1272" operator="lessThan">
      <formula>0</formula>
    </cfRule>
  </conditionalFormatting>
  <conditionalFormatting sqref="AQ75">
    <cfRule type="cellIs" dxfId="1432" priority="1271" operator="lessThan">
      <formula>0</formula>
    </cfRule>
  </conditionalFormatting>
  <conditionalFormatting sqref="AQ75">
    <cfRule type="cellIs" dxfId="1431" priority="1270" operator="lessThan">
      <formula>0</formula>
    </cfRule>
  </conditionalFormatting>
  <conditionalFormatting sqref="AQ75">
    <cfRule type="cellIs" dxfId="1430" priority="1269" operator="lessThan">
      <formula>0</formula>
    </cfRule>
  </conditionalFormatting>
  <conditionalFormatting sqref="AQ75">
    <cfRule type="cellIs" dxfId="1429" priority="1268" operator="lessThan">
      <formula>0</formula>
    </cfRule>
  </conditionalFormatting>
  <conditionalFormatting sqref="AQ75">
    <cfRule type="cellIs" dxfId="1428" priority="1267" operator="lessThan">
      <formula>0</formula>
    </cfRule>
  </conditionalFormatting>
  <conditionalFormatting sqref="AQ75">
    <cfRule type="cellIs" dxfId="1427" priority="1266" operator="lessThan">
      <formula>0</formula>
    </cfRule>
  </conditionalFormatting>
  <conditionalFormatting sqref="AQ75">
    <cfRule type="cellIs" dxfId="1426" priority="1265" operator="lessThan">
      <formula>0</formula>
    </cfRule>
  </conditionalFormatting>
  <conditionalFormatting sqref="AQ75">
    <cfRule type="cellIs" dxfId="1425" priority="1264" operator="lessThan">
      <formula>0</formula>
    </cfRule>
  </conditionalFormatting>
  <conditionalFormatting sqref="AQ75">
    <cfRule type="cellIs" dxfId="1424" priority="1263" operator="lessThan">
      <formula>0</formula>
    </cfRule>
  </conditionalFormatting>
  <conditionalFormatting sqref="J20">
    <cfRule type="cellIs" dxfId="1423" priority="1261" operator="greaterThan">
      <formula>0</formula>
    </cfRule>
  </conditionalFormatting>
  <conditionalFormatting sqref="J76">
    <cfRule type="cellIs" dxfId="1422" priority="1260" operator="greaterThan">
      <formula>0</formula>
    </cfRule>
  </conditionalFormatting>
  <conditionalFormatting sqref="AQ38">
    <cfRule type="cellIs" dxfId="1421" priority="1258" operator="lessThan">
      <formula>0</formula>
    </cfRule>
  </conditionalFormatting>
  <conditionalFormatting sqref="AM38:AM41">
    <cfRule type="cellIs" dxfId="1420" priority="1256" operator="notEqual">
      <formula>0</formula>
    </cfRule>
  </conditionalFormatting>
  <conditionalFormatting sqref="I40">
    <cfRule type="cellIs" dxfId="1419" priority="1255" operator="greaterThan">
      <formula>0</formula>
    </cfRule>
  </conditionalFormatting>
  <conditionalFormatting sqref="Y40">
    <cfRule type="cellIs" dxfId="1418" priority="1253" operator="lessThan">
      <formula>0</formula>
    </cfRule>
  </conditionalFormatting>
  <conditionalFormatting sqref="Y38:Y40">
    <cfRule type="cellIs" dxfId="1417" priority="1252" operator="lessThan">
      <formula>0</formula>
    </cfRule>
  </conditionalFormatting>
  <conditionalFormatting sqref="Y41">
    <cfRule type="cellIs" dxfId="1416" priority="1251" operator="lessThan">
      <formula>0</formula>
    </cfRule>
  </conditionalFormatting>
  <conditionalFormatting sqref="Y39">
    <cfRule type="iconSet" priority="1259">
      <iconSet>
        <cfvo type="percent" val="0"/>
        <cfvo type="percent" val="&quot;$I$6&quot;"/>
        <cfvo type="percent" val="#REF!"/>
      </iconSet>
    </cfRule>
  </conditionalFormatting>
  <conditionalFormatting sqref="AQ38">
    <cfRule type="cellIs" dxfId="1415" priority="1250" operator="lessThan">
      <formula>0</formula>
    </cfRule>
  </conditionalFormatting>
  <conditionalFormatting sqref="AQ38">
    <cfRule type="cellIs" dxfId="1414" priority="1249" operator="lessThan">
      <formula>0</formula>
    </cfRule>
  </conditionalFormatting>
  <conditionalFormatting sqref="AQ40:AQ41">
    <cfRule type="cellIs" dxfId="1413" priority="1248" operator="lessThan">
      <formula>0</formula>
    </cfRule>
  </conditionalFormatting>
  <conditionalFormatting sqref="AQ40:AQ41">
    <cfRule type="cellIs" dxfId="1412" priority="1247" operator="lessThan">
      <formula>0</formula>
    </cfRule>
  </conditionalFormatting>
  <conditionalFormatting sqref="AQ40:AQ41">
    <cfRule type="cellIs" dxfId="1411" priority="1246" operator="lessThan">
      <formula>0</formula>
    </cfRule>
  </conditionalFormatting>
  <conditionalFormatting sqref="AQ40:AQ41">
    <cfRule type="cellIs" dxfId="1410" priority="1245" operator="lessThan">
      <formula>0</formula>
    </cfRule>
  </conditionalFormatting>
  <conditionalFormatting sqref="AQ40:AQ41">
    <cfRule type="cellIs" dxfId="1409" priority="1244" operator="lessThan">
      <formula>0</formula>
    </cfRule>
  </conditionalFormatting>
  <conditionalFormatting sqref="AQ40:AQ41">
    <cfRule type="cellIs" dxfId="1408" priority="1243" operator="lessThan">
      <formula>0</formula>
    </cfRule>
  </conditionalFormatting>
  <conditionalFormatting sqref="AQ40:AQ41">
    <cfRule type="cellIs" dxfId="1407" priority="1242" operator="lessThan">
      <formula>0</formula>
    </cfRule>
  </conditionalFormatting>
  <conditionalFormatting sqref="AQ40:AQ41">
    <cfRule type="cellIs" dxfId="1406" priority="1241" operator="lessThan">
      <formula>0</formula>
    </cfRule>
  </conditionalFormatting>
  <conditionalFormatting sqref="AQ38">
    <cfRule type="cellIs" dxfId="1405" priority="1240" operator="lessThan">
      <formula>0</formula>
    </cfRule>
  </conditionalFormatting>
  <conditionalFormatting sqref="AQ40:AQ41">
    <cfRule type="cellIs" dxfId="1404" priority="1239" operator="lessThan">
      <formula>0</formula>
    </cfRule>
  </conditionalFormatting>
  <conditionalFormatting sqref="AQ40:AQ41">
    <cfRule type="cellIs" dxfId="1403" priority="1238" operator="lessThan">
      <formula>0</formula>
    </cfRule>
  </conditionalFormatting>
  <conditionalFormatting sqref="AQ40:AQ41">
    <cfRule type="cellIs" dxfId="1402" priority="1237" operator="lessThan">
      <formula>0</formula>
    </cfRule>
  </conditionalFormatting>
  <conditionalFormatting sqref="AQ40:AQ41">
    <cfRule type="cellIs" dxfId="1401" priority="1236" operator="lessThan">
      <formula>0</formula>
    </cfRule>
  </conditionalFormatting>
  <conditionalFormatting sqref="AQ40:AQ41">
    <cfRule type="cellIs" dxfId="1400" priority="1235" operator="lessThan">
      <formula>0</formula>
    </cfRule>
  </conditionalFormatting>
  <conditionalFormatting sqref="AQ40:AQ41">
    <cfRule type="cellIs" dxfId="1399" priority="1234" operator="lessThan">
      <formula>0</formula>
    </cfRule>
  </conditionalFormatting>
  <conditionalFormatting sqref="AQ40:AQ41">
    <cfRule type="cellIs" dxfId="1398" priority="1233" operator="lessThan">
      <formula>0</formula>
    </cfRule>
  </conditionalFormatting>
  <conditionalFormatting sqref="AQ40:AQ41">
    <cfRule type="cellIs" dxfId="1397" priority="1232" operator="lessThan">
      <formula>0</formula>
    </cfRule>
  </conditionalFormatting>
  <conditionalFormatting sqref="AQ39">
    <cfRule type="cellIs" dxfId="1396" priority="1231" operator="lessThan">
      <formula>0</formula>
    </cfRule>
  </conditionalFormatting>
  <conditionalFormatting sqref="AQ39">
    <cfRule type="cellIs" dxfId="1395" priority="1230" operator="lessThan">
      <formula>0</formula>
    </cfRule>
  </conditionalFormatting>
  <conditionalFormatting sqref="AQ39">
    <cfRule type="cellIs" dxfId="1394" priority="1229" operator="lessThan">
      <formula>0</formula>
    </cfRule>
  </conditionalFormatting>
  <conditionalFormatting sqref="AQ39">
    <cfRule type="cellIs" dxfId="1393" priority="1228" operator="lessThan">
      <formula>0</formula>
    </cfRule>
  </conditionalFormatting>
  <conditionalFormatting sqref="AQ39">
    <cfRule type="cellIs" dxfId="1392" priority="1227" operator="lessThan">
      <formula>0</formula>
    </cfRule>
  </conditionalFormatting>
  <conditionalFormatting sqref="AQ39">
    <cfRule type="cellIs" dxfId="1391" priority="1226" operator="lessThan">
      <formula>0</formula>
    </cfRule>
  </conditionalFormatting>
  <conditionalFormatting sqref="AQ39">
    <cfRule type="cellIs" dxfId="1390" priority="1225" operator="lessThan">
      <formula>0</formula>
    </cfRule>
  </conditionalFormatting>
  <conditionalFormatting sqref="AQ39">
    <cfRule type="cellIs" dxfId="1389" priority="1224" operator="lessThan">
      <formula>0</formula>
    </cfRule>
  </conditionalFormatting>
  <conditionalFormatting sqref="AQ39">
    <cfRule type="cellIs" dxfId="1388" priority="1223" operator="lessThan">
      <formula>0</formula>
    </cfRule>
  </conditionalFormatting>
  <conditionalFormatting sqref="AQ39">
    <cfRule type="cellIs" dxfId="1387" priority="1222" operator="lessThan">
      <formula>0</formula>
    </cfRule>
  </conditionalFormatting>
  <conditionalFormatting sqref="AQ39">
    <cfRule type="cellIs" dxfId="1386" priority="1221" operator="lessThan">
      <formula>0</formula>
    </cfRule>
  </conditionalFormatting>
  <conditionalFormatting sqref="AQ39">
    <cfRule type="cellIs" dxfId="1385" priority="1220" operator="lessThan">
      <formula>0</formula>
    </cfRule>
  </conditionalFormatting>
  <conditionalFormatting sqref="AQ39">
    <cfRule type="cellIs" dxfId="1384" priority="1219" operator="lessThan">
      <formula>0</formula>
    </cfRule>
  </conditionalFormatting>
  <conditionalFormatting sqref="AQ39">
    <cfRule type="cellIs" dxfId="1383" priority="1218" operator="lessThan">
      <formula>0</formula>
    </cfRule>
  </conditionalFormatting>
  <conditionalFormatting sqref="AQ39">
    <cfRule type="cellIs" dxfId="1382" priority="1217" operator="lessThan">
      <formula>0</formula>
    </cfRule>
  </conditionalFormatting>
  <conditionalFormatting sqref="AQ39">
    <cfRule type="cellIs" dxfId="1381" priority="1216" operator="lessThan">
      <formula>0</formula>
    </cfRule>
  </conditionalFormatting>
  <conditionalFormatting sqref="AQ39">
    <cfRule type="cellIs" dxfId="1380" priority="1215" operator="lessThan">
      <formula>0</formula>
    </cfRule>
  </conditionalFormatting>
  <conditionalFormatting sqref="AQ39">
    <cfRule type="cellIs" dxfId="1379" priority="1214" operator="lessThan">
      <formula>0</formula>
    </cfRule>
  </conditionalFormatting>
  <conditionalFormatting sqref="AQ39">
    <cfRule type="cellIs" dxfId="1378" priority="1213" operator="lessThan">
      <formula>0</formula>
    </cfRule>
  </conditionalFormatting>
  <conditionalFormatting sqref="AQ39">
    <cfRule type="cellIs" dxfId="1377" priority="1212" operator="lessThan">
      <formula>0</formula>
    </cfRule>
  </conditionalFormatting>
  <conditionalFormatting sqref="AQ39">
    <cfRule type="cellIs" dxfId="1376" priority="1211" operator="lessThan">
      <formula>0</formula>
    </cfRule>
  </conditionalFormatting>
  <conditionalFormatting sqref="AQ39">
    <cfRule type="cellIs" dxfId="1375" priority="1210" operator="lessThan">
      <formula>0</formula>
    </cfRule>
  </conditionalFormatting>
  <conditionalFormatting sqref="AQ39">
    <cfRule type="cellIs" dxfId="1374" priority="1209" operator="lessThan">
      <formula>0</formula>
    </cfRule>
  </conditionalFormatting>
  <conditionalFormatting sqref="AQ39">
    <cfRule type="cellIs" dxfId="1373" priority="1208" operator="lessThan">
      <formula>0</formula>
    </cfRule>
  </conditionalFormatting>
  <conditionalFormatting sqref="AQ39">
    <cfRule type="cellIs" dxfId="1372" priority="1207" operator="lessThan">
      <formula>0</formula>
    </cfRule>
  </conditionalFormatting>
  <conditionalFormatting sqref="AQ39">
    <cfRule type="cellIs" dxfId="1371" priority="1206" operator="lessThan">
      <formula>0</formula>
    </cfRule>
  </conditionalFormatting>
  <conditionalFormatting sqref="AQ39">
    <cfRule type="cellIs" dxfId="1370" priority="1205" operator="lessThan">
      <formula>0</formula>
    </cfRule>
  </conditionalFormatting>
  <conditionalFormatting sqref="AQ39">
    <cfRule type="cellIs" dxfId="1369" priority="1204" operator="lessThan">
      <formula>0</formula>
    </cfRule>
  </conditionalFormatting>
  <conditionalFormatting sqref="AQ39">
    <cfRule type="cellIs" dxfId="1368" priority="1203" operator="lessThan">
      <formula>0</formula>
    </cfRule>
  </conditionalFormatting>
  <conditionalFormatting sqref="AQ39">
    <cfRule type="cellIs" dxfId="1367" priority="1202" operator="lessThan">
      <formula>0</formula>
    </cfRule>
  </conditionalFormatting>
  <conditionalFormatting sqref="AQ39">
    <cfRule type="cellIs" dxfId="1366" priority="1201" operator="lessThan">
      <formula>0</formula>
    </cfRule>
  </conditionalFormatting>
  <conditionalFormatting sqref="AQ39">
    <cfRule type="cellIs" dxfId="1365" priority="1200" operator="lessThan">
      <formula>0</formula>
    </cfRule>
  </conditionalFormatting>
  <conditionalFormatting sqref="AQ39">
    <cfRule type="cellIs" dxfId="1364" priority="1199" operator="lessThan">
      <formula>0</formula>
    </cfRule>
  </conditionalFormatting>
  <conditionalFormatting sqref="AQ39">
    <cfRule type="cellIs" dxfId="1363" priority="1198" operator="lessThan">
      <formula>0</formula>
    </cfRule>
  </conditionalFormatting>
  <conditionalFormatting sqref="AQ39">
    <cfRule type="cellIs" dxfId="1362" priority="1197" operator="lessThan">
      <formula>0</formula>
    </cfRule>
  </conditionalFormatting>
  <conditionalFormatting sqref="AQ39">
    <cfRule type="cellIs" dxfId="1361" priority="1196" operator="lessThan">
      <formula>0</formula>
    </cfRule>
  </conditionalFormatting>
  <conditionalFormatting sqref="AQ39">
    <cfRule type="cellIs" dxfId="1360" priority="1195" operator="lessThan">
      <formula>0</formula>
    </cfRule>
  </conditionalFormatting>
  <conditionalFormatting sqref="AQ39">
    <cfRule type="cellIs" dxfId="1359" priority="1194" operator="lessThan">
      <formula>0</formula>
    </cfRule>
  </conditionalFormatting>
  <conditionalFormatting sqref="AQ39">
    <cfRule type="cellIs" dxfId="1358" priority="1193" operator="lessThan">
      <formula>0</formula>
    </cfRule>
  </conditionalFormatting>
  <conditionalFormatting sqref="AQ39">
    <cfRule type="cellIs" dxfId="1357" priority="1192" operator="lessThan">
      <formula>0</formula>
    </cfRule>
  </conditionalFormatting>
  <conditionalFormatting sqref="AQ39">
    <cfRule type="cellIs" dxfId="1356" priority="1191" operator="lessThan">
      <formula>0</formula>
    </cfRule>
  </conditionalFormatting>
  <conditionalFormatting sqref="AQ39">
    <cfRule type="cellIs" dxfId="1355" priority="1190" operator="lessThan">
      <formula>0</formula>
    </cfRule>
  </conditionalFormatting>
  <conditionalFormatting sqref="AQ39">
    <cfRule type="cellIs" dxfId="1354" priority="1189" operator="lessThan">
      <formula>0</formula>
    </cfRule>
  </conditionalFormatting>
  <conditionalFormatting sqref="AQ39">
    <cfRule type="cellIs" dxfId="1353" priority="1188" operator="lessThan">
      <formula>0</formula>
    </cfRule>
  </conditionalFormatting>
  <conditionalFormatting sqref="AQ39">
    <cfRule type="cellIs" dxfId="1352" priority="1187" operator="lessThan">
      <formula>0</formula>
    </cfRule>
  </conditionalFormatting>
  <conditionalFormatting sqref="AQ39">
    <cfRule type="cellIs" dxfId="1351" priority="1186" operator="lessThan">
      <formula>0</formula>
    </cfRule>
  </conditionalFormatting>
  <conditionalFormatting sqref="AQ39">
    <cfRule type="cellIs" dxfId="1350" priority="1185" operator="lessThan">
      <formula>0</formula>
    </cfRule>
  </conditionalFormatting>
  <conditionalFormatting sqref="AQ39">
    <cfRule type="cellIs" dxfId="1349" priority="1184" operator="lessThan">
      <formula>0</formula>
    </cfRule>
  </conditionalFormatting>
  <conditionalFormatting sqref="AQ39">
    <cfRule type="cellIs" dxfId="1348" priority="1183" operator="lessThan">
      <formula>0</formula>
    </cfRule>
  </conditionalFormatting>
  <conditionalFormatting sqref="AQ39">
    <cfRule type="cellIs" dxfId="1347" priority="1182" operator="lessThan">
      <formula>0</formula>
    </cfRule>
  </conditionalFormatting>
  <conditionalFormatting sqref="AQ39">
    <cfRule type="cellIs" dxfId="1346" priority="1181" operator="lessThan">
      <formula>0</formula>
    </cfRule>
  </conditionalFormatting>
  <conditionalFormatting sqref="AQ39">
    <cfRule type="cellIs" dxfId="1345" priority="1180" operator="lessThan">
      <formula>0</formula>
    </cfRule>
  </conditionalFormatting>
  <conditionalFormatting sqref="AQ39">
    <cfRule type="cellIs" dxfId="1344" priority="1179" operator="lessThan">
      <formula>0</formula>
    </cfRule>
  </conditionalFormatting>
  <conditionalFormatting sqref="AQ39">
    <cfRule type="cellIs" dxfId="1343" priority="1178" operator="lessThan">
      <formula>0</formula>
    </cfRule>
  </conditionalFormatting>
  <conditionalFormatting sqref="AQ39">
    <cfRule type="cellIs" dxfId="1342" priority="1177" operator="lessThan">
      <formula>0</formula>
    </cfRule>
  </conditionalFormatting>
  <conditionalFormatting sqref="AQ39">
    <cfRule type="cellIs" dxfId="1341" priority="1176" operator="lessThan">
      <formula>0</formula>
    </cfRule>
  </conditionalFormatting>
  <conditionalFormatting sqref="AQ39">
    <cfRule type="cellIs" dxfId="1340" priority="1175" operator="lessThan">
      <formula>0</formula>
    </cfRule>
  </conditionalFormatting>
  <conditionalFormatting sqref="AQ39">
    <cfRule type="cellIs" dxfId="1339" priority="1174" operator="lessThan">
      <formula>0</formula>
    </cfRule>
  </conditionalFormatting>
  <conditionalFormatting sqref="AQ39">
    <cfRule type="cellIs" dxfId="1338" priority="1173" operator="lessThan">
      <formula>0</formula>
    </cfRule>
  </conditionalFormatting>
  <conditionalFormatting sqref="AQ39">
    <cfRule type="cellIs" dxfId="1337" priority="1172" operator="lessThan">
      <formula>0</formula>
    </cfRule>
  </conditionalFormatting>
  <conditionalFormatting sqref="AQ39">
    <cfRule type="cellIs" dxfId="1336" priority="1171" operator="lessThan">
      <formula>0</formula>
    </cfRule>
  </conditionalFormatting>
  <conditionalFormatting sqref="AQ39">
    <cfRule type="cellIs" dxfId="1335" priority="1170" operator="lessThan">
      <formula>0</formula>
    </cfRule>
  </conditionalFormatting>
  <conditionalFormatting sqref="AQ39">
    <cfRule type="cellIs" dxfId="1334" priority="1169" operator="lessThan">
      <formula>0</formula>
    </cfRule>
  </conditionalFormatting>
  <conditionalFormatting sqref="AQ39">
    <cfRule type="cellIs" dxfId="1333" priority="1168" operator="lessThan">
      <formula>0</formula>
    </cfRule>
  </conditionalFormatting>
  <conditionalFormatting sqref="AQ39">
    <cfRule type="cellIs" dxfId="1332" priority="1167" operator="lessThan">
      <formula>0</formula>
    </cfRule>
  </conditionalFormatting>
  <conditionalFormatting sqref="AQ39">
    <cfRule type="cellIs" dxfId="1331" priority="1166" operator="lessThan">
      <formula>0</formula>
    </cfRule>
  </conditionalFormatting>
  <conditionalFormatting sqref="AQ39">
    <cfRule type="cellIs" dxfId="1330" priority="1165" operator="lessThan">
      <formula>0</formula>
    </cfRule>
  </conditionalFormatting>
  <conditionalFormatting sqref="AQ39">
    <cfRule type="cellIs" dxfId="1329" priority="1164" operator="lessThan">
      <formula>0</formula>
    </cfRule>
  </conditionalFormatting>
  <conditionalFormatting sqref="AQ39">
    <cfRule type="cellIs" dxfId="1328" priority="1163" operator="lessThan">
      <formula>0</formula>
    </cfRule>
  </conditionalFormatting>
  <conditionalFormatting sqref="AQ39">
    <cfRule type="cellIs" dxfId="1327" priority="1162" operator="lessThan">
      <formula>0</formula>
    </cfRule>
  </conditionalFormatting>
  <conditionalFormatting sqref="AQ39">
    <cfRule type="cellIs" dxfId="1326" priority="1161" operator="lessThan">
      <formula>0</formula>
    </cfRule>
  </conditionalFormatting>
  <conditionalFormatting sqref="AQ39">
    <cfRule type="cellIs" dxfId="1325" priority="1160" operator="lessThan">
      <formula>0</formula>
    </cfRule>
  </conditionalFormatting>
  <conditionalFormatting sqref="AQ39">
    <cfRule type="cellIs" dxfId="1324" priority="1159" operator="lessThan">
      <formula>0</formula>
    </cfRule>
  </conditionalFormatting>
  <conditionalFormatting sqref="AQ39">
    <cfRule type="cellIs" dxfId="1323" priority="1158" operator="lessThan">
      <formula>0</formula>
    </cfRule>
  </conditionalFormatting>
  <conditionalFormatting sqref="AQ39">
    <cfRule type="cellIs" dxfId="1322" priority="1157" operator="lessThan">
      <formula>0</formula>
    </cfRule>
  </conditionalFormatting>
  <conditionalFormatting sqref="AQ39">
    <cfRule type="cellIs" dxfId="1321" priority="1156" operator="lessThan">
      <formula>0</formula>
    </cfRule>
  </conditionalFormatting>
  <conditionalFormatting sqref="AQ39">
    <cfRule type="cellIs" dxfId="1320" priority="1155" operator="lessThan">
      <formula>0</formula>
    </cfRule>
  </conditionalFormatting>
  <conditionalFormatting sqref="AQ39">
    <cfRule type="cellIs" dxfId="1319" priority="1154" operator="lessThan">
      <formula>0</formula>
    </cfRule>
  </conditionalFormatting>
  <conditionalFormatting sqref="AQ39">
    <cfRule type="cellIs" dxfId="1318" priority="1153" operator="lessThan">
      <formula>0</formula>
    </cfRule>
  </conditionalFormatting>
  <conditionalFormatting sqref="AQ39">
    <cfRule type="cellIs" dxfId="1317" priority="1152" operator="lessThan">
      <formula>0</formula>
    </cfRule>
  </conditionalFormatting>
  <conditionalFormatting sqref="AQ39">
    <cfRule type="cellIs" dxfId="1316" priority="1136" operator="lessThan">
      <formula>0</formula>
    </cfRule>
  </conditionalFormatting>
  <conditionalFormatting sqref="AQ39">
    <cfRule type="cellIs" dxfId="1315" priority="1151" operator="lessThan">
      <formula>0</formula>
    </cfRule>
  </conditionalFormatting>
  <conditionalFormatting sqref="AQ39">
    <cfRule type="cellIs" dxfId="1314" priority="1150" operator="lessThan">
      <formula>0</formula>
    </cfRule>
  </conditionalFormatting>
  <conditionalFormatting sqref="AQ39">
    <cfRule type="cellIs" dxfId="1313" priority="1149" operator="lessThan">
      <formula>0</formula>
    </cfRule>
  </conditionalFormatting>
  <conditionalFormatting sqref="AQ39">
    <cfRule type="cellIs" dxfId="1312" priority="1148" operator="lessThan">
      <formula>0</formula>
    </cfRule>
  </conditionalFormatting>
  <conditionalFormatting sqref="AQ39">
    <cfRule type="cellIs" dxfId="1311" priority="1147" operator="lessThan">
      <formula>0</formula>
    </cfRule>
  </conditionalFormatting>
  <conditionalFormatting sqref="AQ39">
    <cfRule type="cellIs" dxfId="1310" priority="1146" operator="lessThan">
      <formula>0</formula>
    </cfRule>
  </conditionalFormatting>
  <conditionalFormatting sqref="AQ39">
    <cfRule type="cellIs" dxfId="1309" priority="1145" operator="lessThan">
      <formula>0</formula>
    </cfRule>
  </conditionalFormatting>
  <conditionalFormatting sqref="AQ39">
    <cfRule type="cellIs" dxfId="1308" priority="1144" operator="lessThan">
      <formula>0</formula>
    </cfRule>
  </conditionalFormatting>
  <conditionalFormatting sqref="AQ39">
    <cfRule type="cellIs" dxfId="1307" priority="1143" operator="lessThan">
      <formula>0</formula>
    </cfRule>
  </conditionalFormatting>
  <conditionalFormatting sqref="AQ39">
    <cfRule type="cellIs" dxfId="1306" priority="1142" operator="lessThan">
      <formula>0</formula>
    </cfRule>
  </conditionalFormatting>
  <conditionalFormatting sqref="AQ39">
    <cfRule type="cellIs" dxfId="1305" priority="1141" operator="lessThan">
      <formula>0</formula>
    </cfRule>
  </conditionalFormatting>
  <conditionalFormatting sqref="AQ39">
    <cfRule type="cellIs" dxfId="1304" priority="1140" operator="lessThan">
      <formula>0</formula>
    </cfRule>
  </conditionalFormatting>
  <conditionalFormatting sqref="AQ39">
    <cfRule type="cellIs" dxfId="1303" priority="1139" operator="lessThan">
      <formula>0</formula>
    </cfRule>
  </conditionalFormatting>
  <conditionalFormatting sqref="AQ39">
    <cfRule type="cellIs" dxfId="1302" priority="1138" operator="lessThan">
      <formula>0</formula>
    </cfRule>
  </conditionalFormatting>
  <conditionalFormatting sqref="AQ39">
    <cfRule type="cellIs" dxfId="1301" priority="1137" operator="lessThan">
      <formula>0</formula>
    </cfRule>
  </conditionalFormatting>
  <conditionalFormatting sqref="AQ38">
    <cfRule type="cellIs" dxfId="1300" priority="1135" operator="lessThan">
      <formula>0</formula>
    </cfRule>
  </conditionalFormatting>
  <conditionalFormatting sqref="AQ38">
    <cfRule type="cellIs" dxfId="1299" priority="1134" operator="lessThan">
      <formula>0</formula>
    </cfRule>
  </conditionalFormatting>
  <conditionalFormatting sqref="AQ40:AQ41">
    <cfRule type="cellIs" dxfId="1298" priority="1133" operator="lessThan">
      <formula>0</formula>
    </cfRule>
  </conditionalFormatting>
  <conditionalFormatting sqref="AQ40:AQ41">
    <cfRule type="cellIs" dxfId="1297" priority="1132" operator="lessThan">
      <formula>0</formula>
    </cfRule>
  </conditionalFormatting>
  <conditionalFormatting sqref="AQ40:AQ41">
    <cfRule type="cellIs" dxfId="1296" priority="1131" operator="lessThan">
      <formula>0</formula>
    </cfRule>
  </conditionalFormatting>
  <conditionalFormatting sqref="AQ40:AQ41">
    <cfRule type="cellIs" dxfId="1295" priority="1130" operator="lessThan">
      <formula>0</formula>
    </cfRule>
  </conditionalFormatting>
  <conditionalFormatting sqref="AQ40:AQ41">
    <cfRule type="cellIs" dxfId="1294" priority="1129" operator="lessThan">
      <formula>0</formula>
    </cfRule>
  </conditionalFormatting>
  <conditionalFormatting sqref="AQ40:AQ41">
    <cfRule type="cellIs" dxfId="1293" priority="1128" operator="lessThan">
      <formula>0</formula>
    </cfRule>
  </conditionalFormatting>
  <conditionalFormatting sqref="AQ40:AQ41">
    <cfRule type="cellIs" dxfId="1292" priority="1127" operator="lessThan">
      <formula>0</formula>
    </cfRule>
  </conditionalFormatting>
  <conditionalFormatting sqref="AQ40:AQ41">
    <cfRule type="cellIs" dxfId="1291" priority="1126" operator="lessThan">
      <formula>0</formula>
    </cfRule>
  </conditionalFormatting>
  <conditionalFormatting sqref="AQ38">
    <cfRule type="cellIs" dxfId="1290" priority="1125" operator="lessThan">
      <formula>0</formula>
    </cfRule>
  </conditionalFormatting>
  <conditionalFormatting sqref="AQ38 AQ40:AQ41">
    <cfRule type="cellIs" dxfId="1289" priority="1124" operator="lessThan">
      <formula>0</formula>
    </cfRule>
  </conditionalFormatting>
  <conditionalFormatting sqref="AQ38 AQ40:AQ41">
    <cfRule type="cellIs" dxfId="1288" priority="1123" operator="lessThan">
      <formula>0</formula>
    </cfRule>
  </conditionalFormatting>
  <conditionalFormatting sqref="AQ38 AQ40:AQ41">
    <cfRule type="cellIs" dxfId="1287" priority="1122" operator="lessThan">
      <formula>0</formula>
    </cfRule>
  </conditionalFormatting>
  <conditionalFormatting sqref="AQ38 AQ40:AQ41">
    <cfRule type="cellIs" dxfId="1286" priority="1121" operator="lessThan">
      <formula>0</formula>
    </cfRule>
  </conditionalFormatting>
  <conditionalFormatting sqref="AQ40:AQ41">
    <cfRule type="cellIs" dxfId="1285" priority="1120" operator="lessThan">
      <formula>0</formula>
    </cfRule>
  </conditionalFormatting>
  <conditionalFormatting sqref="AQ40:AQ41">
    <cfRule type="cellIs" dxfId="1284" priority="1119" operator="lessThan">
      <formula>0</formula>
    </cfRule>
  </conditionalFormatting>
  <conditionalFormatting sqref="AQ40:AQ41">
    <cfRule type="cellIs" dxfId="1283" priority="1118" operator="lessThan">
      <formula>0</formula>
    </cfRule>
  </conditionalFormatting>
  <conditionalFormatting sqref="AQ40:AQ41">
    <cfRule type="cellIs" dxfId="1282" priority="1117" operator="lessThan">
      <formula>0</formula>
    </cfRule>
  </conditionalFormatting>
  <conditionalFormatting sqref="AQ39">
    <cfRule type="cellIs" dxfId="1281" priority="1116" operator="lessThan">
      <formula>0</formula>
    </cfRule>
  </conditionalFormatting>
  <conditionalFormatting sqref="AQ39">
    <cfRule type="cellIs" dxfId="1280" priority="1115" operator="lessThan">
      <formula>0</formula>
    </cfRule>
  </conditionalFormatting>
  <conditionalFormatting sqref="AQ39">
    <cfRule type="cellIs" dxfId="1279" priority="1114" operator="lessThan">
      <formula>0</formula>
    </cfRule>
  </conditionalFormatting>
  <conditionalFormatting sqref="AQ39">
    <cfRule type="cellIs" dxfId="1278" priority="1113" operator="lessThan">
      <formula>0</formula>
    </cfRule>
  </conditionalFormatting>
  <conditionalFormatting sqref="AQ39">
    <cfRule type="cellIs" dxfId="1277" priority="1112" operator="lessThan">
      <formula>0</formula>
    </cfRule>
  </conditionalFormatting>
  <conditionalFormatting sqref="AQ39">
    <cfRule type="cellIs" dxfId="1276" priority="1111" operator="lessThan">
      <formula>0</formula>
    </cfRule>
  </conditionalFormatting>
  <conditionalFormatting sqref="AQ39">
    <cfRule type="cellIs" dxfId="1275" priority="1110" operator="lessThan">
      <formula>0</formula>
    </cfRule>
  </conditionalFormatting>
  <conditionalFormatting sqref="AQ39">
    <cfRule type="cellIs" dxfId="1274" priority="1109" operator="lessThan">
      <formula>0</formula>
    </cfRule>
  </conditionalFormatting>
  <conditionalFormatting sqref="AQ39">
    <cfRule type="cellIs" dxfId="1273" priority="1108" operator="lessThan">
      <formula>0</formula>
    </cfRule>
  </conditionalFormatting>
  <conditionalFormatting sqref="AQ39">
    <cfRule type="cellIs" dxfId="1272" priority="1107" operator="lessThan">
      <formula>0</formula>
    </cfRule>
  </conditionalFormatting>
  <conditionalFormatting sqref="AQ39">
    <cfRule type="cellIs" dxfId="1271" priority="1106" operator="lessThan">
      <formula>0</formula>
    </cfRule>
  </conditionalFormatting>
  <conditionalFormatting sqref="AQ39">
    <cfRule type="cellIs" dxfId="1270" priority="1105" operator="lessThan">
      <formula>0</formula>
    </cfRule>
  </conditionalFormatting>
  <conditionalFormatting sqref="AQ39">
    <cfRule type="cellIs" dxfId="1269" priority="1104" operator="lessThan">
      <formula>0</formula>
    </cfRule>
  </conditionalFormatting>
  <conditionalFormatting sqref="AQ39">
    <cfRule type="cellIs" dxfId="1268" priority="1103" operator="lessThan">
      <formula>0</formula>
    </cfRule>
  </conditionalFormatting>
  <conditionalFormatting sqref="AQ39">
    <cfRule type="cellIs" dxfId="1267" priority="1102" operator="lessThan">
      <formula>0</formula>
    </cfRule>
  </conditionalFormatting>
  <conditionalFormatting sqref="AQ39">
    <cfRule type="cellIs" dxfId="1266" priority="1101" operator="lessThan">
      <formula>0</formula>
    </cfRule>
  </conditionalFormatting>
  <conditionalFormatting sqref="AQ39">
    <cfRule type="cellIs" dxfId="1265" priority="1100" operator="lessThan">
      <formula>0</formula>
    </cfRule>
  </conditionalFormatting>
  <conditionalFormatting sqref="AQ39">
    <cfRule type="cellIs" dxfId="1264" priority="1099" operator="lessThan">
      <formula>0</formula>
    </cfRule>
  </conditionalFormatting>
  <conditionalFormatting sqref="AQ39">
    <cfRule type="cellIs" dxfId="1263" priority="1098" operator="lessThan">
      <formula>0</formula>
    </cfRule>
  </conditionalFormatting>
  <conditionalFormatting sqref="AQ39">
    <cfRule type="cellIs" dxfId="1262" priority="1097" operator="lessThan">
      <formula>0</formula>
    </cfRule>
  </conditionalFormatting>
  <conditionalFormatting sqref="AQ39">
    <cfRule type="cellIs" dxfId="1261" priority="1096" operator="lessThan">
      <formula>0</formula>
    </cfRule>
  </conditionalFormatting>
  <conditionalFormatting sqref="AQ39">
    <cfRule type="cellIs" dxfId="1260" priority="1095" operator="lessThan">
      <formula>0</formula>
    </cfRule>
  </conditionalFormatting>
  <conditionalFormatting sqref="AQ39">
    <cfRule type="cellIs" dxfId="1259" priority="1094" operator="lessThan">
      <formula>0</formula>
    </cfRule>
  </conditionalFormatting>
  <conditionalFormatting sqref="AQ39">
    <cfRule type="cellIs" dxfId="1258" priority="1093" operator="lessThan">
      <formula>0</formula>
    </cfRule>
  </conditionalFormatting>
  <conditionalFormatting sqref="AQ39">
    <cfRule type="cellIs" dxfId="1257" priority="1092" operator="lessThan">
      <formula>0</formula>
    </cfRule>
  </conditionalFormatting>
  <conditionalFormatting sqref="AQ39">
    <cfRule type="cellIs" dxfId="1256" priority="1091" operator="lessThan">
      <formula>0</formula>
    </cfRule>
  </conditionalFormatting>
  <conditionalFormatting sqref="AQ39">
    <cfRule type="cellIs" dxfId="1255" priority="1090" operator="lessThan">
      <formula>0</formula>
    </cfRule>
  </conditionalFormatting>
  <conditionalFormatting sqref="AQ39">
    <cfRule type="cellIs" dxfId="1254" priority="1089" operator="lessThan">
      <formula>0</formula>
    </cfRule>
  </conditionalFormatting>
  <conditionalFormatting sqref="AQ39">
    <cfRule type="cellIs" dxfId="1253" priority="1088" operator="lessThan">
      <formula>0</formula>
    </cfRule>
  </conditionalFormatting>
  <conditionalFormatting sqref="AQ39">
    <cfRule type="cellIs" dxfId="1252" priority="1087" operator="lessThan">
      <formula>0</formula>
    </cfRule>
  </conditionalFormatting>
  <conditionalFormatting sqref="AQ39">
    <cfRule type="cellIs" dxfId="1251" priority="1086" operator="lessThan">
      <formula>0</formula>
    </cfRule>
  </conditionalFormatting>
  <conditionalFormatting sqref="AQ39">
    <cfRule type="cellIs" dxfId="1250" priority="1085" operator="lessThan">
      <formula>0</formula>
    </cfRule>
  </conditionalFormatting>
  <conditionalFormatting sqref="AQ39">
    <cfRule type="cellIs" dxfId="1249" priority="1084" operator="lessThan">
      <formula>0</formula>
    </cfRule>
  </conditionalFormatting>
  <conditionalFormatting sqref="AQ39">
    <cfRule type="cellIs" dxfId="1248" priority="1083" operator="lessThan">
      <formula>0</formula>
    </cfRule>
  </conditionalFormatting>
  <conditionalFormatting sqref="AQ39">
    <cfRule type="cellIs" dxfId="1247" priority="1082" operator="lessThan">
      <formula>0</formula>
    </cfRule>
  </conditionalFormatting>
  <conditionalFormatting sqref="AQ39">
    <cfRule type="cellIs" dxfId="1246" priority="1081" operator="lessThan">
      <formula>0</formula>
    </cfRule>
  </conditionalFormatting>
  <conditionalFormatting sqref="AQ39">
    <cfRule type="cellIs" dxfId="1245" priority="1080" operator="lessThan">
      <formula>0</formula>
    </cfRule>
  </conditionalFormatting>
  <conditionalFormatting sqref="AQ39">
    <cfRule type="cellIs" dxfId="1244" priority="1079" operator="lessThan">
      <formula>0</formula>
    </cfRule>
  </conditionalFormatting>
  <conditionalFormatting sqref="AQ39">
    <cfRule type="cellIs" dxfId="1243" priority="1078" operator="lessThan">
      <formula>0</formula>
    </cfRule>
  </conditionalFormatting>
  <conditionalFormatting sqref="AQ39">
    <cfRule type="cellIs" dxfId="1242" priority="1077" operator="lessThan">
      <formula>0</formula>
    </cfRule>
  </conditionalFormatting>
  <conditionalFormatting sqref="AQ39">
    <cfRule type="cellIs" dxfId="1241" priority="1076" operator="lessThan">
      <formula>0</formula>
    </cfRule>
  </conditionalFormatting>
  <conditionalFormatting sqref="AQ39">
    <cfRule type="cellIs" dxfId="1240" priority="1075" operator="lessThan">
      <formula>0</formula>
    </cfRule>
  </conditionalFormatting>
  <conditionalFormatting sqref="AQ39">
    <cfRule type="cellIs" dxfId="1239" priority="1074" operator="lessThan">
      <formula>0</formula>
    </cfRule>
  </conditionalFormatting>
  <conditionalFormatting sqref="AQ39">
    <cfRule type="cellIs" dxfId="1238" priority="1073" operator="lessThan">
      <formula>0</formula>
    </cfRule>
  </conditionalFormatting>
  <conditionalFormatting sqref="AQ39">
    <cfRule type="cellIs" dxfId="1237" priority="1072" operator="lessThan">
      <formula>0</formula>
    </cfRule>
  </conditionalFormatting>
  <conditionalFormatting sqref="AQ39">
    <cfRule type="cellIs" dxfId="1236" priority="1071" operator="lessThan">
      <formula>0</formula>
    </cfRule>
  </conditionalFormatting>
  <conditionalFormatting sqref="AQ39">
    <cfRule type="cellIs" dxfId="1235" priority="1070" operator="lessThan">
      <formula>0</formula>
    </cfRule>
  </conditionalFormatting>
  <conditionalFormatting sqref="AQ39">
    <cfRule type="cellIs" dxfId="1234" priority="1069" operator="lessThan">
      <formula>0</formula>
    </cfRule>
  </conditionalFormatting>
  <conditionalFormatting sqref="AQ39">
    <cfRule type="cellIs" dxfId="1233" priority="1068" operator="lessThan">
      <formula>0</formula>
    </cfRule>
  </conditionalFormatting>
  <conditionalFormatting sqref="AQ39">
    <cfRule type="cellIs" dxfId="1232" priority="1067" operator="lessThan">
      <formula>0</formula>
    </cfRule>
  </conditionalFormatting>
  <conditionalFormatting sqref="AQ39">
    <cfRule type="cellIs" dxfId="1231" priority="1066" operator="lessThan">
      <formula>0</formula>
    </cfRule>
  </conditionalFormatting>
  <conditionalFormatting sqref="AQ39">
    <cfRule type="cellIs" dxfId="1230" priority="1065" operator="lessThan">
      <formula>0</formula>
    </cfRule>
  </conditionalFormatting>
  <conditionalFormatting sqref="AQ39">
    <cfRule type="cellIs" dxfId="1229" priority="1064" operator="lessThan">
      <formula>0</formula>
    </cfRule>
  </conditionalFormatting>
  <conditionalFormatting sqref="AQ39">
    <cfRule type="cellIs" dxfId="1228" priority="1063" operator="lessThan">
      <formula>0</formula>
    </cfRule>
  </conditionalFormatting>
  <conditionalFormatting sqref="AQ39">
    <cfRule type="cellIs" dxfId="1227" priority="1062" operator="lessThan">
      <formula>0</formula>
    </cfRule>
  </conditionalFormatting>
  <conditionalFormatting sqref="AQ39">
    <cfRule type="cellIs" dxfId="1226" priority="1061" operator="lessThan">
      <formula>0</formula>
    </cfRule>
  </conditionalFormatting>
  <conditionalFormatting sqref="AQ39">
    <cfRule type="cellIs" dxfId="1225" priority="1060" operator="lessThan">
      <formula>0</formula>
    </cfRule>
  </conditionalFormatting>
  <conditionalFormatting sqref="AQ39">
    <cfRule type="cellIs" dxfId="1224" priority="1059" operator="lessThan">
      <formula>0</formula>
    </cfRule>
  </conditionalFormatting>
  <conditionalFormatting sqref="AQ39">
    <cfRule type="cellIs" dxfId="1223" priority="1058" operator="lessThan">
      <formula>0</formula>
    </cfRule>
  </conditionalFormatting>
  <conditionalFormatting sqref="AQ39">
    <cfRule type="cellIs" dxfId="1222" priority="1057" operator="lessThan">
      <formula>0</formula>
    </cfRule>
  </conditionalFormatting>
  <conditionalFormatting sqref="AQ39">
    <cfRule type="cellIs" dxfId="1221" priority="1056" operator="lessThan">
      <formula>0</formula>
    </cfRule>
  </conditionalFormatting>
  <conditionalFormatting sqref="AQ39">
    <cfRule type="cellIs" dxfId="1220" priority="1055" operator="lessThan">
      <formula>0</formula>
    </cfRule>
  </conditionalFormatting>
  <conditionalFormatting sqref="AQ39">
    <cfRule type="cellIs" dxfId="1219" priority="1054" operator="lessThan">
      <formula>0</formula>
    </cfRule>
  </conditionalFormatting>
  <conditionalFormatting sqref="AQ39">
    <cfRule type="cellIs" dxfId="1218" priority="1053" operator="lessThan">
      <formula>0</formula>
    </cfRule>
  </conditionalFormatting>
  <conditionalFormatting sqref="AQ39">
    <cfRule type="cellIs" dxfId="1217" priority="1052" operator="lessThan">
      <formula>0</formula>
    </cfRule>
  </conditionalFormatting>
  <conditionalFormatting sqref="AQ39">
    <cfRule type="cellIs" dxfId="1216" priority="1051" operator="lessThan">
      <formula>0</formula>
    </cfRule>
  </conditionalFormatting>
  <conditionalFormatting sqref="AQ39">
    <cfRule type="cellIs" dxfId="1215" priority="1050" operator="lessThan">
      <formula>0</formula>
    </cfRule>
  </conditionalFormatting>
  <conditionalFormatting sqref="AQ39">
    <cfRule type="cellIs" dxfId="1214" priority="1049" operator="lessThan">
      <formula>0</formula>
    </cfRule>
  </conditionalFormatting>
  <conditionalFormatting sqref="AQ39">
    <cfRule type="cellIs" dxfId="1213" priority="1048" operator="lessThan">
      <formula>0</formula>
    </cfRule>
  </conditionalFormatting>
  <conditionalFormatting sqref="AQ39">
    <cfRule type="cellIs" dxfId="1212" priority="1047" operator="lessThan">
      <formula>0</formula>
    </cfRule>
  </conditionalFormatting>
  <conditionalFormatting sqref="AQ39">
    <cfRule type="cellIs" dxfId="1211" priority="1046" operator="lessThan">
      <formula>0</formula>
    </cfRule>
  </conditionalFormatting>
  <conditionalFormatting sqref="AQ39">
    <cfRule type="cellIs" dxfId="1210" priority="1045" operator="lessThan">
      <formula>0</formula>
    </cfRule>
  </conditionalFormatting>
  <conditionalFormatting sqref="AQ39">
    <cfRule type="cellIs" dxfId="1209" priority="1044" operator="lessThan">
      <formula>0</formula>
    </cfRule>
  </conditionalFormatting>
  <conditionalFormatting sqref="AQ39">
    <cfRule type="cellIs" dxfId="1208" priority="1043" operator="lessThan">
      <formula>0</formula>
    </cfRule>
  </conditionalFormatting>
  <conditionalFormatting sqref="AQ39">
    <cfRule type="cellIs" dxfId="1207" priority="1042" operator="lessThan">
      <formula>0</formula>
    </cfRule>
  </conditionalFormatting>
  <conditionalFormatting sqref="AQ39">
    <cfRule type="cellIs" dxfId="1206" priority="1041" operator="lessThan">
      <formula>0</formula>
    </cfRule>
  </conditionalFormatting>
  <conditionalFormatting sqref="AQ39">
    <cfRule type="cellIs" dxfId="1205" priority="1040" operator="lessThan">
      <formula>0</formula>
    </cfRule>
  </conditionalFormatting>
  <conditionalFormatting sqref="AQ39">
    <cfRule type="cellIs" dxfId="1204" priority="1039" operator="lessThan">
      <formula>0</formula>
    </cfRule>
  </conditionalFormatting>
  <conditionalFormatting sqref="AQ39">
    <cfRule type="cellIs" dxfId="1203" priority="1038" operator="lessThan">
      <formula>0</formula>
    </cfRule>
  </conditionalFormatting>
  <conditionalFormatting sqref="AQ39">
    <cfRule type="cellIs" dxfId="1202" priority="1037" operator="lessThan">
      <formula>0</formula>
    </cfRule>
  </conditionalFormatting>
  <conditionalFormatting sqref="AQ39">
    <cfRule type="cellIs" dxfId="1201" priority="1021" operator="lessThan">
      <formula>0</formula>
    </cfRule>
  </conditionalFormatting>
  <conditionalFormatting sqref="AQ39">
    <cfRule type="cellIs" dxfId="1200" priority="1036" operator="lessThan">
      <formula>0</formula>
    </cfRule>
  </conditionalFormatting>
  <conditionalFormatting sqref="AQ39">
    <cfRule type="cellIs" dxfId="1199" priority="1035" operator="lessThan">
      <formula>0</formula>
    </cfRule>
  </conditionalFormatting>
  <conditionalFormatting sqref="AQ39">
    <cfRule type="cellIs" dxfId="1198" priority="1034" operator="lessThan">
      <formula>0</formula>
    </cfRule>
  </conditionalFormatting>
  <conditionalFormatting sqref="AQ39">
    <cfRule type="cellIs" dxfId="1197" priority="1033" operator="lessThan">
      <formula>0</formula>
    </cfRule>
  </conditionalFormatting>
  <conditionalFormatting sqref="AQ39">
    <cfRule type="cellIs" dxfId="1196" priority="1032" operator="lessThan">
      <formula>0</formula>
    </cfRule>
  </conditionalFormatting>
  <conditionalFormatting sqref="AQ39">
    <cfRule type="cellIs" dxfId="1195" priority="1031" operator="lessThan">
      <formula>0</formula>
    </cfRule>
  </conditionalFormatting>
  <conditionalFormatting sqref="AQ39">
    <cfRule type="cellIs" dxfId="1194" priority="1030" operator="lessThan">
      <formula>0</formula>
    </cfRule>
  </conditionalFormatting>
  <conditionalFormatting sqref="AQ39">
    <cfRule type="cellIs" dxfId="1193" priority="1029" operator="lessThan">
      <formula>0</formula>
    </cfRule>
  </conditionalFormatting>
  <conditionalFormatting sqref="AQ39">
    <cfRule type="cellIs" dxfId="1192" priority="1028" operator="lessThan">
      <formula>0</formula>
    </cfRule>
  </conditionalFormatting>
  <conditionalFormatting sqref="AQ39">
    <cfRule type="cellIs" dxfId="1191" priority="1027" operator="lessThan">
      <formula>0</formula>
    </cfRule>
  </conditionalFormatting>
  <conditionalFormatting sqref="AQ39">
    <cfRule type="cellIs" dxfId="1190" priority="1026" operator="lessThan">
      <formula>0</formula>
    </cfRule>
  </conditionalFormatting>
  <conditionalFormatting sqref="AQ39">
    <cfRule type="cellIs" dxfId="1189" priority="1025" operator="lessThan">
      <formula>0</formula>
    </cfRule>
  </conditionalFormatting>
  <conditionalFormatting sqref="AQ39">
    <cfRule type="cellIs" dxfId="1188" priority="1024" operator="lessThan">
      <formula>0</formula>
    </cfRule>
  </conditionalFormatting>
  <conditionalFormatting sqref="AQ39">
    <cfRule type="cellIs" dxfId="1187" priority="1023" operator="lessThan">
      <formula>0</formula>
    </cfRule>
  </conditionalFormatting>
  <conditionalFormatting sqref="AQ39">
    <cfRule type="cellIs" dxfId="1186" priority="1022" operator="lessThan">
      <formula>0</formula>
    </cfRule>
  </conditionalFormatting>
  <conditionalFormatting sqref="X7">
    <cfRule type="iconSet" priority="1020">
      <iconSet>
        <cfvo type="percent" val="0"/>
        <cfvo type="percent" val="&quot;$I$6&quot;"/>
        <cfvo type="percent" val="#REF!"/>
      </iconSet>
    </cfRule>
  </conditionalFormatting>
  <conditionalFormatting sqref="X8">
    <cfRule type="cellIs" dxfId="1185" priority="1019" operator="lessThan">
      <formula>0</formula>
    </cfRule>
  </conditionalFormatting>
  <conditionalFormatting sqref="X6:X9">
    <cfRule type="cellIs" dxfId="1184" priority="1018" operator="lessThan">
      <formula>0</formula>
    </cfRule>
  </conditionalFormatting>
  <conditionalFormatting sqref="X67 X11 X15 X19 X23 X27 X31 X35 X39 X43 X47 X51 X55 X59 X71 X75 X79">
    <cfRule type="iconSet" priority="1017">
      <iconSet>
        <cfvo type="percent" val="0"/>
        <cfvo type="percent" val="&quot;$I$6&quot;"/>
        <cfvo type="percent" val="#REF!"/>
      </iconSet>
    </cfRule>
  </conditionalFormatting>
  <conditionalFormatting sqref="X12 X16 X20 X24 X28 X32 X36 X40 X44 X48 X52 X56 X60 X68 X72 X76 X80">
    <cfRule type="cellIs" dxfId="1183" priority="1016" operator="lessThan">
      <formula>0</formula>
    </cfRule>
  </conditionalFormatting>
  <conditionalFormatting sqref="AQ11">
    <cfRule type="cellIs" dxfId="1182" priority="1014" operator="lessThan">
      <formula>0</formula>
    </cfRule>
  </conditionalFormatting>
  <conditionalFormatting sqref="AQ11">
    <cfRule type="cellIs" dxfId="1181" priority="1013" operator="lessThan">
      <formula>0</formula>
    </cfRule>
  </conditionalFormatting>
  <conditionalFormatting sqref="AQ11">
    <cfRule type="cellIs" dxfId="1180" priority="1012" operator="lessThan">
      <formula>0</formula>
    </cfRule>
  </conditionalFormatting>
  <conditionalFormatting sqref="AQ11">
    <cfRule type="cellIs" dxfId="1179" priority="1011" operator="lessThan">
      <formula>0</formula>
    </cfRule>
  </conditionalFormatting>
  <conditionalFormatting sqref="AQ11">
    <cfRule type="cellIs" dxfId="1178" priority="1010" operator="lessThan">
      <formula>0</formula>
    </cfRule>
  </conditionalFormatting>
  <conditionalFormatting sqref="AQ11">
    <cfRule type="cellIs" dxfId="1177" priority="1009" operator="lessThan">
      <formula>0</formula>
    </cfRule>
  </conditionalFormatting>
  <conditionalFormatting sqref="AQ11">
    <cfRule type="cellIs" dxfId="1176" priority="1008" operator="lessThan">
      <formula>0</formula>
    </cfRule>
  </conditionalFormatting>
  <conditionalFormatting sqref="AQ11">
    <cfRule type="cellIs" dxfId="1175" priority="1007" operator="lessThan">
      <formula>0</formula>
    </cfRule>
  </conditionalFormatting>
  <conditionalFormatting sqref="AQ11">
    <cfRule type="cellIs" dxfId="1174" priority="1006" operator="lessThan">
      <formula>0</formula>
    </cfRule>
  </conditionalFormatting>
  <conditionalFormatting sqref="AQ11">
    <cfRule type="cellIs" dxfId="1173" priority="1005" operator="lessThan">
      <formula>0</formula>
    </cfRule>
  </conditionalFormatting>
  <conditionalFormatting sqref="AQ11">
    <cfRule type="cellIs" dxfId="1172" priority="1004" operator="lessThan">
      <formula>0</formula>
    </cfRule>
  </conditionalFormatting>
  <conditionalFormatting sqref="AQ11">
    <cfRule type="cellIs" dxfId="1171" priority="1003" operator="lessThan">
      <formula>0</formula>
    </cfRule>
  </conditionalFormatting>
  <conditionalFormatting sqref="AQ11">
    <cfRule type="cellIs" dxfId="1170" priority="1002" operator="lessThan">
      <formula>0</formula>
    </cfRule>
  </conditionalFormatting>
  <conditionalFormatting sqref="AQ11">
    <cfRule type="cellIs" dxfId="1169" priority="1001" operator="lessThan">
      <formula>0</formula>
    </cfRule>
  </conditionalFormatting>
  <conditionalFormatting sqref="AQ11">
    <cfRule type="cellIs" dxfId="1168" priority="1000" operator="lessThan">
      <formula>0</formula>
    </cfRule>
  </conditionalFormatting>
  <conditionalFormatting sqref="AQ11">
    <cfRule type="cellIs" dxfId="1167" priority="999" operator="lessThan">
      <formula>0</formula>
    </cfRule>
  </conditionalFormatting>
  <conditionalFormatting sqref="AQ11">
    <cfRule type="cellIs" dxfId="1166" priority="998" operator="lessThan">
      <formula>0</formula>
    </cfRule>
  </conditionalFormatting>
  <conditionalFormatting sqref="AQ11">
    <cfRule type="cellIs" dxfId="1165" priority="997" operator="lessThan">
      <formula>0</formula>
    </cfRule>
  </conditionalFormatting>
  <conditionalFormatting sqref="AQ11">
    <cfRule type="cellIs" dxfId="1164" priority="996" operator="lessThan">
      <formula>0</formula>
    </cfRule>
  </conditionalFormatting>
  <conditionalFormatting sqref="AQ11">
    <cfRule type="cellIs" dxfId="1163" priority="995" operator="lessThan">
      <formula>0</formula>
    </cfRule>
  </conditionalFormatting>
  <conditionalFormatting sqref="AQ11">
    <cfRule type="cellIs" dxfId="1162" priority="994" operator="lessThan">
      <formula>0</formula>
    </cfRule>
  </conditionalFormatting>
  <conditionalFormatting sqref="AQ11">
    <cfRule type="cellIs" dxfId="1161" priority="993" operator="lessThan">
      <formula>0</formula>
    </cfRule>
  </conditionalFormatting>
  <conditionalFormatting sqref="AQ11">
    <cfRule type="cellIs" dxfId="1160" priority="992" operator="lessThan">
      <formula>0</formula>
    </cfRule>
  </conditionalFormatting>
  <conditionalFormatting sqref="AQ11">
    <cfRule type="cellIs" dxfId="1159" priority="991" operator="lessThan">
      <formula>0</formula>
    </cfRule>
  </conditionalFormatting>
  <conditionalFormatting sqref="AQ11">
    <cfRule type="cellIs" dxfId="1158" priority="990" operator="lessThan">
      <formula>0</formula>
    </cfRule>
  </conditionalFormatting>
  <conditionalFormatting sqref="AQ11">
    <cfRule type="cellIs" dxfId="1157" priority="989" operator="lessThan">
      <formula>0</formula>
    </cfRule>
  </conditionalFormatting>
  <conditionalFormatting sqref="AQ11">
    <cfRule type="cellIs" dxfId="1156" priority="988" operator="lessThan">
      <formula>0</formula>
    </cfRule>
  </conditionalFormatting>
  <conditionalFormatting sqref="AQ11">
    <cfRule type="cellIs" dxfId="1155" priority="987" operator="lessThan">
      <formula>0</formula>
    </cfRule>
  </conditionalFormatting>
  <conditionalFormatting sqref="AQ11">
    <cfRule type="cellIs" dxfId="1154" priority="986" operator="lessThan">
      <formula>0</formula>
    </cfRule>
  </conditionalFormatting>
  <conditionalFormatting sqref="AQ11">
    <cfRule type="cellIs" dxfId="1153" priority="985" operator="lessThan">
      <formula>0</formula>
    </cfRule>
  </conditionalFormatting>
  <conditionalFormatting sqref="AQ11">
    <cfRule type="cellIs" dxfId="1152" priority="984" operator="lessThan">
      <formula>0</formula>
    </cfRule>
  </conditionalFormatting>
  <conditionalFormatting sqref="AQ11">
    <cfRule type="cellIs" dxfId="1151" priority="983" operator="lessThan">
      <formula>0</formula>
    </cfRule>
  </conditionalFormatting>
  <conditionalFormatting sqref="AQ11">
    <cfRule type="cellIs" dxfId="1150" priority="982" operator="lessThan">
      <formula>0</formula>
    </cfRule>
  </conditionalFormatting>
  <conditionalFormatting sqref="AQ11">
    <cfRule type="cellIs" dxfId="1149" priority="981" operator="lessThan">
      <formula>0</formula>
    </cfRule>
  </conditionalFormatting>
  <conditionalFormatting sqref="AQ11">
    <cfRule type="cellIs" dxfId="1148" priority="980" operator="lessThan">
      <formula>0</formula>
    </cfRule>
  </conditionalFormatting>
  <conditionalFormatting sqref="AQ11">
    <cfRule type="cellIs" dxfId="1147" priority="979" operator="lessThan">
      <formula>0</formula>
    </cfRule>
  </conditionalFormatting>
  <conditionalFormatting sqref="AQ11">
    <cfRule type="cellIs" dxfId="1146" priority="978" operator="lessThan">
      <formula>0</formula>
    </cfRule>
  </conditionalFormatting>
  <conditionalFormatting sqref="AQ11">
    <cfRule type="cellIs" dxfId="1145" priority="977" operator="lessThan">
      <formula>0</formula>
    </cfRule>
  </conditionalFormatting>
  <conditionalFormatting sqref="AQ11">
    <cfRule type="cellIs" dxfId="1144" priority="976" operator="lessThan">
      <formula>0</formula>
    </cfRule>
  </conditionalFormatting>
  <conditionalFormatting sqref="AQ11">
    <cfRule type="cellIs" dxfId="1143" priority="975" operator="lessThan">
      <formula>0</formula>
    </cfRule>
  </conditionalFormatting>
  <conditionalFormatting sqref="AQ11">
    <cfRule type="cellIs" dxfId="1142" priority="974" operator="lessThan">
      <formula>0</formula>
    </cfRule>
  </conditionalFormatting>
  <conditionalFormatting sqref="AQ11">
    <cfRule type="cellIs" dxfId="1141" priority="973" operator="lessThan">
      <formula>0</formula>
    </cfRule>
  </conditionalFormatting>
  <conditionalFormatting sqref="AQ11">
    <cfRule type="cellIs" dxfId="1140" priority="972" operator="lessThan">
      <formula>0</formula>
    </cfRule>
  </conditionalFormatting>
  <conditionalFormatting sqref="AQ11">
    <cfRule type="cellIs" dxfId="1139" priority="971" operator="lessThan">
      <formula>0</formula>
    </cfRule>
  </conditionalFormatting>
  <conditionalFormatting sqref="AQ11">
    <cfRule type="cellIs" dxfId="1138" priority="970" operator="lessThan">
      <formula>0</formula>
    </cfRule>
  </conditionalFormatting>
  <conditionalFormatting sqref="AQ11">
    <cfRule type="cellIs" dxfId="1137" priority="969" operator="lessThan">
      <formula>0</formula>
    </cfRule>
  </conditionalFormatting>
  <conditionalFormatting sqref="AQ11">
    <cfRule type="cellIs" dxfId="1136" priority="968" operator="lessThan">
      <formula>0</formula>
    </cfRule>
  </conditionalFormatting>
  <conditionalFormatting sqref="AQ11">
    <cfRule type="cellIs" dxfId="1135" priority="967" operator="lessThan">
      <formula>0</formula>
    </cfRule>
  </conditionalFormatting>
  <conditionalFormatting sqref="AQ11">
    <cfRule type="cellIs" dxfId="1134" priority="966" operator="lessThan">
      <formula>0</formula>
    </cfRule>
  </conditionalFormatting>
  <conditionalFormatting sqref="AQ11">
    <cfRule type="cellIs" dxfId="1133" priority="965" operator="lessThan">
      <formula>0</formula>
    </cfRule>
  </conditionalFormatting>
  <conditionalFormatting sqref="AQ11">
    <cfRule type="cellIs" dxfId="1132" priority="964" operator="lessThan">
      <formula>0</formula>
    </cfRule>
  </conditionalFormatting>
  <conditionalFormatting sqref="AQ11">
    <cfRule type="cellIs" dxfId="1131" priority="963" operator="lessThan">
      <formula>0</formula>
    </cfRule>
  </conditionalFormatting>
  <conditionalFormatting sqref="AQ11">
    <cfRule type="cellIs" dxfId="1130" priority="962" operator="lessThan">
      <formula>0</formula>
    </cfRule>
  </conditionalFormatting>
  <conditionalFormatting sqref="AQ11">
    <cfRule type="cellIs" dxfId="1129" priority="961" operator="lessThan">
      <formula>0</formula>
    </cfRule>
  </conditionalFormatting>
  <conditionalFormatting sqref="AQ11">
    <cfRule type="cellIs" dxfId="1128" priority="960" operator="lessThan">
      <formula>0</formula>
    </cfRule>
  </conditionalFormatting>
  <conditionalFormatting sqref="AQ11">
    <cfRule type="cellIs" dxfId="1127" priority="959" operator="lessThan">
      <formula>0</formula>
    </cfRule>
  </conditionalFormatting>
  <conditionalFormatting sqref="AQ11">
    <cfRule type="cellIs" dxfId="1126" priority="958" operator="lessThan">
      <formula>0</formula>
    </cfRule>
  </conditionalFormatting>
  <conditionalFormatting sqref="AQ11">
    <cfRule type="cellIs" dxfId="1125" priority="957" operator="lessThan">
      <formula>0</formula>
    </cfRule>
  </conditionalFormatting>
  <conditionalFormatting sqref="AQ11">
    <cfRule type="cellIs" dxfId="1124" priority="956" operator="lessThan">
      <formula>0</formula>
    </cfRule>
  </conditionalFormatting>
  <conditionalFormatting sqref="AQ11">
    <cfRule type="cellIs" dxfId="1123" priority="955" operator="lessThan">
      <formula>0</formula>
    </cfRule>
  </conditionalFormatting>
  <conditionalFormatting sqref="AQ11">
    <cfRule type="cellIs" dxfId="1122" priority="954" operator="lessThan">
      <formula>0</formula>
    </cfRule>
  </conditionalFormatting>
  <conditionalFormatting sqref="AQ11">
    <cfRule type="cellIs" dxfId="1121" priority="953" operator="lessThan">
      <formula>0</formula>
    </cfRule>
  </conditionalFormatting>
  <conditionalFormatting sqref="AQ11">
    <cfRule type="cellIs" dxfId="1120" priority="952" operator="lessThan">
      <formula>0</formula>
    </cfRule>
  </conditionalFormatting>
  <conditionalFormatting sqref="AQ11">
    <cfRule type="cellIs" dxfId="1119" priority="951" operator="lessThan">
      <formula>0</formula>
    </cfRule>
  </conditionalFormatting>
  <conditionalFormatting sqref="AQ11">
    <cfRule type="cellIs" dxfId="1118" priority="950" operator="lessThan">
      <formula>0</formula>
    </cfRule>
  </conditionalFormatting>
  <conditionalFormatting sqref="AQ11">
    <cfRule type="cellIs" dxfId="1117" priority="949" operator="lessThan">
      <formula>0</formula>
    </cfRule>
  </conditionalFormatting>
  <conditionalFormatting sqref="AQ11">
    <cfRule type="cellIs" dxfId="1116" priority="948" operator="lessThan">
      <formula>0</formula>
    </cfRule>
  </conditionalFormatting>
  <conditionalFormatting sqref="AQ11">
    <cfRule type="cellIs" dxfId="1115" priority="947" operator="lessThan">
      <formula>0</formula>
    </cfRule>
  </conditionalFormatting>
  <conditionalFormatting sqref="AQ11">
    <cfRule type="cellIs" dxfId="1114" priority="946" operator="lessThan">
      <formula>0</formula>
    </cfRule>
  </conditionalFormatting>
  <conditionalFormatting sqref="AQ11">
    <cfRule type="cellIs" dxfId="1113" priority="945" operator="lessThan">
      <formula>0</formula>
    </cfRule>
  </conditionalFormatting>
  <conditionalFormatting sqref="AQ11">
    <cfRule type="cellIs" dxfId="1112" priority="944" operator="lessThan">
      <formula>0</formula>
    </cfRule>
  </conditionalFormatting>
  <conditionalFormatting sqref="AQ11">
    <cfRule type="cellIs" dxfId="1111" priority="943" operator="lessThan">
      <formula>0</formula>
    </cfRule>
  </conditionalFormatting>
  <conditionalFormatting sqref="AQ11">
    <cfRule type="cellIs" dxfId="1110" priority="942" operator="lessThan">
      <formula>0</formula>
    </cfRule>
  </conditionalFormatting>
  <conditionalFormatting sqref="AQ11">
    <cfRule type="cellIs" dxfId="1109" priority="941" operator="lessThan">
      <formula>0</formula>
    </cfRule>
  </conditionalFormatting>
  <conditionalFormatting sqref="AQ11">
    <cfRule type="cellIs" dxfId="1108" priority="940" operator="lessThan">
      <formula>0</formula>
    </cfRule>
  </conditionalFormatting>
  <conditionalFormatting sqref="AQ11">
    <cfRule type="cellIs" dxfId="1107" priority="939" operator="lessThan">
      <formula>0</formula>
    </cfRule>
  </conditionalFormatting>
  <conditionalFormatting sqref="AQ11">
    <cfRule type="cellIs" dxfId="1106" priority="938" operator="lessThan">
      <formula>0</formula>
    </cfRule>
  </conditionalFormatting>
  <conditionalFormatting sqref="AQ11">
    <cfRule type="cellIs" dxfId="1105" priority="937" operator="lessThan">
      <formula>0</formula>
    </cfRule>
  </conditionalFormatting>
  <conditionalFormatting sqref="AQ11">
    <cfRule type="cellIs" dxfId="1104" priority="936" operator="lessThan">
      <formula>0</formula>
    </cfRule>
  </conditionalFormatting>
  <conditionalFormatting sqref="AQ11">
    <cfRule type="cellIs" dxfId="1103" priority="935" operator="lessThan">
      <formula>0</formula>
    </cfRule>
  </conditionalFormatting>
  <conditionalFormatting sqref="AQ11">
    <cfRule type="cellIs" dxfId="1102" priority="919" operator="lessThan">
      <formula>0</formula>
    </cfRule>
  </conditionalFormatting>
  <conditionalFormatting sqref="AQ11">
    <cfRule type="cellIs" dxfId="1101" priority="934" operator="lessThan">
      <formula>0</formula>
    </cfRule>
  </conditionalFormatting>
  <conditionalFormatting sqref="AQ11">
    <cfRule type="cellIs" dxfId="1100" priority="933" operator="lessThan">
      <formula>0</formula>
    </cfRule>
  </conditionalFormatting>
  <conditionalFormatting sqref="AQ11">
    <cfRule type="cellIs" dxfId="1099" priority="932" operator="lessThan">
      <formula>0</formula>
    </cfRule>
  </conditionalFormatting>
  <conditionalFormatting sqref="AQ11">
    <cfRule type="cellIs" dxfId="1098" priority="931" operator="lessThan">
      <formula>0</formula>
    </cfRule>
  </conditionalFormatting>
  <conditionalFormatting sqref="AQ11">
    <cfRule type="cellIs" dxfId="1097" priority="930" operator="lessThan">
      <formula>0</formula>
    </cfRule>
  </conditionalFormatting>
  <conditionalFormatting sqref="AQ11">
    <cfRule type="cellIs" dxfId="1096" priority="929" operator="lessThan">
      <formula>0</formula>
    </cfRule>
  </conditionalFormatting>
  <conditionalFormatting sqref="AQ11">
    <cfRule type="cellIs" dxfId="1095" priority="928" operator="lessThan">
      <formula>0</formula>
    </cfRule>
  </conditionalFormatting>
  <conditionalFormatting sqref="AQ11">
    <cfRule type="cellIs" dxfId="1094" priority="927" operator="lessThan">
      <formula>0</formula>
    </cfRule>
  </conditionalFormatting>
  <conditionalFormatting sqref="AQ11">
    <cfRule type="cellIs" dxfId="1093" priority="926" operator="lessThan">
      <formula>0</formula>
    </cfRule>
  </conditionalFormatting>
  <conditionalFormatting sqref="AQ11">
    <cfRule type="cellIs" dxfId="1092" priority="925" operator="lessThan">
      <formula>0</formula>
    </cfRule>
  </conditionalFormatting>
  <conditionalFormatting sqref="AQ11">
    <cfRule type="cellIs" dxfId="1091" priority="924" operator="lessThan">
      <formula>0</formula>
    </cfRule>
  </conditionalFormatting>
  <conditionalFormatting sqref="AQ11">
    <cfRule type="cellIs" dxfId="1090" priority="923" operator="lessThan">
      <formula>0</formula>
    </cfRule>
  </conditionalFormatting>
  <conditionalFormatting sqref="AQ11">
    <cfRule type="cellIs" dxfId="1089" priority="922" operator="lessThan">
      <formula>0</formula>
    </cfRule>
  </conditionalFormatting>
  <conditionalFormatting sqref="AQ11">
    <cfRule type="cellIs" dxfId="1088" priority="921" operator="lessThan">
      <formula>0</formula>
    </cfRule>
  </conditionalFormatting>
  <conditionalFormatting sqref="AQ11">
    <cfRule type="cellIs" dxfId="1087" priority="920" operator="lessThan">
      <formula>0</formula>
    </cfRule>
  </conditionalFormatting>
  <conditionalFormatting sqref="AQ23">
    <cfRule type="cellIs" dxfId="1086" priority="918" operator="lessThan">
      <formula>0</formula>
    </cfRule>
  </conditionalFormatting>
  <conditionalFormatting sqref="AQ23">
    <cfRule type="cellIs" dxfId="1085" priority="917" operator="lessThan">
      <formula>0</formula>
    </cfRule>
  </conditionalFormatting>
  <conditionalFormatting sqref="AQ23">
    <cfRule type="cellIs" dxfId="1084" priority="916" operator="lessThan">
      <formula>0</formula>
    </cfRule>
  </conditionalFormatting>
  <conditionalFormatting sqref="AQ23">
    <cfRule type="cellIs" dxfId="1083" priority="915" operator="lessThan">
      <formula>0</formula>
    </cfRule>
  </conditionalFormatting>
  <conditionalFormatting sqref="AQ23">
    <cfRule type="cellIs" dxfId="1082" priority="914" operator="lessThan">
      <formula>0</formula>
    </cfRule>
  </conditionalFormatting>
  <conditionalFormatting sqref="AQ23">
    <cfRule type="cellIs" dxfId="1081" priority="913" operator="lessThan">
      <formula>0</formula>
    </cfRule>
  </conditionalFormatting>
  <conditionalFormatting sqref="AQ23">
    <cfRule type="cellIs" dxfId="1080" priority="912" operator="lessThan">
      <formula>0</formula>
    </cfRule>
  </conditionalFormatting>
  <conditionalFormatting sqref="AQ23">
    <cfRule type="cellIs" dxfId="1079" priority="911" operator="lessThan">
      <formula>0</formula>
    </cfRule>
  </conditionalFormatting>
  <conditionalFormatting sqref="AQ23">
    <cfRule type="cellIs" dxfId="1078" priority="910" operator="lessThan">
      <formula>0</formula>
    </cfRule>
  </conditionalFormatting>
  <conditionalFormatting sqref="AQ23">
    <cfRule type="cellIs" dxfId="1077" priority="909" operator="lessThan">
      <formula>0</formula>
    </cfRule>
  </conditionalFormatting>
  <conditionalFormatting sqref="AQ23">
    <cfRule type="cellIs" dxfId="1076" priority="908" operator="lessThan">
      <formula>0</formula>
    </cfRule>
  </conditionalFormatting>
  <conditionalFormatting sqref="AQ23">
    <cfRule type="cellIs" dxfId="1075" priority="907" operator="lessThan">
      <formula>0</formula>
    </cfRule>
  </conditionalFormatting>
  <conditionalFormatting sqref="AQ23">
    <cfRule type="cellIs" dxfId="1074" priority="906" operator="lessThan">
      <formula>0</formula>
    </cfRule>
  </conditionalFormatting>
  <conditionalFormatting sqref="AQ23">
    <cfRule type="cellIs" dxfId="1073" priority="905" operator="lessThan">
      <formula>0</formula>
    </cfRule>
  </conditionalFormatting>
  <conditionalFormatting sqref="AQ23">
    <cfRule type="cellIs" dxfId="1072" priority="904" operator="lessThan">
      <formula>0</formula>
    </cfRule>
  </conditionalFormatting>
  <conditionalFormatting sqref="AQ23">
    <cfRule type="cellIs" dxfId="1071" priority="903" operator="lessThan">
      <formula>0</formula>
    </cfRule>
  </conditionalFormatting>
  <conditionalFormatting sqref="AQ23">
    <cfRule type="cellIs" dxfId="1070" priority="902" operator="lessThan">
      <formula>0</formula>
    </cfRule>
  </conditionalFormatting>
  <conditionalFormatting sqref="AQ23">
    <cfRule type="cellIs" dxfId="1069" priority="901" operator="lessThan">
      <formula>0</formula>
    </cfRule>
  </conditionalFormatting>
  <conditionalFormatting sqref="AQ23">
    <cfRule type="cellIs" dxfId="1068" priority="900" operator="lessThan">
      <formula>0</formula>
    </cfRule>
  </conditionalFormatting>
  <conditionalFormatting sqref="AQ23">
    <cfRule type="cellIs" dxfId="1067" priority="899" operator="lessThan">
      <formula>0</formula>
    </cfRule>
  </conditionalFormatting>
  <conditionalFormatting sqref="AQ23">
    <cfRule type="cellIs" dxfId="1066" priority="898" operator="lessThan">
      <formula>0</formula>
    </cfRule>
  </conditionalFormatting>
  <conditionalFormatting sqref="AQ23">
    <cfRule type="cellIs" dxfId="1065" priority="897" operator="lessThan">
      <formula>0</formula>
    </cfRule>
  </conditionalFormatting>
  <conditionalFormatting sqref="AQ23">
    <cfRule type="cellIs" dxfId="1064" priority="896" operator="lessThan">
      <formula>0</formula>
    </cfRule>
  </conditionalFormatting>
  <conditionalFormatting sqref="AQ23">
    <cfRule type="cellIs" dxfId="1063" priority="895" operator="lessThan">
      <formula>0</formula>
    </cfRule>
  </conditionalFormatting>
  <conditionalFormatting sqref="AQ23">
    <cfRule type="cellIs" dxfId="1062" priority="894" operator="lessThan">
      <formula>0</formula>
    </cfRule>
  </conditionalFormatting>
  <conditionalFormatting sqref="AQ23">
    <cfRule type="cellIs" dxfId="1061" priority="893" operator="lessThan">
      <formula>0</formula>
    </cfRule>
  </conditionalFormatting>
  <conditionalFormatting sqref="AQ23">
    <cfRule type="cellIs" dxfId="1060" priority="892" operator="lessThan">
      <formula>0</formula>
    </cfRule>
  </conditionalFormatting>
  <conditionalFormatting sqref="AQ23">
    <cfRule type="cellIs" dxfId="1059" priority="891" operator="lessThan">
      <formula>0</formula>
    </cfRule>
  </conditionalFormatting>
  <conditionalFormatting sqref="AQ23">
    <cfRule type="cellIs" dxfId="1058" priority="890" operator="lessThan">
      <formula>0</formula>
    </cfRule>
  </conditionalFormatting>
  <conditionalFormatting sqref="AQ23">
    <cfRule type="cellIs" dxfId="1057" priority="889" operator="lessThan">
      <formula>0</formula>
    </cfRule>
  </conditionalFormatting>
  <conditionalFormatting sqref="AQ23">
    <cfRule type="cellIs" dxfId="1056" priority="888" operator="lessThan">
      <formula>0</formula>
    </cfRule>
  </conditionalFormatting>
  <conditionalFormatting sqref="AQ23">
    <cfRule type="cellIs" dxfId="1055" priority="887" operator="lessThan">
      <formula>0</formula>
    </cfRule>
  </conditionalFormatting>
  <conditionalFormatting sqref="AQ23">
    <cfRule type="cellIs" dxfId="1054" priority="886" operator="lessThan">
      <formula>0</formula>
    </cfRule>
  </conditionalFormatting>
  <conditionalFormatting sqref="AQ23">
    <cfRule type="cellIs" dxfId="1053" priority="885" operator="lessThan">
      <formula>0</formula>
    </cfRule>
  </conditionalFormatting>
  <conditionalFormatting sqref="AQ23">
    <cfRule type="cellIs" dxfId="1052" priority="884" operator="lessThan">
      <formula>0</formula>
    </cfRule>
  </conditionalFormatting>
  <conditionalFormatting sqref="AQ23">
    <cfRule type="cellIs" dxfId="1051" priority="883" operator="lessThan">
      <formula>0</formula>
    </cfRule>
  </conditionalFormatting>
  <conditionalFormatting sqref="AQ23">
    <cfRule type="cellIs" dxfId="1050" priority="882" operator="lessThan">
      <formula>0</formula>
    </cfRule>
  </conditionalFormatting>
  <conditionalFormatting sqref="AQ23">
    <cfRule type="cellIs" dxfId="1049" priority="881" operator="lessThan">
      <formula>0</formula>
    </cfRule>
  </conditionalFormatting>
  <conditionalFormatting sqref="AQ23">
    <cfRule type="cellIs" dxfId="1048" priority="880" operator="lessThan">
      <formula>0</formula>
    </cfRule>
  </conditionalFormatting>
  <conditionalFormatting sqref="AQ23">
    <cfRule type="cellIs" dxfId="1047" priority="879" operator="lessThan">
      <formula>0</formula>
    </cfRule>
  </conditionalFormatting>
  <conditionalFormatting sqref="AQ23">
    <cfRule type="cellIs" dxfId="1046" priority="878" operator="lessThan">
      <formula>0</formula>
    </cfRule>
  </conditionalFormatting>
  <conditionalFormatting sqref="AQ23">
    <cfRule type="cellIs" dxfId="1045" priority="877" operator="lessThan">
      <formula>0</formula>
    </cfRule>
  </conditionalFormatting>
  <conditionalFormatting sqref="AQ23">
    <cfRule type="cellIs" dxfId="1044" priority="876" operator="lessThan">
      <formula>0</formula>
    </cfRule>
  </conditionalFormatting>
  <conditionalFormatting sqref="AQ23">
    <cfRule type="cellIs" dxfId="1043" priority="875" operator="lessThan">
      <formula>0</formula>
    </cfRule>
  </conditionalFormatting>
  <conditionalFormatting sqref="AQ23">
    <cfRule type="cellIs" dxfId="1042" priority="874" operator="lessThan">
      <formula>0</formula>
    </cfRule>
  </conditionalFormatting>
  <conditionalFormatting sqref="AQ23">
    <cfRule type="cellIs" dxfId="1041" priority="873" operator="lessThan">
      <formula>0</formula>
    </cfRule>
  </conditionalFormatting>
  <conditionalFormatting sqref="AQ23">
    <cfRule type="cellIs" dxfId="1040" priority="872" operator="lessThan">
      <formula>0</formula>
    </cfRule>
  </conditionalFormatting>
  <conditionalFormatting sqref="AQ23">
    <cfRule type="cellIs" dxfId="1039" priority="871" operator="lessThan">
      <formula>0</formula>
    </cfRule>
  </conditionalFormatting>
  <conditionalFormatting sqref="AQ23">
    <cfRule type="cellIs" dxfId="1038" priority="870" operator="lessThan">
      <formula>0</formula>
    </cfRule>
  </conditionalFormatting>
  <conditionalFormatting sqref="AQ23">
    <cfRule type="cellIs" dxfId="1037" priority="869" operator="lessThan">
      <formula>0</formula>
    </cfRule>
  </conditionalFormatting>
  <conditionalFormatting sqref="AQ23">
    <cfRule type="cellIs" dxfId="1036" priority="868" operator="lessThan">
      <formula>0</formula>
    </cfRule>
  </conditionalFormatting>
  <conditionalFormatting sqref="AQ23">
    <cfRule type="cellIs" dxfId="1035" priority="867" operator="lessThan">
      <formula>0</formula>
    </cfRule>
  </conditionalFormatting>
  <conditionalFormatting sqref="AQ23">
    <cfRule type="cellIs" dxfId="1034" priority="866" operator="lessThan">
      <formula>0</formula>
    </cfRule>
  </conditionalFormatting>
  <conditionalFormatting sqref="AQ23">
    <cfRule type="cellIs" dxfId="1033" priority="865" operator="lessThan">
      <formula>0</formula>
    </cfRule>
  </conditionalFormatting>
  <conditionalFormatting sqref="AQ23">
    <cfRule type="cellIs" dxfId="1032" priority="864" operator="lessThan">
      <formula>0</formula>
    </cfRule>
  </conditionalFormatting>
  <conditionalFormatting sqref="AQ23">
    <cfRule type="cellIs" dxfId="1031" priority="863" operator="lessThan">
      <formula>0</formula>
    </cfRule>
  </conditionalFormatting>
  <conditionalFormatting sqref="AQ23">
    <cfRule type="cellIs" dxfId="1030" priority="862" operator="lessThan">
      <formula>0</formula>
    </cfRule>
  </conditionalFormatting>
  <conditionalFormatting sqref="AQ23">
    <cfRule type="cellIs" dxfId="1029" priority="861" operator="lessThan">
      <formula>0</formula>
    </cfRule>
  </conditionalFormatting>
  <conditionalFormatting sqref="AQ23">
    <cfRule type="cellIs" dxfId="1028" priority="860" operator="lessThan">
      <formula>0</formula>
    </cfRule>
  </conditionalFormatting>
  <conditionalFormatting sqref="AQ23">
    <cfRule type="cellIs" dxfId="1027" priority="859" operator="lessThan">
      <formula>0</formula>
    </cfRule>
  </conditionalFormatting>
  <conditionalFormatting sqref="AQ23">
    <cfRule type="cellIs" dxfId="1026" priority="858" operator="lessThan">
      <formula>0</formula>
    </cfRule>
  </conditionalFormatting>
  <conditionalFormatting sqref="AQ23">
    <cfRule type="cellIs" dxfId="1025" priority="857" operator="lessThan">
      <formula>0</formula>
    </cfRule>
  </conditionalFormatting>
  <conditionalFormatting sqref="AQ23">
    <cfRule type="cellIs" dxfId="1024" priority="856" operator="lessThan">
      <formula>0</formula>
    </cfRule>
  </conditionalFormatting>
  <conditionalFormatting sqref="AQ23">
    <cfRule type="cellIs" dxfId="1023" priority="855" operator="lessThan">
      <formula>0</formula>
    </cfRule>
  </conditionalFormatting>
  <conditionalFormatting sqref="AQ23">
    <cfRule type="cellIs" dxfId="1022" priority="854" operator="lessThan">
      <formula>0</formula>
    </cfRule>
  </conditionalFormatting>
  <conditionalFormatting sqref="AQ23">
    <cfRule type="cellIs" dxfId="1021" priority="853" operator="lessThan">
      <formula>0</formula>
    </cfRule>
  </conditionalFormatting>
  <conditionalFormatting sqref="AQ23">
    <cfRule type="cellIs" dxfId="1020" priority="852" operator="lessThan">
      <formula>0</formula>
    </cfRule>
  </conditionalFormatting>
  <conditionalFormatting sqref="AQ23">
    <cfRule type="cellIs" dxfId="1019" priority="851" operator="lessThan">
      <formula>0</formula>
    </cfRule>
  </conditionalFormatting>
  <conditionalFormatting sqref="AQ23">
    <cfRule type="cellIs" dxfId="1018" priority="850" operator="lessThan">
      <formula>0</formula>
    </cfRule>
  </conditionalFormatting>
  <conditionalFormatting sqref="AQ23">
    <cfRule type="cellIs" dxfId="1017" priority="849" operator="lessThan">
      <formula>0</formula>
    </cfRule>
  </conditionalFormatting>
  <conditionalFormatting sqref="AQ23">
    <cfRule type="cellIs" dxfId="1016" priority="848" operator="lessThan">
      <formula>0</formula>
    </cfRule>
  </conditionalFormatting>
  <conditionalFormatting sqref="AQ23">
    <cfRule type="cellIs" dxfId="1015" priority="847" operator="lessThan">
      <formula>0</formula>
    </cfRule>
  </conditionalFormatting>
  <conditionalFormatting sqref="AQ23">
    <cfRule type="cellIs" dxfId="1014" priority="846" operator="lessThan">
      <formula>0</formula>
    </cfRule>
  </conditionalFormatting>
  <conditionalFormatting sqref="AQ23">
    <cfRule type="cellIs" dxfId="1013" priority="845" operator="lessThan">
      <formula>0</formula>
    </cfRule>
  </conditionalFormatting>
  <conditionalFormatting sqref="AQ23">
    <cfRule type="cellIs" dxfId="1012" priority="844" operator="lessThan">
      <formula>0</formula>
    </cfRule>
  </conditionalFormatting>
  <conditionalFormatting sqref="AQ23">
    <cfRule type="cellIs" dxfId="1011" priority="843" operator="lessThan">
      <formula>0</formula>
    </cfRule>
  </conditionalFormatting>
  <conditionalFormatting sqref="AQ23">
    <cfRule type="cellIs" dxfId="1010" priority="842" operator="lessThan">
      <formula>0</formula>
    </cfRule>
  </conditionalFormatting>
  <conditionalFormatting sqref="AQ23">
    <cfRule type="cellIs" dxfId="1009" priority="841" operator="lessThan">
      <formula>0</formula>
    </cfRule>
  </conditionalFormatting>
  <conditionalFormatting sqref="AQ23">
    <cfRule type="cellIs" dxfId="1008" priority="840" operator="lessThan">
      <formula>0</formula>
    </cfRule>
  </conditionalFormatting>
  <conditionalFormatting sqref="AQ23">
    <cfRule type="cellIs" dxfId="1007" priority="839" operator="lessThan">
      <formula>0</formula>
    </cfRule>
  </conditionalFormatting>
  <conditionalFormatting sqref="AQ23">
    <cfRule type="cellIs" dxfId="1006" priority="823" operator="lessThan">
      <formula>0</formula>
    </cfRule>
  </conditionalFormatting>
  <conditionalFormatting sqref="AQ23">
    <cfRule type="cellIs" dxfId="1005" priority="838" operator="lessThan">
      <formula>0</formula>
    </cfRule>
  </conditionalFormatting>
  <conditionalFormatting sqref="AQ23">
    <cfRule type="cellIs" dxfId="1004" priority="837" operator="lessThan">
      <formula>0</formula>
    </cfRule>
  </conditionalFormatting>
  <conditionalFormatting sqref="AQ23">
    <cfRule type="cellIs" dxfId="1003" priority="836" operator="lessThan">
      <formula>0</formula>
    </cfRule>
  </conditionalFormatting>
  <conditionalFormatting sqref="AQ23">
    <cfRule type="cellIs" dxfId="1002" priority="835" operator="lessThan">
      <formula>0</formula>
    </cfRule>
  </conditionalFormatting>
  <conditionalFormatting sqref="AQ23">
    <cfRule type="cellIs" dxfId="1001" priority="834" operator="lessThan">
      <formula>0</formula>
    </cfRule>
  </conditionalFormatting>
  <conditionalFormatting sqref="AQ23">
    <cfRule type="cellIs" dxfId="1000" priority="833" operator="lessThan">
      <formula>0</formula>
    </cfRule>
  </conditionalFormatting>
  <conditionalFormatting sqref="AQ23">
    <cfRule type="cellIs" dxfId="999" priority="832" operator="lessThan">
      <formula>0</formula>
    </cfRule>
  </conditionalFormatting>
  <conditionalFormatting sqref="AQ23">
    <cfRule type="cellIs" dxfId="998" priority="831" operator="lessThan">
      <formula>0</formula>
    </cfRule>
  </conditionalFormatting>
  <conditionalFormatting sqref="AQ23">
    <cfRule type="cellIs" dxfId="997" priority="830" operator="lessThan">
      <formula>0</formula>
    </cfRule>
  </conditionalFormatting>
  <conditionalFormatting sqref="AQ23">
    <cfRule type="cellIs" dxfId="996" priority="829" operator="lessThan">
      <formula>0</formula>
    </cfRule>
  </conditionalFormatting>
  <conditionalFormatting sqref="AQ23">
    <cfRule type="cellIs" dxfId="995" priority="828" operator="lessThan">
      <formula>0</formula>
    </cfRule>
  </conditionalFormatting>
  <conditionalFormatting sqref="AQ23">
    <cfRule type="cellIs" dxfId="994" priority="827" operator="lessThan">
      <formula>0</formula>
    </cfRule>
  </conditionalFormatting>
  <conditionalFormatting sqref="AQ23">
    <cfRule type="cellIs" dxfId="993" priority="826" operator="lessThan">
      <formula>0</formula>
    </cfRule>
  </conditionalFormatting>
  <conditionalFormatting sqref="AQ23">
    <cfRule type="cellIs" dxfId="992" priority="825" operator="lessThan">
      <formula>0</formula>
    </cfRule>
  </conditionalFormatting>
  <conditionalFormatting sqref="AQ23">
    <cfRule type="cellIs" dxfId="991" priority="824" operator="lessThan">
      <formula>0</formula>
    </cfRule>
  </conditionalFormatting>
  <conditionalFormatting sqref="AQ27">
    <cfRule type="cellIs" dxfId="990" priority="822" operator="lessThan">
      <formula>0</formula>
    </cfRule>
  </conditionalFormatting>
  <conditionalFormatting sqref="AQ27">
    <cfRule type="cellIs" dxfId="989" priority="821" operator="lessThan">
      <formula>0</formula>
    </cfRule>
  </conditionalFormatting>
  <conditionalFormatting sqref="AQ27">
    <cfRule type="cellIs" dxfId="988" priority="820" operator="lessThan">
      <formula>0</formula>
    </cfRule>
  </conditionalFormatting>
  <conditionalFormatting sqref="AQ27">
    <cfRule type="cellIs" dxfId="987" priority="819" operator="lessThan">
      <formula>0</formula>
    </cfRule>
  </conditionalFormatting>
  <conditionalFormatting sqref="AQ27">
    <cfRule type="cellIs" dxfId="986" priority="818" operator="lessThan">
      <formula>0</formula>
    </cfRule>
  </conditionalFormatting>
  <conditionalFormatting sqref="AQ27">
    <cfRule type="cellIs" dxfId="985" priority="817" operator="lessThan">
      <formula>0</formula>
    </cfRule>
  </conditionalFormatting>
  <conditionalFormatting sqref="AQ27">
    <cfRule type="cellIs" dxfId="984" priority="816" operator="lessThan">
      <formula>0</formula>
    </cfRule>
  </conditionalFormatting>
  <conditionalFormatting sqref="AQ27">
    <cfRule type="cellIs" dxfId="983" priority="815" operator="lessThan">
      <formula>0</formula>
    </cfRule>
  </conditionalFormatting>
  <conditionalFormatting sqref="AQ27">
    <cfRule type="cellIs" dxfId="982" priority="814" operator="lessThan">
      <formula>0</formula>
    </cfRule>
  </conditionalFormatting>
  <conditionalFormatting sqref="AQ27">
    <cfRule type="cellIs" dxfId="981" priority="813" operator="lessThan">
      <formula>0</formula>
    </cfRule>
  </conditionalFormatting>
  <conditionalFormatting sqref="AQ27">
    <cfRule type="cellIs" dxfId="980" priority="812" operator="lessThan">
      <formula>0</formula>
    </cfRule>
  </conditionalFormatting>
  <conditionalFormatting sqref="AQ27">
    <cfRule type="cellIs" dxfId="979" priority="811" operator="lessThan">
      <formula>0</formula>
    </cfRule>
  </conditionalFormatting>
  <conditionalFormatting sqref="AQ27">
    <cfRule type="cellIs" dxfId="978" priority="810" operator="lessThan">
      <formula>0</formula>
    </cfRule>
  </conditionalFormatting>
  <conditionalFormatting sqref="AQ27">
    <cfRule type="cellIs" dxfId="977" priority="809" operator="lessThan">
      <formula>0</formula>
    </cfRule>
  </conditionalFormatting>
  <conditionalFormatting sqref="AQ27">
    <cfRule type="cellIs" dxfId="976" priority="808" operator="lessThan">
      <formula>0</formula>
    </cfRule>
  </conditionalFormatting>
  <conditionalFormatting sqref="AQ27">
    <cfRule type="cellIs" dxfId="975" priority="807" operator="lessThan">
      <formula>0</formula>
    </cfRule>
  </conditionalFormatting>
  <conditionalFormatting sqref="AQ27">
    <cfRule type="cellIs" dxfId="974" priority="806" operator="lessThan">
      <formula>0</formula>
    </cfRule>
  </conditionalFormatting>
  <conditionalFormatting sqref="AQ27">
    <cfRule type="cellIs" dxfId="973" priority="805" operator="lessThan">
      <formula>0</formula>
    </cfRule>
  </conditionalFormatting>
  <conditionalFormatting sqref="AQ27">
    <cfRule type="cellIs" dxfId="972" priority="804" operator="lessThan">
      <formula>0</formula>
    </cfRule>
  </conditionalFormatting>
  <conditionalFormatting sqref="AQ27">
    <cfRule type="cellIs" dxfId="971" priority="803" operator="lessThan">
      <formula>0</formula>
    </cfRule>
  </conditionalFormatting>
  <conditionalFormatting sqref="AQ27">
    <cfRule type="cellIs" dxfId="970" priority="802" operator="lessThan">
      <formula>0</formula>
    </cfRule>
  </conditionalFormatting>
  <conditionalFormatting sqref="AQ27">
    <cfRule type="cellIs" dxfId="969" priority="801" operator="lessThan">
      <formula>0</formula>
    </cfRule>
  </conditionalFormatting>
  <conditionalFormatting sqref="AQ27">
    <cfRule type="cellIs" dxfId="968" priority="800" operator="lessThan">
      <formula>0</formula>
    </cfRule>
  </conditionalFormatting>
  <conditionalFormatting sqref="AQ27">
    <cfRule type="cellIs" dxfId="967" priority="799" operator="lessThan">
      <formula>0</formula>
    </cfRule>
  </conditionalFormatting>
  <conditionalFormatting sqref="AQ27">
    <cfRule type="cellIs" dxfId="966" priority="798" operator="lessThan">
      <formula>0</formula>
    </cfRule>
  </conditionalFormatting>
  <conditionalFormatting sqref="AQ27">
    <cfRule type="cellIs" dxfId="965" priority="797" operator="lessThan">
      <formula>0</formula>
    </cfRule>
  </conditionalFormatting>
  <conditionalFormatting sqref="AQ27">
    <cfRule type="cellIs" dxfId="964" priority="796" operator="lessThan">
      <formula>0</formula>
    </cfRule>
  </conditionalFormatting>
  <conditionalFormatting sqref="AQ27">
    <cfRule type="cellIs" dxfId="963" priority="795" operator="lessThan">
      <formula>0</formula>
    </cfRule>
  </conditionalFormatting>
  <conditionalFormatting sqref="AQ27">
    <cfRule type="cellIs" dxfId="962" priority="794" operator="lessThan">
      <formula>0</formula>
    </cfRule>
  </conditionalFormatting>
  <conditionalFormatting sqref="AQ27">
    <cfRule type="cellIs" dxfId="961" priority="793" operator="lessThan">
      <formula>0</formula>
    </cfRule>
  </conditionalFormatting>
  <conditionalFormatting sqref="AQ27">
    <cfRule type="cellIs" dxfId="960" priority="792" operator="lessThan">
      <formula>0</formula>
    </cfRule>
  </conditionalFormatting>
  <conditionalFormatting sqref="AQ27">
    <cfRule type="cellIs" dxfId="959" priority="791" operator="lessThan">
      <formula>0</formula>
    </cfRule>
  </conditionalFormatting>
  <conditionalFormatting sqref="AQ27">
    <cfRule type="cellIs" dxfId="958" priority="790" operator="lessThan">
      <formula>0</formula>
    </cfRule>
  </conditionalFormatting>
  <conditionalFormatting sqref="AQ27">
    <cfRule type="cellIs" dxfId="957" priority="789" operator="lessThan">
      <formula>0</formula>
    </cfRule>
  </conditionalFormatting>
  <conditionalFormatting sqref="AQ27">
    <cfRule type="cellIs" dxfId="956" priority="788" operator="lessThan">
      <formula>0</formula>
    </cfRule>
  </conditionalFormatting>
  <conditionalFormatting sqref="AQ27">
    <cfRule type="cellIs" dxfId="955" priority="787" operator="lessThan">
      <formula>0</formula>
    </cfRule>
  </conditionalFormatting>
  <conditionalFormatting sqref="AQ27">
    <cfRule type="cellIs" dxfId="954" priority="786" operator="lessThan">
      <formula>0</formula>
    </cfRule>
  </conditionalFormatting>
  <conditionalFormatting sqref="AQ27">
    <cfRule type="cellIs" dxfId="953" priority="785" operator="lessThan">
      <formula>0</formula>
    </cfRule>
  </conditionalFormatting>
  <conditionalFormatting sqref="AQ27">
    <cfRule type="cellIs" dxfId="952" priority="784" operator="lessThan">
      <formula>0</formula>
    </cfRule>
  </conditionalFormatting>
  <conditionalFormatting sqref="AQ27">
    <cfRule type="cellIs" dxfId="951" priority="783" operator="lessThan">
      <formula>0</formula>
    </cfRule>
  </conditionalFormatting>
  <conditionalFormatting sqref="AQ27">
    <cfRule type="cellIs" dxfId="950" priority="782" operator="lessThan">
      <formula>0</formula>
    </cfRule>
  </conditionalFormatting>
  <conditionalFormatting sqref="AQ27">
    <cfRule type="cellIs" dxfId="949" priority="781" operator="lessThan">
      <formula>0</formula>
    </cfRule>
  </conditionalFormatting>
  <conditionalFormatting sqref="AQ27">
    <cfRule type="cellIs" dxfId="948" priority="780" operator="lessThan">
      <formula>0</formula>
    </cfRule>
  </conditionalFormatting>
  <conditionalFormatting sqref="AQ27">
    <cfRule type="cellIs" dxfId="947" priority="779" operator="lessThan">
      <formula>0</formula>
    </cfRule>
  </conditionalFormatting>
  <conditionalFormatting sqref="AQ27">
    <cfRule type="cellIs" dxfId="946" priority="778" operator="lessThan">
      <formula>0</formula>
    </cfRule>
  </conditionalFormatting>
  <conditionalFormatting sqref="AQ27">
    <cfRule type="cellIs" dxfId="945" priority="777" operator="lessThan">
      <formula>0</formula>
    </cfRule>
  </conditionalFormatting>
  <conditionalFormatting sqref="AQ27">
    <cfRule type="cellIs" dxfId="944" priority="776" operator="lessThan">
      <formula>0</formula>
    </cfRule>
  </conditionalFormatting>
  <conditionalFormatting sqref="AQ27">
    <cfRule type="cellIs" dxfId="943" priority="775" operator="lessThan">
      <formula>0</formula>
    </cfRule>
  </conditionalFormatting>
  <conditionalFormatting sqref="AQ27">
    <cfRule type="cellIs" dxfId="942" priority="774" operator="lessThan">
      <formula>0</formula>
    </cfRule>
  </conditionalFormatting>
  <conditionalFormatting sqref="AQ27">
    <cfRule type="cellIs" dxfId="941" priority="773" operator="lessThan">
      <formula>0</formula>
    </cfRule>
  </conditionalFormatting>
  <conditionalFormatting sqref="AQ27">
    <cfRule type="cellIs" dxfId="940" priority="772" operator="lessThan">
      <formula>0</formula>
    </cfRule>
  </conditionalFormatting>
  <conditionalFormatting sqref="AQ27">
    <cfRule type="cellIs" dxfId="939" priority="771" operator="lessThan">
      <formula>0</formula>
    </cfRule>
  </conditionalFormatting>
  <conditionalFormatting sqref="AQ27">
    <cfRule type="cellIs" dxfId="938" priority="770" operator="lessThan">
      <formula>0</formula>
    </cfRule>
  </conditionalFormatting>
  <conditionalFormatting sqref="AQ27">
    <cfRule type="cellIs" dxfId="937" priority="769" operator="lessThan">
      <formula>0</formula>
    </cfRule>
  </conditionalFormatting>
  <conditionalFormatting sqref="AQ27">
    <cfRule type="cellIs" dxfId="936" priority="768" operator="lessThan">
      <formula>0</formula>
    </cfRule>
  </conditionalFormatting>
  <conditionalFormatting sqref="AQ27">
    <cfRule type="cellIs" dxfId="935" priority="767" operator="lessThan">
      <formula>0</formula>
    </cfRule>
  </conditionalFormatting>
  <conditionalFormatting sqref="AQ27">
    <cfRule type="cellIs" dxfId="934" priority="766" operator="lessThan">
      <formula>0</formula>
    </cfRule>
  </conditionalFormatting>
  <conditionalFormatting sqref="AQ27">
    <cfRule type="cellIs" dxfId="933" priority="765" operator="lessThan">
      <formula>0</formula>
    </cfRule>
  </conditionalFormatting>
  <conditionalFormatting sqref="AQ27">
    <cfRule type="cellIs" dxfId="932" priority="764" operator="lessThan">
      <formula>0</formula>
    </cfRule>
  </conditionalFormatting>
  <conditionalFormatting sqref="AQ27">
    <cfRule type="cellIs" dxfId="931" priority="763" operator="lessThan">
      <formula>0</formula>
    </cfRule>
  </conditionalFormatting>
  <conditionalFormatting sqref="AQ27">
    <cfRule type="cellIs" dxfId="930" priority="762" operator="lessThan">
      <formula>0</formula>
    </cfRule>
  </conditionalFormatting>
  <conditionalFormatting sqref="AQ27">
    <cfRule type="cellIs" dxfId="929" priority="761" operator="lessThan">
      <formula>0</formula>
    </cfRule>
  </conditionalFormatting>
  <conditionalFormatting sqref="AQ27">
    <cfRule type="cellIs" dxfId="928" priority="760" operator="lessThan">
      <formula>0</formula>
    </cfRule>
  </conditionalFormatting>
  <conditionalFormatting sqref="AQ27">
    <cfRule type="cellIs" dxfId="927" priority="759" operator="lessThan">
      <formula>0</formula>
    </cfRule>
  </conditionalFormatting>
  <conditionalFormatting sqref="AQ27">
    <cfRule type="cellIs" dxfId="926" priority="758" operator="lessThan">
      <formula>0</formula>
    </cfRule>
  </conditionalFormatting>
  <conditionalFormatting sqref="AQ27">
    <cfRule type="cellIs" dxfId="925" priority="757" operator="lessThan">
      <formula>0</formula>
    </cfRule>
  </conditionalFormatting>
  <conditionalFormatting sqref="AQ27">
    <cfRule type="cellIs" dxfId="924" priority="756" operator="lessThan">
      <formula>0</formula>
    </cfRule>
  </conditionalFormatting>
  <conditionalFormatting sqref="AQ27">
    <cfRule type="cellIs" dxfId="923" priority="755" operator="lessThan">
      <formula>0</formula>
    </cfRule>
  </conditionalFormatting>
  <conditionalFormatting sqref="AQ27">
    <cfRule type="cellIs" dxfId="922" priority="754" operator="lessThan">
      <formula>0</formula>
    </cfRule>
  </conditionalFormatting>
  <conditionalFormatting sqref="AQ27">
    <cfRule type="cellIs" dxfId="921" priority="753" operator="lessThan">
      <formula>0</formula>
    </cfRule>
  </conditionalFormatting>
  <conditionalFormatting sqref="AQ27">
    <cfRule type="cellIs" dxfId="920" priority="752" operator="lessThan">
      <formula>0</formula>
    </cfRule>
  </conditionalFormatting>
  <conditionalFormatting sqref="AQ27">
    <cfRule type="cellIs" dxfId="919" priority="751" operator="lessThan">
      <formula>0</formula>
    </cfRule>
  </conditionalFormatting>
  <conditionalFormatting sqref="AQ27">
    <cfRule type="cellIs" dxfId="918" priority="750" operator="lessThan">
      <formula>0</formula>
    </cfRule>
  </conditionalFormatting>
  <conditionalFormatting sqref="AQ27">
    <cfRule type="cellIs" dxfId="917" priority="749" operator="lessThan">
      <formula>0</formula>
    </cfRule>
  </conditionalFormatting>
  <conditionalFormatting sqref="AQ27">
    <cfRule type="cellIs" dxfId="916" priority="748" operator="lessThan">
      <formula>0</formula>
    </cfRule>
  </conditionalFormatting>
  <conditionalFormatting sqref="AQ27">
    <cfRule type="cellIs" dxfId="915" priority="747" operator="lessThan">
      <formula>0</formula>
    </cfRule>
  </conditionalFormatting>
  <conditionalFormatting sqref="AQ27">
    <cfRule type="cellIs" dxfId="914" priority="746" operator="lessThan">
      <formula>0</formula>
    </cfRule>
  </conditionalFormatting>
  <conditionalFormatting sqref="AQ27">
    <cfRule type="cellIs" dxfId="913" priority="745" operator="lessThan">
      <formula>0</formula>
    </cfRule>
  </conditionalFormatting>
  <conditionalFormatting sqref="AQ27">
    <cfRule type="cellIs" dxfId="912" priority="744" operator="lessThan">
      <formula>0</formula>
    </cfRule>
  </conditionalFormatting>
  <conditionalFormatting sqref="AQ27">
    <cfRule type="cellIs" dxfId="911" priority="743" operator="lessThan">
      <formula>0</formula>
    </cfRule>
  </conditionalFormatting>
  <conditionalFormatting sqref="AQ27">
    <cfRule type="cellIs" dxfId="910" priority="727" operator="lessThan">
      <formula>0</formula>
    </cfRule>
  </conditionalFormatting>
  <conditionalFormatting sqref="AQ27">
    <cfRule type="cellIs" dxfId="909" priority="742" operator="lessThan">
      <formula>0</formula>
    </cfRule>
  </conditionalFormatting>
  <conditionalFormatting sqref="AQ27">
    <cfRule type="cellIs" dxfId="908" priority="741" operator="lessThan">
      <formula>0</formula>
    </cfRule>
  </conditionalFormatting>
  <conditionalFormatting sqref="AQ27">
    <cfRule type="cellIs" dxfId="907" priority="740" operator="lessThan">
      <formula>0</formula>
    </cfRule>
  </conditionalFormatting>
  <conditionalFormatting sqref="AQ27">
    <cfRule type="cellIs" dxfId="906" priority="739" operator="lessThan">
      <formula>0</formula>
    </cfRule>
  </conditionalFormatting>
  <conditionalFormatting sqref="AQ27">
    <cfRule type="cellIs" dxfId="905" priority="738" operator="lessThan">
      <formula>0</formula>
    </cfRule>
  </conditionalFormatting>
  <conditionalFormatting sqref="AQ27">
    <cfRule type="cellIs" dxfId="904" priority="737" operator="lessThan">
      <formula>0</formula>
    </cfRule>
  </conditionalFormatting>
  <conditionalFormatting sqref="AQ27">
    <cfRule type="cellIs" dxfId="903" priority="736" operator="lessThan">
      <formula>0</formula>
    </cfRule>
  </conditionalFormatting>
  <conditionalFormatting sqref="AQ27">
    <cfRule type="cellIs" dxfId="902" priority="735" operator="lessThan">
      <formula>0</formula>
    </cfRule>
  </conditionalFormatting>
  <conditionalFormatting sqref="AQ27">
    <cfRule type="cellIs" dxfId="901" priority="734" operator="lessThan">
      <formula>0</formula>
    </cfRule>
  </conditionalFormatting>
  <conditionalFormatting sqref="AQ27">
    <cfRule type="cellIs" dxfId="900" priority="733" operator="lessThan">
      <formula>0</formula>
    </cfRule>
  </conditionalFormatting>
  <conditionalFormatting sqref="AQ27">
    <cfRule type="cellIs" dxfId="899" priority="732" operator="lessThan">
      <formula>0</formula>
    </cfRule>
  </conditionalFormatting>
  <conditionalFormatting sqref="AQ27">
    <cfRule type="cellIs" dxfId="898" priority="731" operator="lessThan">
      <formula>0</formula>
    </cfRule>
  </conditionalFormatting>
  <conditionalFormatting sqref="AQ27">
    <cfRule type="cellIs" dxfId="897" priority="730" operator="lessThan">
      <formula>0</formula>
    </cfRule>
  </conditionalFormatting>
  <conditionalFormatting sqref="AQ27">
    <cfRule type="cellIs" dxfId="896" priority="729" operator="lessThan">
      <formula>0</formula>
    </cfRule>
  </conditionalFormatting>
  <conditionalFormatting sqref="AQ27">
    <cfRule type="cellIs" dxfId="895" priority="728" operator="lessThan">
      <formula>0</formula>
    </cfRule>
  </conditionalFormatting>
  <conditionalFormatting sqref="AQ31">
    <cfRule type="cellIs" dxfId="894" priority="726" operator="lessThan">
      <formula>0</formula>
    </cfRule>
  </conditionalFormatting>
  <conditionalFormatting sqref="AQ31">
    <cfRule type="cellIs" dxfId="893" priority="725" operator="lessThan">
      <formula>0</formula>
    </cfRule>
  </conditionalFormatting>
  <conditionalFormatting sqref="AQ31">
    <cfRule type="cellIs" dxfId="892" priority="724" operator="lessThan">
      <formula>0</formula>
    </cfRule>
  </conditionalFormatting>
  <conditionalFormatting sqref="AQ31">
    <cfRule type="cellIs" dxfId="891" priority="723" operator="lessThan">
      <formula>0</formula>
    </cfRule>
  </conditionalFormatting>
  <conditionalFormatting sqref="AQ31">
    <cfRule type="cellIs" dxfId="890" priority="722" operator="lessThan">
      <formula>0</formula>
    </cfRule>
  </conditionalFormatting>
  <conditionalFormatting sqref="AQ31">
    <cfRule type="cellIs" dxfId="889" priority="721" operator="lessThan">
      <formula>0</formula>
    </cfRule>
  </conditionalFormatting>
  <conditionalFormatting sqref="AQ31">
    <cfRule type="cellIs" dxfId="888" priority="720" operator="lessThan">
      <formula>0</formula>
    </cfRule>
  </conditionalFormatting>
  <conditionalFormatting sqref="AQ31">
    <cfRule type="cellIs" dxfId="887" priority="719" operator="lessThan">
      <formula>0</formula>
    </cfRule>
  </conditionalFormatting>
  <conditionalFormatting sqref="AQ31">
    <cfRule type="cellIs" dxfId="886" priority="718" operator="lessThan">
      <formula>0</formula>
    </cfRule>
  </conditionalFormatting>
  <conditionalFormatting sqref="AQ31">
    <cfRule type="cellIs" dxfId="885" priority="717" operator="lessThan">
      <formula>0</formula>
    </cfRule>
  </conditionalFormatting>
  <conditionalFormatting sqref="AQ31">
    <cfRule type="cellIs" dxfId="884" priority="716" operator="lessThan">
      <formula>0</formula>
    </cfRule>
  </conditionalFormatting>
  <conditionalFormatting sqref="AQ31">
    <cfRule type="cellIs" dxfId="883" priority="715" operator="lessThan">
      <formula>0</formula>
    </cfRule>
  </conditionalFormatting>
  <conditionalFormatting sqref="AQ31">
    <cfRule type="cellIs" dxfId="882" priority="714" operator="lessThan">
      <formula>0</formula>
    </cfRule>
  </conditionalFormatting>
  <conditionalFormatting sqref="AQ31">
    <cfRule type="cellIs" dxfId="881" priority="713" operator="lessThan">
      <formula>0</formula>
    </cfRule>
  </conditionalFormatting>
  <conditionalFormatting sqref="AQ31">
    <cfRule type="cellIs" dxfId="880" priority="712" operator="lessThan">
      <formula>0</formula>
    </cfRule>
  </conditionalFormatting>
  <conditionalFormatting sqref="AQ31">
    <cfRule type="cellIs" dxfId="879" priority="711" operator="lessThan">
      <formula>0</formula>
    </cfRule>
  </conditionalFormatting>
  <conditionalFormatting sqref="AQ31">
    <cfRule type="cellIs" dxfId="878" priority="710" operator="lessThan">
      <formula>0</formula>
    </cfRule>
  </conditionalFormatting>
  <conditionalFormatting sqref="AQ31">
    <cfRule type="cellIs" dxfId="877" priority="709" operator="lessThan">
      <formula>0</formula>
    </cfRule>
  </conditionalFormatting>
  <conditionalFormatting sqref="AQ31">
    <cfRule type="cellIs" dxfId="876" priority="708" operator="lessThan">
      <formula>0</formula>
    </cfRule>
  </conditionalFormatting>
  <conditionalFormatting sqref="AQ31">
    <cfRule type="cellIs" dxfId="875" priority="707" operator="lessThan">
      <formula>0</formula>
    </cfRule>
  </conditionalFormatting>
  <conditionalFormatting sqref="AQ31">
    <cfRule type="cellIs" dxfId="874" priority="706" operator="lessThan">
      <formula>0</formula>
    </cfRule>
  </conditionalFormatting>
  <conditionalFormatting sqref="AQ31">
    <cfRule type="cellIs" dxfId="873" priority="705" operator="lessThan">
      <formula>0</formula>
    </cfRule>
  </conditionalFormatting>
  <conditionalFormatting sqref="AQ31">
    <cfRule type="cellIs" dxfId="872" priority="704" operator="lessThan">
      <formula>0</formula>
    </cfRule>
  </conditionalFormatting>
  <conditionalFormatting sqref="AQ31">
    <cfRule type="cellIs" dxfId="871" priority="703" operator="lessThan">
      <formula>0</formula>
    </cfRule>
  </conditionalFormatting>
  <conditionalFormatting sqref="AQ31">
    <cfRule type="cellIs" dxfId="870" priority="702" operator="lessThan">
      <formula>0</formula>
    </cfRule>
  </conditionalFormatting>
  <conditionalFormatting sqref="AQ31">
    <cfRule type="cellIs" dxfId="869" priority="701" operator="lessThan">
      <formula>0</formula>
    </cfRule>
  </conditionalFormatting>
  <conditionalFormatting sqref="AQ31">
    <cfRule type="cellIs" dxfId="868" priority="700" operator="lessThan">
      <formula>0</formula>
    </cfRule>
  </conditionalFormatting>
  <conditionalFormatting sqref="AQ31">
    <cfRule type="cellIs" dxfId="867" priority="699" operator="lessThan">
      <formula>0</formula>
    </cfRule>
  </conditionalFormatting>
  <conditionalFormatting sqref="AQ31">
    <cfRule type="cellIs" dxfId="866" priority="698" operator="lessThan">
      <formula>0</formula>
    </cfRule>
  </conditionalFormatting>
  <conditionalFormatting sqref="AQ31">
    <cfRule type="cellIs" dxfId="865" priority="697" operator="lessThan">
      <formula>0</formula>
    </cfRule>
  </conditionalFormatting>
  <conditionalFormatting sqref="AQ31">
    <cfRule type="cellIs" dxfId="864" priority="696" operator="lessThan">
      <formula>0</formula>
    </cfRule>
  </conditionalFormatting>
  <conditionalFormatting sqref="AQ31">
    <cfRule type="cellIs" dxfId="863" priority="695" operator="lessThan">
      <formula>0</formula>
    </cfRule>
  </conditionalFormatting>
  <conditionalFormatting sqref="AQ31">
    <cfRule type="cellIs" dxfId="862" priority="694" operator="lessThan">
      <formula>0</formula>
    </cfRule>
  </conditionalFormatting>
  <conditionalFormatting sqref="AQ31">
    <cfRule type="cellIs" dxfId="861" priority="693" operator="lessThan">
      <formula>0</formula>
    </cfRule>
  </conditionalFormatting>
  <conditionalFormatting sqref="AQ31">
    <cfRule type="cellIs" dxfId="860" priority="692" operator="lessThan">
      <formula>0</formula>
    </cfRule>
  </conditionalFormatting>
  <conditionalFormatting sqref="AQ31">
    <cfRule type="cellIs" dxfId="859" priority="691" operator="lessThan">
      <formula>0</formula>
    </cfRule>
  </conditionalFormatting>
  <conditionalFormatting sqref="AQ31">
    <cfRule type="cellIs" dxfId="858" priority="690" operator="lessThan">
      <formula>0</formula>
    </cfRule>
  </conditionalFormatting>
  <conditionalFormatting sqref="AQ31">
    <cfRule type="cellIs" dxfId="857" priority="689" operator="lessThan">
      <formula>0</formula>
    </cfRule>
  </conditionalFormatting>
  <conditionalFormatting sqref="AQ31">
    <cfRule type="cellIs" dxfId="856" priority="688" operator="lessThan">
      <formula>0</formula>
    </cfRule>
  </conditionalFormatting>
  <conditionalFormatting sqref="AQ31">
    <cfRule type="cellIs" dxfId="855" priority="687" operator="lessThan">
      <formula>0</formula>
    </cfRule>
  </conditionalFormatting>
  <conditionalFormatting sqref="AQ31">
    <cfRule type="cellIs" dxfId="854" priority="686" operator="lessThan">
      <formula>0</formula>
    </cfRule>
  </conditionalFormatting>
  <conditionalFormatting sqref="AQ31">
    <cfRule type="cellIs" dxfId="853" priority="685" operator="lessThan">
      <formula>0</formula>
    </cfRule>
  </conditionalFormatting>
  <conditionalFormatting sqref="AQ31">
    <cfRule type="cellIs" dxfId="852" priority="684" operator="lessThan">
      <formula>0</formula>
    </cfRule>
  </conditionalFormatting>
  <conditionalFormatting sqref="AQ31">
    <cfRule type="cellIs" dxfId="851" priority="683" operator="lessThan">
      <formula>0</formula>
    </cfRule>
  </conditionalFormatting>
  <conditionalFormatting sqref="AQ31">
    <cfRule type="cellIs" dxfId="850" priority="682" operator="lessThan">
      <formula>0</formula>
    </cfRule>
  </conditionalFormatting>
  <conditionalFormatting sqref="AQ31">
    <cfRule type="cellIs" dxfId="849" priority="681" operator="lessThan">
      <formula>0</formula>
    </cfRule>
  </conditionalFormatting>
  <conditionalFormatting sqref="AQ31">
    <cfRule type="cellIs" dxfId="848" priority="680" operator="lessThan">
      <formula>0</formula>
    </cfRule>
  </conditionalFormatting>
  <conditionalFormatting sqref="AQ31">
    <cfRule type="cellIs" dxfId="847" priority="679" operator="lessThan">
      <formula>0</formula>
    </cfRule>
  </conditionalFormatting>
  <conditionalFormatting sqref="AQ31">
    <cfRule type="cellIs" dxfId="846" priority="678" operator="lessThan">
      <formula>0</formula>
    </cfRule>
  </conditionalFormatting>
  <conditionalFormatting sqref="AQ31">
    <cfRule type="cellIs" dxfId="845" priority="677" operator="lessThan">
      <formula>0</formula>
    </cfRule>
  </conditionalFormatting>
  <conditionalFormatting sqref="AQ31">
    <cfRule type="cellIs" dxfId="844" priority="676" operator="lessThan">
      <formula>0</formula>
    </cfRule>
  </conditionalFormatting>
  <conditionalFormatting sqref="AQ31">
    <cfRule type="cellIs" dxfId="843" priority="675" operator="lessThan">
      <formula>0</formula>
    </cfRule>
  </conditionalFormatting>
  <conditionalFormatting sqref="AQ31">
    <cfRule type="cellIs" dxfId="842" priority="674" operator="lessThan">
      <formula>0</formula>
    </cfRule>
  </conditionalFormatting>
  <conditionalFormatting sqref="AQ31">
    <cfRule type="cellIs" dxfId="841" priority="673" operator="lessThan">
      <formula>0</formula>
    </cfRule>
  </conditionalFormatting>
  <conditionalFormatting sqref="AQ31">
    <cfRule type="cellIs" dxfId="840" priority="672" operator="lessThan">
      <formula>0</formula>
    </cfRule>
  </conditionalFormatting>
  <conditionalFormatting sqref="AQ31">
    <cfRule type="cellIs" dxfId="839" priority="671" operator="lessThan">
      <formula>0</formula>
    </cfRule>
  </conditionalFormatting>
  <conditionalFormatting sqref="AQ31">
    <cfRule type="cellIs" dxfId="838" priority="670" operator="lessThan">
      <formula>0</formula>
    </cfRule>
  </conditionalFormatting>
  <conditionalFormatting sqref="AQ31">
    <cfRule type="cellIs" dxfId="837" priority="669" operator="lessThan">
      <formula>0</formula>
    </cfRule>
  </conditionalFormatting>
  <conditionalFormatting sqref="AQ31">
    <cfRule type="cellIs" dxfId="836" priority="668" operator="lessThan">
      <formula>0</formula>
    </cfRule>
  </conditionalFormatting>
  <conditionalFormatting sqref="AQ31">
    <cfRule type="cellIs" dxfId="835" priority="667" operator="lessThan">
      <formula>0</formula>
    </cfRule>
  </conditionalFormatting>
  <conditionalFormatting sqref="AQ31">
    <cfRule type="cellIs" dxfId="834" priority="666" operator="lessThan">
      <formula>0</formula>
    </cfRule>
  </conditionalFormatting>
  <conditionalFormatting sqref="AQ31">
    <cfRule type="cellIs" dxfId="833" priority="665" operator="lessThan">
      <formula>0</formula>
    </cfRule>
  </conditionalFormatting>
  <conditionalFormatting sqref="AQ31">
    <cfRule type="cellIs" dxfId="832" priority="664" operator="lessThan">
      <formula>0</formula>
    </cfRule>
  </conditionalFormatting>
  <conditionalFormatting sqref="AQ31">
    <cfRule type="cellIs" dxfId="831" priority="663" operator="lessThan">
      <formula>0</formula>
    </cfRule>
  </conditionalFormatting>
  <conditionalFormatting sqref="AQ31">
    <cfRule type="cellIs" dxfId="830" priority="662" operator="lessThan">
      <formula>0</formula>
    </cfRule>
  </conditionalFormatting>
  <conditionalFormatting sqref="AQ31">
    <cfRule type="cellIs" dxfId="829" priority="661" operator="lessThan">
      <formula>0</formula>
    </cfRule>
  </conditionalFormatting>
  <conditionalFormatting sqref="AQ31">
    <cfRule type="cellIs" dxfId="828" priority="660" operator="lessThan">
      <formula>0</formula>
    </cfRule>
  </conditionalFormatting>
  <conditionalFormatting sqref="AQ31">
    <cfRule type="cellIs" dxfId="827" priority="659" operator="lessThan">
      <formula>0</formula>
    </cfRule>
  </conditionalFormatting>
  <conditionalFormatting sqref="AQ31">
    <cfRule type="cellIs" dxfId="826" priority="658" operator="lessThan">
      <formula>0</formula>
    </cfRule>
  </conditionalFormatting>
  <conditionalFormatting sqref="AQ31">
    <cfRule type="cellIs" dxfId="825" priority="657" operator="lessThan">
      <formula>0</formula>
    </cfRule>
  </conditionalFormatting>
  <conditionalFormatting sqref="AQ31">
    <cfRule type="cellIs" dxfId="824" priority="656" operator="lessThan">
      <formula>0</formula>
    </cfRule>
  </conditionalFormatting>
  <conditionalFormatting sqref="AQ31">
    <cfRule type="cellIs" dxfId="823" priority="655" operator="lessThan">
      <formula>0</formula>
    </cfRule>
  </conditionalFormatting>
  <conditionalFormatting sqref="AQ31">
    <cfRule type="cellIs" dxfId="822" priority="654" operator="lessThan">
      <formula>0</formula>
    </cfRule>
  </conditionalFormatting>
  <conditionalFormatting sqref="AQ31">
    <cfRule type="cellIs" dxfId="821" priority="653" operator="lessThan">
      <formula>0</formula>
    </cfRule>
  </conditionalFormatting>
  <conditionalFormatting sqref="AQ31">
    <cfRule type="cellIs" dxfId="820" priority="652" operator="lessThan">
      <formula>0</formula>
    </cfRule>
  </conditionalFormatting>
  <conditionalFormatting sqref="AQ31">
    <cfRule type="cellIs" dxfId="819" priority="651" operator="lessThan">
      <formula>0</formula>
    </cfRule>
  </conditionalFormatting>
  <conditionalFormatting sqref="AQ31">
    <cfRule type="cellIs" dxfId="818" priority="650" operator="lessThan">
      <formula>0</formula>
    </cfRule>
  </conditionalFormatting>
  <conditionalFormatting sqref="AQ31">
    <cfRule type="cellIs" dxfId="817" priority="649" operator="lessThan">
      <formula>0</formula>
    </cfRule>
  </conditionalFormatting>
  <conditionalFormatting sqref="AQ31">
    <cfRule type="cellIs" dxfId="816" priority="648" operator="lessThan">
      <formula>0</formula>
    </cfRule>
  </conditionalFormatting>
  <conditionalFormatting sqref="AQ31">
    <cfRule type="cellIs" dxfId="815" priority="647" operator="lessThan">
      <formula>0</formula>
    </cfRule>
  </conditionalFormatting>
  <conditionalFormatting sqref="AQ31">
    <cfRule type="cellIs" dxfId="814" priority="631" operator="lessThan">
      <formula>0</formula>
    </cfRule>
  </conditionalFormatting>
  <conditionalFormatting sqref="AQ31">
    <cfRule type="cellIs" dxfId="813" priority="646" operator="lessThan">
      <formula>0</formula>
    </cfRule>
  </conditionalFormatting>
  <conditionalFormatting sqref="AQ31">
    <cfRule type="cellIs" dxfId="812" priority="645" operator="lessThan">
      <formula>0</formula>
    </cfRule>
  </conditionalFormatting>
  <conditionalFormatting sqref="AQ31">
    <cfRule type="cellIs" dxfId="811" priority="644" operator="lessThan">
      <formula>0</formula>
    </cfRule>
  </conditionalFormatting>
  <conditionalFormatting sqref="AQ31">
    <cfRule type="cellIs" dxfId="810" priority="643" operator="lessThan">
      <formula>0</formula>
    </cfRule>
  </conditionalFormatting>
  <conditionalFormatting sqref="AQ31">
    <cfRule type="cellIs" dxfId="809" priority="642" operator="lessThan">
      <formula>0</formula>
    </cfRule>
  </conditionalFormatting>
  <conditionalFormatting sqref="AQ31">
    <cfRule type="cellIs" dxfId="808" priority="641" operator="lessThan">
      <formula>0</formula>
    </cfRule>
  </conditionalFormatting>
  <conditionalFormatting sqref="AQ31">
    <cfRule type="cellIs" dxfId="807" priority="640" operator="lessThan">
      <formula>0</formula>
    </cfRule>
  </conditionalFormatting>
  <conditionalFormatting sqref="AQ31">
    <cfRule type="cellIs" dxfId="806" priority="639" operator="lessThan">
      <formula>0</formula>
    </cfRule>
  </conditionalFormatting>
  <conditionalFormatting sqref="AQ31">
    <cfRule type="cellIs" dxfId="805" priority="638" operator="lessThan">
      <formula>0</formula>
    </cfRule>
  </conditionalFormatting>
  <conditionalFormatting sqref="AQ31">
    <cfRule type="cellIs" dxfId="804" priority="637" operator="lessThan">
      <formula>0</formula>
    </cfRule>
  </conditionalFormatting>
  <conditionalFormatting sqref="AQ31">
    <cfRule type="cellIs" dxfId="803" priority="636" operator="lessThan">
      <formula>0</formula>
    </cfRule>
  </conditionalFormatting>
  <conditionalFormatting sqref="AQ31">
    <cfRule type="cellIs" dxfId="802" priority="635" operator="lessThan">
      <formula>0</formula>
    </cfRule>
  </conditionalFormatting>
  <conditionalFormatting sqref="AQ31">
    <cfRule type="cellIs" dxfId="801" priority="634" operator="lessThan">
      <formula>0</formula>
    </cfRule>
  </conditionalFormatting>
  <conditionalFormatting sqref="AQ31">
    <cfRule type="cellIs" dxfId="800" priority="633" operator="lessThan">
      <formula>0</formula>
    </cfRule>
  </conditionalFormatting>
  <conditionalFormatting sqref="AQ31">
    <cfRule type="cellIs" dxfId="799" priority="632" operator="lessThan">
      <formula>0</formula>
    </cfRule>
  </conditionalFormatting>
  <conditionalFormatting sqref="AQ55">
    <cfRule type="cellIs" dxfId="798" priority="630" operator="lessThan">
      <formula>0</formula>
    </cfRule>
  </conditionalFormatting>
  <conditionalFormatting sqref="AQ55">
    <cfRule type="cellIs" dxfId="797" priority="629" operator="lessThan">
      <formula>0</formula>
    </cfRule>
  </conditionalFormatting>
  <conditionalFormatting sqref="AQ55">
    <cfRule type="cellIs" dxfId="796" priority="628" operator="lessThan">
      <formula>0</formula>
    </cfRule>
  </conditionalFormatting>
  <conditionalFormatting sqref="AQ55">
    <cfRule type="cellIs" dxfId="795" priority="627" operator="lessThan">
      <formula>0</formula>
    </cfRule>
  </conditionalFormatting>
  <conditionalFormatting sqref="AQ55">
    <cfRule type="cellIs" dxfId="794" priority="626" operator="lessThan">
      <formula>0</formula>
    </cfRule>
  </conditionalFormatting>
  <conditionalFormatting sqref="AQ55">
    <cfRule type="cellIs" dxfId="793" priority="625" operator="lessThan">
      <formula>0</formula>
    </cfRule>
  </conditionalFormatting>
  <conditionalFormatting sqref="AQ55">
    <cfRule type="cellIs" dxfId="792" priority="624" operator="lessThan">
      <formula>0</formula>
    </cfRule>
  </conditionalFormatting>
  <conditionalFormatting sqref="AQ55">
    <cfRule type="cellIs" dxfId="791" priority="623" operator="lessThan">
      <formula>0</formula>
    </cfRule>
  </conditionalFormatting>
  <conditionalFormatting sqref="AQ55">
    <cfRule type="cellIs" dxfId="790" priority="622" operator="lessThan">
      <formula>0</formula>
    </cfRule>
  </conditionalFormatting>
  <conditionalFormatting sqref="AQ55">
    <cfRule type="cellIs" dxfId="789" priority="621" operator="lessThan">
      <formula>0</formula>
    </cfRule>
  </conditionalFormatting>
  <conditionalFormatting sqref="AQ55">
    <cfRule type="cellIs" dxfId="788" priority="620" operator="lessThan">
      <formula>0</formula>
    </cfRule>
  </conditionalFormatting>
  <conditionalFormatting sqref="AQ55">
    <cfRule type="cellIs" dxfId="787" priority="619" operator="lessThan">
      <formula>0</formula>
    </cfRule>
  </conditionalFormatting>
  <conditionalFormatting sqref="AQ55">
    <cfRule type="cellIs" dxfId="786" priority="618" operator="lessThan">
      <formula>0</formula>
    </cfRule>
  </conditionalFormatting>
  <conditionalFormatting sqref="AQ55">
    <cfRule type="cellIs" dxfId="785" priority="617" operator="lessThan">
      <formula>0</formula>
    </cfRule>
  </conditionalFormatting>
  <conditionalFormatting sqref="AQ55">
    <cfRule type="cellIs" dxfId="784" priority="616" operator="lessThan">
      <formula>0</formula>
    </cfRule>
  </conditionalFormatting>
  <conditionalFormatting sqref="AQ55">
    <cfRule type="cellIs" dxfId="783" priority="615" operator="lessThan">
      <formula>0</formula>
    </cfRule>
  </conditionalFormatting>
  <conditionalFormatting sqref="AQ55">
    <cfRule type="cellIs" dxfId="782" priority="614" operator="lessThan">
      <formula>0</formula>
    </cfRule>
  </conditionalFormatting>
  <conditionalFormatting sqref="AQ55">
    <cfRule type="cellIs" dxfId="781" priority="613" operator="lessThan">
      <formula>0</formula>
    </cfRule>
  </conditionalFormatting>
  <conditionalFormatting sqref="AQ55">
    <cfRule type="cellIs" dxfId="780" priority="612" operator="lessThan">
      <formula>0</formula>
    </cfRule>
  </conditionalFormatting>
  <conditionalFormatting sqref="AQ55">
    <cfRule type="cellIs" dxfId="779" priority="611" operator="lessThan">
      <formula>0</formula>
    </cfRule>
  </conditionalFormatting>
  <conditionalFormatting sqref="AQ55">
    <cfRule type="cellIs" dxfId="778" priority="610" operator="lessThan">
      <formula>0</formula>
    </cfRule>
  </conditionalFormatting>
  <conditionalFormatting sqref="AQ55">
    <cfRule type="cellIs" dxfId="777" priority="609" operator="lessThan">
      <formula>0</formula>
    </cfRule>
  </conditionalFormatting>
  <conditionalFormatting sqref="AQ55">
    <cfRule type="cellIs" dxfId="776" priority="608" operator="lessThan">
      <formula>0</formula>
    </cfRule>
  </conditionalFormatting>
  <conditionalFormatting sqref="AQ55">
    <cfRule type="cellIs" dxfId="775" priority="607" operator="lessThan">
      <formula>0</formula>
    </cfRule>
  </conditionalFormatting>
  <conditionalFormatting sqref="AQ55">
    <cfRule type="cellIs" dxfId="774" priority="606" operator="lessThan">
      <formula>0</formula>
    </cfRule>
  </conditionalFormatting>
  <conditionalFormatting sqref="AQ55">
    <cfRule type="cellIs" dxfId="773" priority="605" operator="lessThan">
      <formula>0</formula>
    </cfRule>
  </conditionalFormatting>
  <conditionalFormatting sqref="AQ55">
    <cfRule type="cellIs" dxfId="772" priority="604" operator="lessThan">
      <formula>0</formula>
    </cfRule>
  </conditionalFormatting>
  <conditionalFormatting sqref="AQ55">
    <cfRule type="cellIs" dxfId="771" priority="603" operator="lessThan">
      <formula>0</formula>
    </cfRule>
  </conditionalFormatting>
  <conditionalFormatting sqref="AQ55">
    <cfRule type="cellIs" dxfId="770" priority="602" operator="lessThan">
      <formula>0</formula>
    </cfRule>
  </conditionalFormatting>
  <conditionalFormatting sqref="AQ55">
    <cfRule type="cellIs" dxfId="769" priority="601" operator="lessThan">
      <formula>0</formula>
    </cfRule>
  </conditionalFormatting>
  <conditionalFormatting sqref="AQ55">
    <cfRule type="cellIs" dxfId="768" priority="600" operator="lessThan">
      <formula>0</formula>
    </cfRule>
  </conditionalFormatting>
  <conditionalFormatting sqref="AQ55">
    <cfRule type="cellIs" dxfId="767" priority="599" operator="lessThan">
      <formula>0</formula>
    </cfRule>
  </conditionalFormatting>
  <conditionalFormatting sqref="AQ55">
    <cfRule type="cellIs" dxfId="766" priority="598" operator="lessThan">
      <formula>0</formula>
    </cfRule>
  </conditionalFormatting>
  <conditionalFormatting sqref="AQ55">
    <cfRule type="cellIs" dxfId="765" priority="597" operator="lessThan">
      <formula>0</formula>
    </cfRule>
  </conditionalFormatting>
  <conditionalFormatting sqref="AQ55">
    <cfRule type="cellIs" dxfId="764" priority="596" operator="lessThan">
      <formula>0</formula>
    </cfRule>
  </conditionalFormatting>
  <conditionalFormatting sqref="AQ55">
    <cfRule type="cellIs" dxfId="763" priority="595" operator="lessThan">
      <formula>0</formula>
    </cfRule>
  </conditionalFormatting>
  <conditionalFormatting sqref="AQ55">
    <cfRule type="cellIs" dxfId="762" priority="594" operator="lessThan">
      <formula>0</formula>
    </cfRule>
  </conditionalFormatting>
  <conditionalFormatting sqref="AQ55">
    <cfRule type="cellIs" dxfId="761" priority="593" operator="lessThan">
      <formula>0</formula>
    </cfRule>
  </conditionalFormatting>
  <conditionalFormatting sqref="AQ55">
    <cfRule type="cellIs" dxfId="760" priority="592" operator="lessThan">
      <formula>0</formula>
    </cfRule>
  </conditionalFormatting>
  <conditionalFormatting sqref="AQ55">
    <cfRule type="cellIs" dxfId="759" priority="591" operator="lessThan">
      <formula>0</formula>
    </cfRule>
  </conditionalFormatting>
  <conditionalFormatting sqref="AQ55">
    <cfRule type="cellIs" dxfId="758" priority="590" operator="lessThan">
      <formula>0</formula>
    </cfRule>
  </conditionalFormatting>
  <conditionalFormatting sqref="AQ55">
    <cfRule type="cellIs" dxfId="757" priority="589" operator="lessThan">
      <formula>0</formula>
    </cfRule>
  </conditionalFormatting>
  <conditionalFormatting sqref="AQ55">
    <cfRule type="cellIs" dxfId="756" priority="588" operator="lessThan">
      <formula>0</formula>
    </cfRule>
  </conditionalFormatting>
  <conditionalFormatting sqref="AQ55">
    <cfRule type="cellIs" dxfId="755" priority="587" operator="lessThan">
      <formula>0</formula>
    </cfRule>
  </conditionalFormatting>
  <conditionalFormatting sqref="AQ55">
    <cfRule type="cellIs" dxfId="754" priority="586" operator="lessThan">
      <formula>0</formula>
    </cfRule>
  </conditionalFormatting>
  <conditionalFormatting sqref="AQ55">
    <cfRule type="cellIs" dxfId="753" priority="585" operator="lessThan">
      <formula>0</formula>
    </cfRule>
  </conditionalFormatting>
  <conditionalFormatting sqref="AQ55">
    <cfRule type="cellIs" dxfId="752" priority="584" operator="lessThan">
      <formula>0</formula>
    </cfRule>
  </conditionalFormatting>
  <conditionalFormatting sqref="AQ55">
    <cfRule type="cellIs" dxfId="751" priority="583" operator="lessThan">
      <formula>0</formula>
    </cfRule>
  </conditionalFormatting>
  <conditionalFormatting sqref="AQ55">
    <cfRule type="cellIs" dxfId="750" priority="582" operator="lessThan">
      <formula>0</formula>
    </cfRule>
  </conditionalFormatting>
  <conditionalFormatting sqref="AQ55">
    <cfRule type="cellIs" dxfId="749" priority="581" operator="lessThan">
      <formula>0</formula>
    </cfRule>
  </conditionalFormatting>
  <conditionalFormatting sqref="AQ55">
    <cfRule type="cellIs" dxfId="748" priority="580" operator="lessThan">
      <formula>0</formula>
    </cfRule>
  </conditionalFormatting>
  <conditionalFormatting sqref="AQ55">
    <cfRule type="cellIs" dxfId="747" priority="579" operator="lessThan">
      <formula>0</formula>
    </cfRule>
  </conditionalFormatting>
  <conditionalFormatting sqref="AQ55">
    <cfRule type="cellIs" dxfId="746" priority="578" operator="lessThan">
      <formula>0</formula>
    </cfRule>
  </conditionalFormatting>
  <conditionalFormatting sqref="AQ55">
    <cfRule type="cellIs" dxfId="745" priority="577" operator="lessThan">
      <formula>0</formula>
    </cfRule>
  </conditionalFormatting>
  <conditionalFormatting sqref="AQ55">
    <cfRule type="cellIs" dxfId="744" priority="576" operator="lessThan">
      <formula>0</formula>
    </cfRule>
  </conditionalFormatting>
  <conditionalFormatting sqref="AQ55">
    <cfRule type="cellIs" dxfId="743" priority="575" operator="lessThan">
      <formula>0</formula>
    </cfRule>
  </conditionalFormatting>
  <conditionalFormatting sqref="AQ55">
    <cfRule type="cellIs" dxfId="742" priority="574" operator="lessThan">
      <formula>0</formula>
    </cfRule>
  </conditionalFormatting>
  <conditionalFormatting sqref="AQ55">
    <cfRule type="cellIs" dxfId="741" priority="573" operator="lessThan">
      <formula>0</formula>
    </cfRule>
  </conditionalFormatting>
  <conditionalFormatting sqref="AQ55">
    <cfRule type="cellIs" dxfId="740" priority="572" operator="lessThan">
      <formula>0</formula>
    </cfRule>
  </conditionalFormatting>
  <conditionalFormatting sqref="AQ55">
    <cfRule type="cellIs" dxfId="739" priority="571" operator="lessThan">
      <formula>0</formula>
    </cfRule>
  </conditionalFormatting>
  <conditionalFormatting sqref="AQ55">
    <cfRule type="cellIs" dxfId="738" priority="570" operator="lessThan">
      <formula>0</formula>
    </cfRule>
  </conditionalFormatting>
  <conditionalFormatting sqref="AQ55">
    <cfRule type="cellIs" dxfId="737" priority="569" operator="lessThan">
      <formula>0</formula>
    </cfRule>
  </conditionalFormatting>
  <conditionalFormatting sqref="AQ55">
    <cfRule type="cellIs" dxfId="736" priority="568" operator="lessThan">
      <formula>0</formula>
    </cfRule>
  </conditionalFormatting>
  <conditionalFormatting sqref="AQ55">
    <cfRule type="cellIs" dxfId="735" priority="567" operator="lessThan">
      <formula>0</formula>
    </cfRule>
  </conditionalFormatting>
  <conditionalFormatting sqref="AQ55">
    <cfRule type="cellIs" dxfId="734" priority="566" operator="lessThan">
      <formula>0</formula>
    </cfRule>
  </conditionalFormatting>
  <conditionalFormatting sqref="AQ55">
    <cfRule type="cellIs" dxfId="733" priority="565" operator="lessThan">
      <formula>0</formula>
    </cfRule>
  </conditionalFormatting>
  <conditionalFormatting sqref="AQ55">
    <cfRule type="cellIs" dxfId="732" priority="564" operator="lessThan">
      <formula>0</formula>
    </cfRule>
  </conditionalFormatting>
  <conditionalFormatting sqref="AQ55">
    <cfRule type="cellIs" dxfId="731" priority="563" operator="lessThan">
      <formula>0</formula>
    </cfRule>
  </conditionalFormatting>
  <conditionalFormatting sqref="AQ55">
    <cfRule type="cellIs" dxfId="730" priority="562" operator="lessThan">
      <formula>0</formula>
    </cfRule>
  </conditionalFormatting>
  <conditionalFormatting sqref="AQ55">
    <cfRule type="cellIs" dxfId="729" priority="561" operator="lessThan">
      <formula>0</formula>
    </cfRule>
  </conditionalFormatting>
  <conditionalFormatting sqref="AQ55">
    <cfRule type="cellIs" dxfId="728" priority="560" operator="lessThan">
      <formula>0</formula>
    </cfRule>
  </conditionalFormatting>
  <conditionalFormatting sqref="AQ55">
    <cfRule type="cellIs" dxfId="727" priority="559" operator="lessThan">
      <formula>0</formula>
    </cfRule>
  </conditionalFormatting>
  <conditionalFormatting sqref="AQ55">
    <cfRule type="cellIs" dxfId="726" priority="558" operator="lessThan">
      <formula>0</formula>
    </cfRule>
  </conditionalFormatting>
  <conditionalFormatting sqref="AQ55">
    <cfRule type="cellIs" dxfId="725" priority="557" operator="lessThan">
      <formula>0</formula>
    </cfRule>
  </conditionalFormatting>
  <conditionalFormatting sqref="AQ55">
    <cfRule type="cellIs" dxfId="724" priority="556" operator="lessThan">
      <formula>0</formula>
    </cfRule>
  </conditionalFormatting>
  <conditionalFormatting sqref="AQ55">
    <cfRule type="cellIs" dxfId="723" priority="555" operator="lessThan">
      <formula>0</formula>
    </cfRule>
  </conditionalFormatting>
  <conditionalFormatting sqref="AQ55">
    <cfRule type="cellIs" dxfId="722" priority="554" operator="lessThan">
      <formula>0</formula>
    </cfRule>
  </conditionalFormatting>
  <conditionalFormatting sqref="AQ55">
    <cfRule type="cellIs" dxfId="721" priority="553" operator="lessThan">
      <formula>0</formula>
    </cfRule>
  </conditionalFormatting>
  <conditionalFormatting sqref="AQ55">
    <cfRule type="cellIs" dxfId="720" priority="552" operator="lessThan">
      <formula>0</formula>
    </cfRule>
  </conditionalFormatting>
  <conditionalFormatting sqref="AQ55">
    <cfRule type="cellIs" dxfId="719" priority="551" operator="lessThan">
      <formula>0</formula>
    </cfRule>
  </conditionalFormatting>
  <conditionalFormatting sqref="AQ55">
    <cfRule type="cellIs" dxfId="718" priority="535" operator="lessThan">
      <formula>0</formula>
    </cfRule>
  </conditionalFormatting>
  <conditionalFormatting sqref="AQ55">
    <cfRule type="cellIs" dxfId="717" priority="550" operator="lessThan">
      <formula>0</formula>
    </cfRule>
  </conditionalFormatting>
  <conditionalFormatting sqref="AQ55">
    <cfRule type="cellIs" dxfId="716" priority="549" operator="lessThan">
      <formula>0</formula>
    </cfRule>
  </conditionalFormatting>
  <conditionalFormatting sqref="AQ55">
    <cfRule type="cellIs" dxfId="715" priority="548" operator="lessThan">
      <formula>0</formula>
    </cfRule>
  </conditionalFormatting>
  <conditionalFormatting sqref="AQ55">
    <cfRule type="cellIs" dxfId="714" priority="547" operator="lessThan">
      <formula>0</formula>
    </cfRule>
  </conditionalFormatting>
  <conditionalFormatting sqref="AQ55">
    <cfRule type="cellIs" dxfId="713" priority="546" operator="lessThan">
      <formula>0</formula>
    </cfRule>
  </conditionalFormatting>
  <conditionalFormatting sqref="AQ55">
    <cfRule type="cellIs" dxfId="712" priority="545" operator="lessThan">
      <formula>0</formula>
    </cfRule>
  </conditionalFormatting>
  <conditionalFormatting sqref="AQ55">
    <cfRule type="cellIs" dxfId="711" priority="544" operator="lessThan">
      <formula>0</formula>
    </cfRule>
  </conditionalFormatting>
  <conditionalFormatting sqref="AQ55">
    <cfRule type="cellIs" dxfId="710" priority="543" operator="lessThan">
      <formula>0</formula>
    </cfRule>
  </conditionalFormatting>
  <conditionalFormatting sqref="AQ55">
    <cfRule type="cellIs" dxfId="709" priority="542" operator="lessThan">
      <formula>0</formula>
    </cfRule>
  </conditionalFormatting>
  <conditionalFormatting sqref="AQ55">
    <cfRule type="cellIs" dxfId="708" priority="541" operator="lessThan">
      <formula>0</formula>
    </cfRule>
  </conditionalFormatting>
  <conditionalFormatting sqref="AQ55">
    <cfRule type="cellIs" dxfId="707" priority="540" operator="lessThan">
      <formula>0</formula>
    </cfRule>
  </conditionalFormatting>
  <conditionalFormatting sqref="AQ55">
    <cfRule type="cellIs" dxfId="706" priority="539" operator="lessThan">
      <formula>0</formula>
    </cfRule>
  </conditionalFormatting>
  <conditionalFormatting sqref="AQ55">
    <cfRule type="cellIs" dxfId="705" priority="538" operator="lessThan">
      <formula>0</formula>
    </cfRule>
  </conditionalFormatting>
  <conditionalFormatting sqref="AQ55">
    <cfRule type="cellIs" dxfId="704" priority="537" operator="lessThan">
      <formula>0</formula>
    </cfRule>
  </conditionalFormatting>
  <conditionalFormatting sqref="AQ55">
    <cfRule type="cellIs" dxfId="703" priority="536" operator="lessThan">
      <formula>0</formula>
    </cfRule>
  </conditionalFormatting>
  <conditionalFormatting sqref="AQ79">
    <cfRule type="cellIs" dxfId="702" priority="534" operator="lessThan">
      <formula>0</formula>
    </cfRule>
  </conditionalFormatting>
  <conditionalFormatting sqref="AQ79">
    <cfRule type="cellIs" dxfId="701" priority="533" operator="lessThan">
      <formula>0</formula>
    </cfRule>
  </conditionalFormatting>
  <conditionalFormatting sqref="AQ79">
    <cfRule type="cellIs" dxfId="700" priority="532" operator="lessThan">
      <formula>0</formula>
    </cfRule>
  </conditionalFormatting>
  <conditionalFormatting sqref="AQ79">
    <cfRule type="cellIs" dxfId="699" priority="531" operator="lessThan">
      <formula>0</formula>
    </cfRule>
  </conditionalFormatting>
  <conditionalFormatting sqref="AQ79">
    <cfRule type="cellIs" dxfId="698" priority="530" operator="lessThan">
      <formula>0</formula>
    </cfRule>
  </conditionalFormatting>
  <conditionalFormatting sqref="AQ79">
    <cfRule type="cellIs" dxfId="697" priority="529" operator="lessThan">
      <formula>0</formula>
    </cfRule>
  </conditionalFormatting>
  <conditionalFormatting sqref="AQ79">
    <cfRule type="cellIs" dxfId="696" priority="528" operator="lessThan">
      <formula>0</formula>
    </cfRule>
  </conditionalFormatting>
  <conditionalFormatting sqref="AQ79">
    <cfRule type="cellIs" dxfId="695" priority="527" operator="lessThan">
      <formula>0</formula>
    </cfRule>
  </conditionalFormatting>
  <conditionalFormatting sqref="AQ79">
    <cfRule type="cellIs" dxfId="694" priority="526" operator="lessThan">
      <formula>0</formula>
    </cfRule>
  </conditionalFormatting>
  <conditionalFormatting sqref="AQ79">
    <cfRule type="cellIs" dxfId="693" priority="525" operator="lessThan">
      <formula>0</formula>
    </cfRule>
  </conditionalFormatting>
  <conditionalFormatting sqref="AQ79">
    <cfRule type="cellIs" dxfId="692" priority="524" operator="lessThan">
      <formula>0</formula>
    </cfRule>
  </conditionalFormatting>
  <conditionalFormatting sqref="AQ79">
    <cfRule type="cellIs" dxfId="691" priority="523" operator="lessThan">
      <formula>0</formula>
    </cfRule>
  </conditionalFormatting>
  <conditionalFormatting sqref="AQ79">
    <cfRule type="cellIs" dxfId="690" priority="522" operator="lessThan">
      <formula>0</formula>
    </cfRule>
  </conditionalFormatting>
  <conditionalFormatting sqref="AQ79">
    <cfRule type="cellIs" dxfId="689" priority="521" operator="lessThan">
      <formula>0</formula>
    </cfRule>
  </conditionalFormatting>
  <conditionalFormatting sqref="AQ79">
    <cfRule type="cellIs" dxfId="688" priority="520" operator="lessThan">
      <formula>0</formula>
    </cfRule>
  </conditionalFormatting>
  <conditionalFormatting sqref="AQ79">
    <cfRule type="cellIs" dxfId="687" priority="519" operator="lessThan">
      <formula>0</formula>
    </cfRule>
  </conditionalFormatting>
  <conditionalFormatting sqref="AQ79">
    <cfRule type="cellIs" dxfId="686" priority="518" operator="lessThan">
      <formula>0</formula>
    </cfRule>
  </conditionalFormatting>
  <conditionalFormatting sqref="AQ79">
    <cfRule type="cellIs" dxfId="685" priority="517" operator="lessThan">
      <formula>0</formula>
    </cfRule>
  </conditionalFormatting>
  <conditionalFormatting sqref="AQ79">
    <cfRule type="cellIs" dxfId="684" priority="516" operator="lessThan">
      <formula>0</formula>
    </cfRule>
  </conditionalFormatting>
  <conditionalFormatting sqref="AQ79">
    <cfRule type="cellIs" dxfId="683" priority="515" operator="lessThan">
      <formula>0</formula>
    </cfRule>
  </conditionalFormatting>
  <conditionalFormatting sqref="AQ79">
    <cfRule type="cellIs" dxfId="682" priority="514" operator="lessThan">
      <formula>0</formula>
    </cfRule>
  </conditionalFormatting>
  <conditionalFormatting sqref="AQ79">
    <cfRule type="cellIs" dxfId="681" priority="513" operator="lessThan">
      <formula>0</formula>
    </cfRule>
  </conditionalFormatting>
  <conditionalFormatting sqref="AQ79">
    <cfRule type="cellIs" dxfId="680" priority="512" operator="lessThan">
      <formula>0</formula>
    </cfRule>
  </conditionalFormatting>
  <conditionalFormatting sqref="AQ79">
    <cfRule type="cellIs" dxfId="679" priority="511" operator="lessThan">
      <formula>0</formula>
    </cfRule>
  </conditionalFormatting>
  <conditionalFormatting sqref="AQ79">
    <cfRule type="cellIs" dxfId="678" priority="510" operator="lessThan">
      <formula>0</formula>
    </cfRule>
  </conditionalFormatting>
  <conditionalFormatting sqref="AQ79">
    <cfRule type="cellIs" dxfId="677" priority="509" operator="lessThan">
      <formula>0</formula>
    </cfRule>
  </conditionalFormatting>
  <conditionalFormatting sqref="AQ79">
    <cfRule type="cellIs" dxfId="676" priority="508" operator="lessThan">
      <formula>0</formula>
    </cfRule>
  </conditionalFormatting>
  <conditionalFormatting sqref="AQ79">
    <cfRule type="cellIs" dxfId="675" priority="507" operator="lessThan">
      <formula>0</formula>
    </cfRule>
  </conditionalFormatting>
  <conditionalFormatting sqref="AQ79">
    <cfRule type="cellIs" dxfId="674" priority="506" operator="lessThan">
      <formula>0</formula>
    </cfRule>
  </conditionalFormatting>
  <conditionalFormatting sqref="AQ79">
    <cfRule type="cellIs" dxfId="673" priority="505" operator="lessThan">
      <formula>0</formula>
    </cfRule>
  </conditionalFormatting>
  <conditionalFormatting sqref="AQ79">
    <cfRule type="cellIs" dxfId="672" priority="504" operator="lessThan">
      <formula>0</formula>
    </cfRule>
  </conditionalFormatting>
  <conditionalFormatting sqref="AQ79">
    <cfRule type="cellIs" dxfId="671" priority="503" operator="lessThan">
      <formula>0</formula>
    </cfRule>
  </conditionalFormatting>
  <conditionalFormatting sqref="AQ79">
    <cfRule type="cellIs" dxfId="670" priority="502" operator="lessThan">
      <formula>0</formula>
    </cfRule>
  </conditionalFormatting>
  <conditionalFormatting sqref="AQ79">
    <cfRule type="cellIs" dxfId="669" priority="501" operator="lessThan">
      <formula>0</formula>
    </cfRule>
  </conditionalFormatting>
  <conditionalFormatting sqref="AQ79">
    <cfRule type="cellIs" dxfId="668" priority="500" operator="lessThan">
      <formula>0</formula>
    </cfRule>
  </conditionalFormatting>
  <conditionalFormatting sqref="AQ79">
    <cfRule type="cellIs" dxfId="667" priority="499" operator="lessThan">
      <formula>0</formula>
    </cfRule>
  </conditionalFormatting>
  <conditionalFormatting sqref="AQ79">
    <cfRule type="cellIs" dxfId="666" priority="498" operator="lessThan">
      <formula>0</formula>
    </cfRule>
  </conditionalFormatting>
  <conditionalFormatting sqref="AQ79">
    <cfRule type="cellIs" dxfId="665" priority="497" operator="lessThan">
      <formula>0</formula>
    </cfRule>
  </conditionalFormatting>
  <conditionalFormatting sqref="AQ79">
    <cfRule type="cellIs" dxfId="664" priority="496" operator="lessThan">
      <formula>0</formula>
    </cfRule>
  </conditionalFormatting>
  <conditionalFormatting sqref="AQ79">
    <cfRule type="cellIs" dxfId="663" priority="495" operator="lessThan">
      <formula>0</formula>
    </cfRule>
  </conditionalFormatting>
  <conditionalFormatting sqref="AQ79">
    <cfRule type="cellIs" dxfId="662" priority="494" operator="lessThan">
      <formula>0</formula>
    </cfRule>
  </conditionalFormatting>
  <conditionalFormatting sqref="AQ79">
    <cfRule type="cellIs" dxfId="661" priority="493" operator="lessThan">
      <formula>0</formula>
    </cfRule>
  </conditionalFormatting>
  <conditionalFormatting sqref="AQ79">
    <cfRule type="cellIs" dxfId="660" priority="492" operator="lessThan">
      <formula>0</formula>
    </cfRule>
  </conditionalFormatting>
  <conditionalFormatting sqref="AQ79">
    <cfRule type="cellIs" dxfId="659" priority="491" operator="lessThan">
      <formula>0</formula>
    </cfRule>
  </conditionalFormatting>
  <conditionalFormatting sqref="AQ79">
    <cfRule type="cellIs" dxfId="658" priority="490" operator="lessThan">
      <formula>0</formula>
    </cfRule>
  </conditionalFormatting>
  <conditionalFormatting sqref="AQ79">
    <cfRule type="cellIs" dxfId="657" priority="489" operator="lessThan">
      <formula>0</formula>
    </cfRule>
  </conditionalFormatting>
  <conditionalFormatting sqref="AQ79">
    <cfRule type="cellIs" dxfId="656" priority="488" operator="lessThan">
      <formula>0</formula>
    </cfRule>
  </conditionalFormatting>
  <conditionalFormatting sqref="AQ79">
    <cfRule type="cellIs" dxfId="655" priority="487" operator="lessThan">
      <formula>0</formula>
    </cfRule>
  </conditionalFormatting>
  <conditionalFormatting sqref="AQ79">
    <cfRule type="cellIs" dxfId="654" priority="486" operator="lessThan">
      <formula>0</formula>
    </cfRule>
  </conditionalFormatting>
  <conditionalFormatting sqref="AQ79">
    <cfRule type="cellIs" dxfId="653" priority="485" operator="lessThan">
      <formula>0</formula>
    </cfRule>
  </conditionalFormatting>
  <conditionalFormatting sqref="AQ79">
    <cfRule type="cellIs" dxfId="652" priority="484" operator="lessThan">
      <formula>0</formula>
    </cfRule>
  </conditionalFormatting>
  <conditionalFormatting sqref="AQ79">
    <cfRule type="cellIs" dxfId="651" priority="483" operator="lessThan">
      <formula>0</formula>
    </cfRule>
  </conditionalFormatting>
  <conditionalFormatting sqref="AQ79">
    <cfRule type="cellIs" dxfId="650" priority="482" operator="lessThan">
      <formula>0</formula>
    </cfRule>
  </conditionalFormatting>
  <conditionalFormatting sqref="AQ79">
    <cfRule type="cellIs" dxfId="649" priority="481" operator="lessThan">
      <formula>0</formula>
    </cfRule>
  </conditionalFormatting>
  <conditionalFormatting sqref="AQ79">
    <cfRule type="cellIs" dxfId="648" priority="480" operator="lessThan">
      <formula>0</formula>
    </cfRule>
  </conditionalFormatting>
  <conditionalFormatting sqref="AQ79">
    <cfRule type="cellIs" dxfId="647" priority="479" operator="lessThan">
      <formula>0</formula>
    </cfRule>
  </conditionalFormatting>
  <conditionalFormatting sqref="AQ79">
    <cfRule type="cellIs" dxfId="646" priority="478" operator="lessThan">
      <formula>0</formula>
    </cfRule>
  </conditionalFormatting>
  <conditionalFormatting sqref="AQ79">
    <cfRule type="cellIs" dxfId="645" priority="477" operator="lessThan">
      <formula>0</formula>
    </cfRule>
  </conditionalFormatting>
  <conditionalFormatting sqref="AQ79">
    <cfRule type="cellIs" dxfId="644" priority="476" operator="lessThan">
      <formula>0</formula>
    </cfRule>
  </conditionalFormatting>
  <conditionalFormatting sqref="AQ79">
    <cfRule type="cellIs" dxfId="643" priority="475" operator="lessThan">
      <formula>0</formula>
    </cfRule>
  </conditionalFormatting>
  <conditionalFormatting sqref="AQ79">
    <cfRule type="cellIs" dxfId="642" priority="474" operator="lessThan">
      <formula>0</formula>
    </cfRule>
  </conditionalFormatting>
  <conditionalFormatting sqref="AQ79">
    <cfRule type="cellIs" dxfId="641" priority="473" operator="lessThan">
      <formula>0</formula>
    </cfRule>
  </conditionalFormatting>
  <conditionalFormatting sqref="AQ79">
    <cfRule type="cellIs" dxfId="640" priority="472" operator="lessThan">
      <formula>0</formula>
    </cfRule>
  </conditionalFormatting>
  <conditionalFormatting sqref="AQ79">
    <cfRule type="cellIs" dxfId="639" priority="471" operator="lessThan">
      <formula>0</formula>
    </cfRule>
  </conditionalFormatting>
  <conditionalFormatting sqref="AQ79">
    <cfRule type="cellIs" dxfId="638" priority="470" operator="lessThan">
      <formula>0</formula>
    </cfRule>
  </conditionalFormatting>
  <conditionalFormatting sqref="AQ79">
    <cfRule type="cellIs" dxfId="637" priority="469" operator="lessThan">
      <formula>0</formula>
    </cfRule>
  </conditionalFormatting>
  <conditionalFormatting sqref="AQ79">
    <cfRule type="cellIs" dxfId="636" priority="468" operator="lessThan">
      <formula>0</formula>
    </cfRule>
  </conditionalFormatting>
  <conditionalFormatting sqref="AQ79">
    <cfRule type="cellIs" dxfId="635" priority="467" operator="lessThan">
      <formula>0</formula>
    </cfRule>
  </conditionalFormatting>
  <conditionalFormatting sqref="AQ79">
    <cfRule type="cellIs" dxfId="634" priority="466" operator="lessThan">
      <formula>0</formula>
    </cfRule>
  </conditionalFormatting>
  <conditionalFormatting sqref="AQ79">
    <cfRule type="cellIs" dxfId="633" priority="465" operator="lessThan">
      <formula>0</formula>
    </cfRule>
  </conditionalFormatting>
  <conditionalFormatting sqref="AQ79">
    <cfRule type="cellIs" dxfId="632" priority="464" operator="lessThan">
      <formula>0</formula>
    </cfRule>
  </conditionalFormatting>
  <conditionalFormatting sqref="AQ79">
    <cfRule type="cellIs" dxfId="631" priority="463" operator="lessThan">
      <formula>0</formula>
    </cfRule>
  </conditionalFormatting>
  <conditionalFormatting sqref="AQ79">
    <cfRule type="cellIs" dxfId="630" priority="462" operator="lessThan">
      <formula>0</formula>
    </cfRule>
  </conditionalFormatting>
  <conditionalFormatting sqref="AQ79">
    <cfRule type="cellIs" dxfId="629" priority="461" operator="lessThan">
      <formula>0</formula>
    </cfRule>
  </conditionalFormatting>
  <conditionalFormatting sqref="AQ79">
    <cfRule type="cellIs" dxfId="628" priority="460" operator="lessThan">
      <formula>0</formula>
    </cfRule>
  </conditionalFormatting>
  <conditionalFormatting sqref="AQ79">
    <cfRule type="cellIs" dxfId="627" priority="459" operator="lessThan">
      <formula>0</formula>
    </cfRule>
  </conditionalFormatting>
  <conditionalFormatting sqref="AQ79">
    <cfRule type="cellIs" dxfId="626" priority="458" operator="lessThan">
      <formula>0</formula>
    </cfRule>
  </conditionalFormatting>
  <conditionalFormatting sqref="AQ79">
    <cfRule type="cellIs" dxfId="625" priority="457" operator="lessThan">
      <formula>0</formula>
    </cfRule>
  </conditionalFormatting>
  <conditionalFormatting sqref="AQ79">
    <cfRule type="cellIs" dxfId="624" priority="456" operator="lessThan">
      <formula>0</formula>
    </cfRule>
  </conditionalFormatting>
  <conditionalFormatting sqref="AQ79">
    <cfRule type="cellIs" dxfId="623" priority="455" operator="lessThan">
      <formula>0</formula>
    </cfRule>
  </conditionalFormatting>
  <conditionalFormatting sqref="AQ79">
    <cfRule type="cellIs" dxfId="622" priority="439" operator="lessThan">
      <formula>0</formula>
    </cfRule>
  </conditionalFormatting>
  <conditionalFormatting sqref="AQ79">
    <cfRule type="cellIs" dxfId="621" priority="454" operator="lessThan">
      <formula>0</formula>
    </cfRule>
  </conditionalFormatting>
  <conditionalFormatting sqref="AQ79">
    <cfRule type="cellIs" dxfId="620" priority="453" operator="lessThan">
      <formula>0</formula>
    </cfRule>
  </conditionalFormatting>
  <conditionalFormatting sqref="AQ79">
    <cfRule type="cellIs" dxfId="619" priority="452" operator="lessThan">
      <formula>0</formula>
    </cfRule>
  </conditionalFormatting>
  <conditionalFormatting sqref="AQ79">
    <cfRule type="cellIs" dxfId="618" priority="451" operator="lessThan">
      <formula>0</formula>
    </cfRule>
  </conditionalFormatting>
  <conditionalFormatting sqref="AQ79">
    <cfRule type="cellIs" dxfId="617" priority="450" operator="lessThan">
      <formula>0</formula>
    </cfRule>
  </conditionalFormatting>
  <conditionalFormatting sqref="AQ79">
    <cfRule type="cellIs" dxfId="616" priority="449" operator="lessThan">
      <formula>0</formula>
    </cfRule>
  </conditionalFormatting>
  <conditionalFormatting sqref="AQ79">
    <cfRule type="cellIs" dxfId="615" priority="448" operator="lessThan">
      <formula>0</formula>
    </cfRule>
  </conditionalFormatting>
  <conditionalFormatting sqref="AQ79">
    <cfRule type="cellIs" dxfId="614" priority="447" operator="lessThan">
      <formula>0</formula>
    </cfRule>
  </conditionalFormatting>
  <conditionalFormatting sqref="AQ79">
    <cfRule type="cellIs" dxfId="613" priority="446" operator="lessThan">
      <formula>0</formula>
    </cfRule>
  </conditionalFormatting>
  <conditionalFormatting sqref="AQ79">
    <cfRule type="cellIs" dxfId="612" priority="445" operator="lessThan">
      <formula>0</formula>
    </cfRule>
  </conditionalFormatting>
  <conditionalFormatting sqref="AQ79">
    <cfRule type="cellIs" dxfId="611" priority="444" operator="lessThan">
      <formula>0</formula>
    </cfRule>
  </conditionalFormatting>
  <conditionalFormatting sqref="AQ79">
    <cfRule type="cellIs" dxfId="610" priority="443" operator="lessThan">
      <formula>0</formula>
    </cfRule>
  </conditionalFormatting>
  <conditionalFormatting sqref="AQ79">
    <cfRule type="cellIs" dxfId="609" priority="442" operator="lessThan">
      <formula>0</formula>
    </cfRule>
  </conditionalFormatting>
  <conditionalFormatting sqref="AQ79">
    <cfRule type="cellIs" dxfId="608" priority="441" operator="lessThan">
      <formula>0</formula>
    </cfRule>
  </conditionalFormatting>
  <conditionalFormatting sqref="AQ79">
    <cfRule type="cellIs" dxfId="607" priority="440" operator="lessThan">
      <formula>0</formula>
    </cfRule>
  </conditionalFormatting>
  <conditionalFormatting sqref="AM46:AM49">
    <cfRule type="cellIs" dxfId="606" priority="438" operator="notEqual">
      <formula>0</formula>
    </cfRule>
  </conditionalFormatting>
  <conditionalFormatting sqref="Z9">
    <cfRule type="cellIs" dxfId="605" priority="437" operator="lessThan">
      <formula>0</formula>
    </cfRule>
  </conditionalFormatting>
  <conditionalFormatting sqref="J40">
    <cfRule type="cellIs" dxfId="604" priority="436" operator="greaterThan">
      <formula>0</formula>
    </cfRule>
  </conditionalFormatting>
  <conditionalFormatting sqref="J48">
    <cfRule type="cellIs" dxfId="603" priority="435" operator="greaterThan">
      <formula>0</formula>
    </cfRule>
  </conditionalFormatting>
  <conditionalFormatting sqref="AQ62">
    <cfRule type="cellIs" dxfId="602" priority="434" operator="lessThan">
      <formula>0</formula>
    </cfRule>
  </conditionalFormatting>
  <conditionalFormatting sqref="X62:X65">
    <cfRule type="cellIs" dxfId="601" priority="433" operator="lessThan">
      <formula>0</formula>
    </cfRule>
  </conditionalFormatting>
  <conditionalFormatting sqref="AM62:AM65">
    <cfRule type="cellIs" dxfId="600" priority="430" operator="notEqual">
      <formula>0</formula>
    </cfRule>
  </conditionalFormatting>
  <conditionalFormatting sqref="I64">
    <cfRule type="cellIs" dxfId="599" priority="429" operator="greaterThan">
      <formula>0</formula>
    </cfRule>
  </conditionalFormatting>
  <conditionalFormatting sqref="J64">
    <cfRule type="cellIs" dxfId="598" priority="428" operator="greaterThan">
      <formula>0</formula>
    </cfRule>
  </conditionalFormatting>
  <conditionalFormatting sqref="Y64">
    <cfRule type="cellIs" dxfId="597" priority="427" operator="lessThan">
      <formula>0</formula>
    </cfRule>
  </conditionalFormatting>
  <conditionalFormatting sqref="Y62:Y64">
    <cfRule type="cellIs" dxfId="596" priority="426" operator="lessThan">
      <formula>0</formula>
    </cfRule>
  </conditionalFormatting>
  <conditionalFormatting sqref="Y65">
    <cfRule type="cellIs" dxfId="595" priority="425" operator="lessThan">
      <formula>0</formula>
    </cfRule>
  </conditionalFormatting>
  <conditionalFormatting sqref="Y63">
    <cfRule type="iconSet" priority="432">
      <iconSet>
        <cfvo type="percent" val="0"/>
        <cfvo type="percent" val="&quot;$I$6&quot;"/>
        <cfvo type="percent" val="#REF!"/>
      </iconSet>
    </cfRule>
  </conditionalFormatting>
  <conditionalFormatting sqref="AQ62">
    <cfRule type="cellIs" dxfId="594" priority="424" operator="lessThan">
      <formula>0</formula>
    </cfRule>
  </conditionalFormatting>
  <conditionalFormatting sqref="AQ62">
    <cfRule type="cellIs" dxfId="593" priority="423" operator="lessThan">
      <formula>0</formula>
    </cfRule>
  </conditionalFormatting>
  <conditionalFormatting sqref="AQ64:AQ65">
    <cfRule type="cellIs" dxfId="592" priority="422" operator="lessThan">
      <formula>0</formula>
    </cfRule>
  </conditionalFormatting>
  <conditionalFormatting sqref="AQ64:AQ65">
    <cfRule type="cellIs" dxfId="591" priority="421" operator="lessThan">
      <formula>0</formula>
    </cfRule>
  </conditionalFormatting>
  <conditionalFormatting sqref="AQ64:AQ65">
    <cfRule type="cellIs" dxfId="590" priority="420" operator="lessThan">
      <formula>0</formula>
    </cfRule>
  </conditionalFormatting>
  <conditionalFormatting sqref="AQ64:AQ65">
    <cfRule type="cellIs" dxfId="589" priority="419" operator="lessThan">
      <formula>0</formula>
    </cfRule>
  </conditionalFormatting>
  <conditionalFormatting sqref="AQ64:AQ65">
    <cfRule type="cellIs" dxfId="588" priority="418" operator="lessThan">
      <formula>0</formula>
    </cfRule>
  </conditionalFormatting>
  <conditionalFormatting sqref="AQ64:AQ65">
    <cfRule type="cellIs" dxfId="587" priority="417" operator="lessThan">
      <formula>0</formula>
    </cfRule>
  </conditionalFormatting>
  <conditionalFormatting sqref="AQ64:AQ65">
    <cfRule type="cellIs" dxfId="586" priority="416" operator="lessThan">
      <formula>0</formula>
    </cfRule>
  </conditionalFormatting>
  <conditionalFormatting sqref="AQ64:AQ65">
    <cfRule type="cellIs" dxfId="585" priority="415" operator="lessThan">
      <formula>0</formula>
    </cfRule>
  </conditionalFormatting>
  <conditionalFormatting sqref="AQ62">
    <cfRule type="cellIs" dxfId="584" priority="414" operator="lessThan">
      <formula>0</formula>
    </cfRule>
  </conditionalFormatting>
  <conditionalFormatting sqref="AQ64:AQ65">
    <cfRule type="cellIs" dxfId="583" priority="413" operator="lessThan">
      <formula>0</formula>
    </cfRule>
  </conditionalFormatting>
  <conditionalFormatting sqref="AQ64:AQ65">
    <cfRule type="cellIs" dxfId="582" priority="412" operator="lessThan">
      <formula>0</formula>
    </cfRule>
  </conditionalFormatting>
  <conditionalFormatting sqref="AQ64:AQ65">
    <cfRule type="cellIs" dxfId="581" priority="411" operator="lessThan">
      <formula>0</formula>
    </cfRule>
  </conditionalFormatting>
  <conditionalFormatting sqref="AQ64:AQ65">
    <cfRule type="cellIs" dxfId="580" priority="410" operator="lessThan">
      <formula>0</formula>
    </cfRule>
  </conditionalFormatting>
  <conditionalFormatting sqref="AQ64:AQ65">
    <cfRule type="cellIs" dxfId="579" priority="409" operator="lessThan">
      <formula>0</formula>
    </cfRule>
  </conditionalFormatting>
  <conditionalFormatting sqref="AQ64:AQ65">
    <cfRule type="cellIs" dxfId="578" priority="408" operator="lessThan">
      <formula>0</formula>
    </cfRule>
  </conditionalFormatting>
  <conditionalFormatting sqref="AQ64:AQ65">
    <cfRule type="cellIs" dxfId="577" priority="407" operator="lessThan">
      <formula>0</formula>
    </cfRule>
  </conditionalFormatting>
  <conditionalFormatting sqref="AQ64:AQ65">
    <cfRule type="cellIs" dxfId="576" priority="406" operator="lessThan">
      <formula>0</formula>
    </cfRule>
  </conditionalFormatting>
  <conditionalFormatting sqref="AQ62">
    <cfRule type="cellIs" dxfId="575" priority="309" operator="lessThan">
      <formula>0</formula>
    </cfRule>
  </conditionalFormatting>
  <conditionalFormatting sqref="AQ62">
    <cfRule type="cellIs" dxfId="574" priority="308" operator="lessThan">
      <formula>0</formula>
    </cfRule>
  </conditionalFormatting>
  <conditionalFormatting sqref="AQ64:AQ65">
    <cfRule type="cellIs" dxfId="573" priority="307" operator="lessThan">
      <formula>0</formula>
    </cfRule>
  </conditionalFormatting>
  <conditionalFormatting sqref="AQ64:AQ65">
    <cfRule type="cellIs" dxfId="572" priority="306" operator="lessThan">
      <formula>0</formula>
    </cfRule>
  </conditionalFormatting>
  <conditionalFormatting sqref="AQ64:AQ65">
    <cfRule type="cellIs" dxfId="571" priority="305" operator="lessThan">
      <formula>0</formula>
    </cfRule>
  </conditionalFormatting>
  <conditionalFormatting sqref="AQ64:AQ65">
    <cfRule type="cellIs" dxfId="570" priority="304" operator="lessThan">
      <formula>0</formula>
    </cfRule>
  </conditionalFormatting>
  <conditionalFormatting sqref="AQ64:AQ65">
    <cfRule type="cellIs" dxfId="569" priority="303" operator="lessThan">
      <formula>0</formula>
    </cfRule>
  </conditionalFormatting>
  <conditionalFormatting sqref="AQ64:AQ65">
    <cfRule type="cellIs" dxfId="568" priority="302" operator="lessThan">
      <formula>0</formula>
    </cfRule>
  </conditionalFormatting>
  <conditionalFormatting sqref="AQ64:AQ65">
    <cfRule type="cellIs" dxfId="567" priority="301" operator="lessThan">
      <formula>0</formula>
    </cfRule>
  </conditionalFormatting>
  <conditionalFormatting sqref="AQ64:AQ65">
    <cfRule type="cellIs" dxfId="566" priority="300" operator="lessThan">
      <formula>0</formula>
    </cfRule>
  </conditionalFormatting>
  <conditionalFormatting sqref="AQ62">
    <cfRule type="cellIs" dxfId="565" priority="299" operator="lessThan">
      <formula>0</formula>
    </cfRule>
  </conditionalFormatting>
  <conditionalFormatting sqref="AQ62 AQ64:AQ65">
    <cfRule type="cellIs" dxfId="564" priority="298" operator="lessThan">
      <formula>0</formula>
    </cfRule>
  </conditionalFormatting>
  <conditionalFormatting sqref="AQ62 AQ64:AQ65">
    <cfRule type="cellIs" dxfId="563" priority="297" operator="lessThan">
      <formula>0</formula>
    </cfRule>
  </conditionalFormatting>
  <conditionalFormatting sqref="AQ62 AQ64:AQ65">
    <cfRule type="cellIs" dxfId="562" priority="296" operator="lessThan">
      <formula>0</formula>
    </cfRule>
  </conditionalFormatting>
  <conditionalFormatting sqref="AQ62 AQ64:AQ65">
    <cfRule type="cellIs" dxfId="561" priority="295" operator="lessThan">
      <formula>0</formula>
    </cfRule>
  </conditionalFormatting>
  <conditionalFormatting sqref="AQ64:AQ65">
    <cfRule type="cellIs" dxfId="560" priority="294" operator="lessThan">
      <formula>0</formula>
    </cfRule>
  </conditionalFormatting>
  <conditionalFormatting sqref="AQ64:AQ65">
    <cfRule type="cellIs" dxfId="559" priority="293" operator="lessThan">
      <formula>0</formula>
    </cfRule>
  </conditionalFormatting>
  <conditionalFormatting sqref="AQ64:AQ65">
    <cfRule type="cellIs" dxfId="558" priority="292" operator="lessThan">
      <formula>0</formula>
    </cfRule>
  </conditionalFormatting>
  <conditionalFormatting sqref="AQ64:AQ65">
    <cfRule type="cellIs" dxfId="557" priority="291" operator="lessThan">
      <formula>0</formula>
    </cfRule>
  </conditionalFormatting>
  <conditionalFormatting sqref="X63">
    <cfRule type="iconSet" priority="194">
      <iconSet>
        <cfvo type="percent" val="0"/>
        <cfvo type="percent" val="&quot;$I$6&quot;"/>
        <cfvo type="percent" val="#REF!"/>
      </iconSet>
    </cfRule>
  </conditionalFormatting>
  <conditionalFormatting sqref="X64">
    <cfRule type="cellIs" dxfId="556" priority="193" operator="lessThan">
      <formula>0</formula>
    </cfRule>
  </conditionalFormatting>
  <conditionalFormatting sqref="AQ63">
    <cfRule type="cellIs" dxfId="555" priority="192" operator="lessThan">
      <formula>0</formula>
    </cfRule>
  </conditionalFormatting>
  <conditionalFormatting sqref="AQ63">
    <cfRule type="cellIs" dxfId="554" priority="191" operator="lessThan">
      <formula>0</formula>
    </cfRule>
  </conditionalFormatting>
  <conditionalFormatting sqref="AQ63">
    <cfRule type="cellIs" dxfId="553" priority="190" operator="lessThan">
      <formula>0</formula>
    </cfRule>
  </conditionalFormatting>
  <conditionalFormatting sqref="AQ63">
    <cfRule type="cellIs" dxfId="552" priority="189" operator="lessThan">
      <formula>0</formula>
    </cfRule>
  </conditionalFormatting>
  <conditionalFormatting sqref="AQ63">
    <cfRule type="cellIs" dxfId="551" priority="188" operator="lessThan">
      <formula>0</formula>
    </cfRule>
  </conditionalFormatting>
  <conditionalFormatting sqref="AQ63">
    <cfRule type="cellIs" dxfId="550" priority="187" operator="lessThan">
      <formula>0</formula>
    </cfRule>
  </conditionalFormatting>
  <conditionalFormatting sqref="AQ63">
    <cfRule type="cellIs" dxfId="549" priority="186" operator="lessThan">
      <formula>0</formula>
    </cfRule>
  </conditionalFormatting>
  <conditionalFormatting sqref="AQ63">
    <cfRule type="cellIs" dxfId="548" priority="185" operator="lessThan">
      <formula>0</formula>
    </cfRule>
  </conditionalFormatting>
  <conditionalFormatting sqref="AQ63">
    <cfRule type="cellIs" dxfId="547" priority="184" operator="lessThan">
      <formula>0</formula>
    </cfRule>
  </conditionalFormatting>
  <conditionalFormatting sqref="AQ63">
    <cfRule type="cellIs" dxfId="546" priority="183" operator="lessThan">
      <formula>0</formula>
    </cfRule>
  </conditionalFormatting>
  <conditionalFormatting sqref="AQ63">
    <cfRule type="cellIs" dxfId="545" priority="182" operator="lessThan">
      <formula>0</formula>
    </cfRule>
  </conditionalFormatting>
  <conditionalFormatting sqref="AQ63">
    <cfRule type="cellIs" dxfId="544" priority="181" operator="lessThan">
      <formula>0</formula>
    </cfRule>
  </conditionalFormatting>
  <conditionalFormatting sqref="AQ63">
    <cfRule type="cellIs" dxfId="543" priority="180" operator="lessThan">
      <formula>0</formula>
    </cfRule>
  </conditionalFormatting>
  <conditionalFormatting sqref="AQ63">
    <cfRule type="cellIs" dxfId="542" priority="179" operator="lessThan">
      <formula>0</formula>
    </cfRule>
  </conditionalFormatting>
  <conditionalFormatting sqref="AQ63">
    <cfRule type="cellIs" dxfId="541" priority="178" operator="lessThan">
      <formula>0</formula>
    </cfRule>
  </conditionalFormatting>
  <conditionalFormatting sqref="AQ63">
    <cfRule type="cellIs" dxfId="540" priority="177" operator="lessThan">
      <formula>0</formula>
    </cfRule>
  </conditionalFormatting>
  <conditionalFormatting sqref="AQ63">
    <cfRule type="cellIs" dxfId="539" priority="176" operator="lessThan">
      <formula>0</formula>
    </cfRule>
  </conditionalFormatting>
  <conditionalFormatting sqref="AQ63">
    <cfRule type="cellIs" dxfId="538" priority="175" operator="lessThan">
      <formula>0</formula>
    </cfRule>
  </conditionalFormatting>
  <conditionalFormatting sqref="AQ63">
    <cfRule type="cellIs" dxfId="537" priority="174" operator="lessThan">
      <formula>0</formula>
    </cfRule>
  </conditionalFormatting>
  <conditionalFormatting sqref="AQ63">
    <cfRule type="cellIs" dxfId="536" priority="173" operator="lessThan">
      <formula>0</formula>
    </cfRule>
  </conditionalFormatting>
  <conditionalFormatting sqref="AQ63">
    <cfRule type="cellIs" dxfId="535" priority="172" operator="lessThan">
      <formula>0</formula>
    </cfRule>
  </conditionalFormatting>
  <conditionalFormatting sqref="AQ63">
    <cfRule type="cellIs" dxfId="534" priority="171" operator="lessThan">
      <formula>0</formula>
    </cfRule>
  </conditionalFormatting>
  <conditionalFormatting sqref="AQ63">
    <cfRule type="cellIs" dxfId="533" priority="170" operator="lessThan">
      <formula>0</formula>
    </cfRule>
  </conditionalFormatting>
  <conditionalFormatting sqref="AQ63">
    <cfRule type="cellIs" dxfId="532" priority="169" operator="lessThan">
      <formula>0</formula>
    </cfRule>
  </conditionalFormatting>
  <conditionalFormatting sqref="AQ63">
    <cfRule type="cellIs" dxfId="531" priority="168" operator="lessThan">
      <formula>0</formula>
    </cfRule>
  </conditionalFormatting>
  <conditionalFormatting sqref="AQ63">
    <cfRule type="cellIs" dxfId="530" priority="167" operator="lessThan">
      <formula>0</formula>
    </cfRule>
  </conditionalFormatting>
  <conditionalFormatting sqref="AQ63">
    <cfRule type="cellIs" dxfId="529" priority="166" operator="lessThan">
      <formula>0</formula>
    </cfRule>
  </conditionalFormatting>
  <conditionalFormatting sqref="AQ63">
    <cfRule type="cellIs" dxfId="528" priority="165" operator="lessThan">
      <formula>0</formula>
    </cfRule>
  </conditionalFormatting>
  <conditionalFormatting sqref="AQ63">
    <cfRule type="cellIs" dxfId="527" priority="164" operator="lessThan">
      <formula>0</formula>
    </cfRule>
  </conditionalFormatting>
  <conditionalFormatting sqref="AQ63">
    <cfRule type="cellIs" dxfId="526" priority="163" operator="lessThan">
      <formula>0</formula>
    </cfRule>
  </conditionalFormatting>
  <conditionalFormatting sqref="AQ63">
    <cfRule type="cellIs" dxfId="525" priority="162" operator="lessThan">
      <formula>0</formula>
    </cfRule>
  </conditionalFormatting>
  <conditionalFormatting sqref="AQ63">
    <cfRule type="cellIs" dxfId="524" priority="161" operator="lessThan">
      <formula>0</formula>
    </cfRule>
  </conditionalFormatting>
  <conditionalFormatting sqref="AQ63">
    <cfRule type="cellIs" dxfId="523" priority="160" operator="lessThan">
      <formula>0</formula>
    </cfRule>
  </conditionalFormatting>
  <conditionalFormatting sqref="AQ63">
    <cfRule type="cellIs" dxfId="522" priority="159" operator="lessThan">
      <formula>0</formula>
    </cfRule>
  </conditionalFormatting>
  <conditionalFormatting sqref="AQ63">
    <cfRule type="cellIs" dxfId="521" priority="158" operator="lessThan">
      <formula>0</formula>
    </cfRule>
  </conditionalFormatting>
  <conditionalFormatting sqref="AQ63">
    <cfRule type="cellIs" dxfId="520" priority="157" operator="lessThan">
      <formula>0</formula>
    </cfRule>
  </conditionalFormatting>
  <conditionalFormatting sqref="AQ63">
    <cfRule type="cellIs" dxfId="519" priority="156" operator="lessThan">
      <formula>0</formula>
    </cfRule>
  </conditionalFormatting>
  <conditionalFormatting sqref="AQ63">
    <cfRule type="cellIs" dxfId="518" priority="155" operator="lessThan">
      <formula>0</formula>
    </cfRule>
  </conditionalFormatting>
  <conditionalFormatting sqref="AQ63">
    <cfRule type="cellIs" dxfId="517" priority="154" operator="lessThan">
      <formula>0</formula>
    </cfRule>
  </conditionalFormatting>
  <conditionalFormatting sqref="AQ63">
    <cfRule type="cellIs" dxfId="516" priority="153" operator="lessThan">
      <formula>0</formula>
    </cfRule>
  </conditionalFormatting>
  <conditionalFormatting sqref="AQ63">
    <cfRule type="cellIs" dxfId="515" priority="152" operator="lessThan">
      <formula>0</formula>
    </cfRule>
  </conditionalFormatting>
  <conditionalFormatting sqref="AQ63">
    <cfRule type="cellIs" dxfId="514" priority="151" operator="lessThan">
      <formula>0</formula>
    </cfRule>
  </conditionalFormatting>
  <conditionalFormatting sqref="AQ63">
    <cfRule type="cellIs" dxfId="513" priority="150" operator="lessThan">
      <formula>0</formula>
    </cfRule>
  </conditionalFormatting>
  <conditionalFormatting sqref="AQ63">
    <cfRule type="cellIs" dxfId="512" priority="149" operator="lessThan">
      <formula>0</formula>
    </cfRule>
  </conditionalFormatting>
  <conditionalFormatting sqref="AQ63">
    <cfRule type="cellIs" dxfId="511" priority="148" operator="lessThan">
      <formula>0</formula>
    </cfRule>
  </conditionalFormatting>
  <conditionalFormatting sqref="AQ63">
    <cfRule type="cellIs" dxfId="510" priority="147" operator="lessThan">
      <formula>0</formula>
    </cfRule>
  </conditionalFormatting>
  <conditionalFormatting sqref="AQ63">
    <cfRule type="cellIs" dxfId="509" priority="146" operator="lessThan">
      <formula>0</formula>
    </cfRule>
  </conditionalFormatting>
  <conditionalFormatting sqref="AQ63">
    <cfRule type="cellIs" dxfId="508" priority="145" operator="lessThan">
      <formula>0</formula>
    </cfRule>
  </conditionalFormatting>
  <conditionalFormatting sqref="AQ63">
    <cfRule type="cellIs" dxfId="507" priority="144" operator="lessThan">
      <formula>0</formula>
    </cfRule>
  </conditionalFormatting>
  <conditionalFormatting sqref="AQ63">
    <cfRule type="cellIs" dxfId="506" priority="143" operator="lessThan">
      <formula>0</formula>
    </cfRule>
  </conditionalFormatting>
  <conditionalFormatting sqref="AQ63">
    <cfRule type="cellIs" dxfId="505" priority="142" operator="lessThan">
      <formula>0</formula>
    </cfRule>
  </conditionalFormatting>
  <conditionalFormatting sqref="AQ63">
    <cfRule type="cellIs" dxfId="504" priority="141" operator="lessThan">
      <formula>0</formula>
    </cfRule>
  </conditionalFormatting>
  <conditionalFormatting sqref="AQ63">
    <cfRule type="cellIs" dxfId="503" priority="140" operator="lessThan">
      <formula>0</formula>
    </cfRule>
  </conditionalFormatting>
  <conditionalFormatting sqref="AQ63">
    <cfRule type="cellIs" dxfId="502" priority="139" operator="lessThan">
      <formula>0</formula>
    </cfRule>
  </conditionalFormatting>
  <conditionalFormatting sqref="AQ63">
    <cfRule type="cellIs" dxfId="501" priority="138" operator="lessThan">
      <formula>0</formula>
    </cfRule>
  </conditionalFormatting>
  <conditionalFormatting sqref="AQ63">
    <cfRule type="cellIs" dxfId="500" priority="137" operator="lessThan">
      <formula>0</formula>
    </cfRule>
  </conditionalFormatting>
  <conditionalFormatting sqref="AQ63">
    <cfRule type="cellIs" dxfId="499" priority="136" operator="lessThan">
      <formula>0</formula>
    </cfRule>
  </conditionalFormatting>
  <conditionalFormatting sqref="AQ63">
    <cfRule type="cellIs" dxfId="498" priority="135" operator="lessThan">
      <formula>0</formula>
    </cfRule>
  </conditionalFormatting>
  <conditionalFormatting sqref="AQ63">
    <cfRule type="cellIs" dxfId="497" priority="134" operator="lessThan">
      <formula>0</formula>
    </cfRule>
  </conditionalFormatting>
  <conditionalFormatting sqref="AQ63">
    <cfRule type="cellIs" dxfId="496" priority="133" operator="lessThan">
      <formula>0</formula>
    </cfRule>
  </conditionalFormatting>
  <conditionalFormatting sqref="AQ63">
    <cfRule type="cellIs" dxfId="495" priority="132" operator="lessThan">
      <formula>0</formula>
    </cfRule>
  </conditionalFormatting>
  <conditionalFormatting sqref="AQ63">
    <cfRule type="cellIs" dxfId="494" priority="131" operator="lessThan">
      <formula>0</formula>
    </cfRule>
  </conditionalFormatting>
  <conditionalFormatting sqref="AQ63">
    <cfRule type="cellIs" dxfId="493" priority="130" operator="lessThan">
      <formula>0</formula>
    </cfRule>
  </conditionalFormatting>
  <conditionalFormatting sqref="AQ63">
    <cfRule type="cellIs" dxfId="492" priority="129" operator="lessThan">
      <formula>0</formula>
    </cfRule>
  </conditionalFormatting>
  <conditionalFormatting sqref="AQ63">
    <cfRule type="cellIs" dxfId="491" priority="128" operator="lessThan">
      <formula>0</formula>
    </cfRule>
  </conditionalFormatting>
  <conditionalFormatting sqref="AQ63">
    <cfRule type="cellIs" dxfId="490" priority="127" operator="lessThan">
      <formula>0</formula>
    </cfRule>
  </conditionalFormatting>
  <conditionalFormatting sqref="AQ63">
    <cfRule type="cellIs" dxfId="489" priority="126" operator="lessThan">
      <formula>0</formula>
    </cfRule>
  </conditionalFormatting>
  <conditionalFormatting sqref="AQ63">
    <cfRule type="cellIs" dxfId="488" priority="125" operator="lessThan">
      <formula>0</formula>
    </cfRule>
  </conditionalFormatting>
  <conditionalFormatting sqref="AQ63">
    <cfRule type="cellIs" dxfId="487" priority="124" operator="lessThan">
      <formula>0</formula>
    </cfRule>
  </conditionalFormatting>
  <conditionalFormatting sqref="AQ63">
    <cfRule type="cellIs" dxfId="486" priority="123" operator="lessThan">
      <formula>0</formula>
    </cfRule>
  </conditionalFormatting>
  <conditionalFormatting sqref="AQ63">
    <cfRule type="cellIs" dxfId="485" priority="122" operator="lessThan">
      <formula>0</formula>
    </cfRule>
  </conditionalFormatting>
  <conditionalFormatting sqref="AQ63">
    <cfRule type="cellIs" dxfId="484" priority="121" operator="lessThan">
      <formula>0</formula>
    </cfRule>
  </conditionalFormatting>
  <conditionalFormatting sqref="AQ63">
    <cfRule type="cellIs" dxfId="483" priority="120" operator="lessThan">
      <formula>0</formula>
    </cfRule>
  </conditionalFormatting>
  <conditionalFormatting sqref="AQ63">
    <cfRule type="cellIs" dxfId="482" priority="119" operator="lessThan">
      <formula>0</formula>
    </cfRule>
  </conditionalFormatting>
  <conditionalFormatting sqref="AQ63">
    <cfRule type="cellIs" dxfId="481" priority="118" operator="lessThan">
      <formula>0</formula>
    </cfRule>
  </conditionalFormatting>
  <conditionalFormatting sqref="AQ63">
    <cfRule type="cellIs" dxfId="480" priority="117" operator="lessThan">
      <formula>0</formula>
    </cfRule>
  </conditionalFormatting>
  <conditionalFormatting sqref="AQ63">
    <cfRule type="cellIs" dxfId="479" priority="116" operator="lessThan">
      <formula>0</formula>
    </cfRule>
  </conditionalFormatting>
  <conditionalFormatting sqref="AQ63">
    <cfRule type="cellIs" dxfId="478" priority="115" operator="lessThan">
      <formula>0</formula>
    </cfRule>
  </conditionalFormatting>
  <conditionalFormatting sqref="AQ63">
    <cfRule type="cellIs" dxfId="477" priority="114" operator="lessThan">
      <formula>0</formula>
    </cfRule>
  </conditionalFormatting>
  <conditionalFormatting sqref="AQ63">
    <cfRule type="cellIs" dxfId="476" priority="113" operator="lessThan">
      <formula>0</formula>
    </cfRule>
  </conditionalFormatting>
  <conditionalFormatting sqref="AQ63">
    <cfRule type="cellIs" dxfId="475" priority="97" operator="lessThan">
      <formula>0</formula>
    </cfRule>
  </conditionalFormatting>
  <conditionalFormatting sqref="AQ63">
    <cfRule type="cellIs" dxfId="474" priority="112" operator="lessThan">
      <formula>0</formula>
    </cfRule>
  </conditionalFormatting>
  <conditionalFormatting sqref="AQ63">
    <cfRule type="cellIs" dxfId="473" priority="111" operator="lessThan">
      <formula>0</formula>
    </cfRule>
  </conditionalFormatting>
  <conditionalFormatting sqref="AQ63">
    <cfRule type="cellIs" dxfId="472" priority="110" operator="lessThan">
      <formula>0</formula>
    </cfRule>
  </conditionalFormatting>
  <conditionalFormatting sqref="AQ63">
    <cfRule type="cellIs" dxfId="471" priority="109" operator="lessThan">
      <formula>0</formula>
    </cfRule>
  </conditionalFormatting>
  <conditionalFormatting sqref="AQ63">
    <cfRule type="cellIs" dxfId="470" priority="108" operator="lessThan">
      <formula>0</formula>
    </cfRule>
  </conditionalFormatting>
  <conditionalFormatting sqref="AQ63">
    <cfRule type="cellIs" dxfId="469" priority="107" operator="lessThan">
      <formula>0</formula>
    </cfRule>
  </conditionalFormatting>
  <conditionalFormatting sqref="AQ63">
    <cfRule type="cellIs" dxfId="468" priority="106" operator="lessThan">
      <formula>0</formula>
    </cfRule>
  </conditionalFormatting>
  <conditionalFormatting sqref="AQ63">
    <cfRule type="cellIs" dxfId="467" priority="105" operator="lessThan">
      <formula>0</formula>
    </cfRule>
  </conditionalFormatting>
  <conditionalFormatting sqref="AQ63">
    <cfRule type="cellIs" dxfId="466" priority="104" operator="lessThan">
      <formula>0</formula>
    </cfRule>
  </conditionalFormatting>
  <conditionalFormatting sqref="AQ63">
    <cfRule type="cellIs" dxfId="465" priority="103" operator="lessThan">
      <formula>0</formula>
    </cfRule>
  </conditionalFormatting>
  <conditionalFormatting sqref="AQ63">
    <cfRule type="cellIs" dxfId="464" priority="102" operator="lessThan">
      <formula>0</formula>
    </cfRule>
  </conditionalFormatting>
  <conditionalFormatting sqref="AQ63">
    <cfRule type="cellIs" dxfId="463" priority="101" operator="lessThan">
      <formula>0</formula>
    </cfRule>
  </conditionalFormatting>
  <conditionalFormatting sqref="AQ63">
    <cfRule type="cellIs" dxfId="462" priority="100" operator="lessThan">
      <formula>0</formula>
    </cfRule>
  </conditionalFormatting>
  <conditionalFormatting sqref="AQ63">
    <cfRule type="cellIs" dxfId="461" priority="99" operator="lessThan">
      <formula>0</formula>
    </cfRule>
  </conditionalFormatting>
  <conditionalFormatting sqref="AQ63">
    <cfRule type="cellIs" dxfId="460" priority="98" operator="lessThan">
      <formula>0</formula>
    </cfRule>
  </conditionalFormatting>
  <conditionalFormatting sqref="AQ63">
    <cfRule type="cellIs" dxfId="459" priority="96" operator="lessThan">
      <formula>0</formula>
    </cfRule>
  </conditionalFormatting>
  <conditionalFormatting sqref="AQ63">
    <cfRule type="cellIs" dxfId="458" priority="95" operator="lessThan">
      <formula>0</formula>
    </cfRule>
  </conditionalFormatting>
  <conditionalFormatting sqref="AQ63">
    <cfRule type="cellIs" dxfId="457" priority="94" operator="lessThan">
      <formula>0</formula>
    </cfRule>
  </conditionalFormatting>
  <conditionalFormatting sqref="AQ63">
    <cfRule type="cellIs" dxfId="456" priority="93" operator="lessThan">
      <formula>0</formula>
    </cfRule>
  </conditionalFormatting>
  <conditionalFormatting sqref="AQ63">
    <cfRule type="cellIs" dxfId="455" priority="92" operator="lessThan">
      <formula>0</formula>
    </cfRule>
  </conditionalFormatting>
  <conditionalFormatting sqref="AQ63">
    <cfRule type="cellIs" dxfId="454" priority="91" operator="lessThan">
      <formula>0</formula>
    </cfRule>
  </conditionalFormatting>
  <conditionalFormatting sqref="AQ63">
    <cfRule type="cellIs" dxfId="453" priority="90" operator="lessThan">
      <formula>0</formula>
    </cfRule>
  </conditionalFormatting>
  <conditionalFormatting sqref="AQ63">
    <cfRule type="cellIs" dxfId="452" priority="89" operator="lessThan">
      <formula>0</formula>
    </cfRule>
  </conditionalFormatting>
  <conditionalFormatting sqref="AQ63">
    <cfRule type="cellIs" dxfId="451" priority="88" operator="lessThan">
      <formula>0</formula>
    </cfRule>
  </conditionalFormatting>
  <conditionalFormatting sqref="AQ63">
    <cfRule type="cellIs" dxfId="450" priority="87" operator="lessThan">
      <formula>0</formula>
    </cfRule>
  </conditionalFormatting>
  <conditionalFormatting sqref="AQ63">
    <cfRule type="cellIs" dxfId="449" priority="86" operator="lessThan">
      <formula>0</formula>
    </cfRule>
  </conditionalFormatting>
  <conditionalFormatting sqref="AQ63">
    <cfRule type="cellIs" dxfId="448" priority="85" operator="lessThan">
      <formula>0</formula>
    </cfRule>
  </conditionalFormatting>
  <conditionalFormatting sqref="AQ63">
    <cfRule type="cellIs" dxfId="447" priority="84" operator="lessThan">
      <formula>0</formula>
    </cfRule>
  </conditionalFormatting>
  <conditionalFormatting sqref="AQ63">
    <cfRule type="cellIs" dxfId="446" priority="83" operator="lessThan">
      <formula>0</formula>
    </cfRule>
  </conditionalFormatting>
  <conditionalFormatting sqref="AQ63">
    <cfRule type="cellIs" dxfId="445" priority="82" operator="lessThan">
      <formula>0</formula>
    </cfRule>
  </conditionalFormatting>
  <conditionalFormatting sqref="AQ63">
    <cfRule type="cellIs" dxfId="444" priority="81" operator="lessThan">
      <formula>0</formula>
    </cfRule>
  </conditionalFormatting>
  <conditionalFormatting sqref="AQ63">
    <cfRule type="cellIs" dxfId="443" priority="80" operator="lessThan">
      <formula>0</formula>
    </cfRule>
  </conditionalFormatting>
  <conditionalFormatting sqref="AQ63">
    <cfRule type="cellIs" dxfId="442" priority="79" operator="lessThan">
      <formula>0</formula>
    </cfRule>
  </conditionalFormatting>
  <conditionalFormatting sqref="AQ63">
    <cfRule type="cellIs" dxfId="441" priority="78" operator="lessThan">
      <formula>0</formula>
    </cfRule>
  </conditionalFormatting>
  <conditionalFormatting sqref="AQ63">
    <cfRule type="cellIs" dxfId="440" priority="77" operator="lessThan">
      <formula>0</formula>
    </cfRule>
  </conditionalFormatting>
  <conditionalFormatting sqref="AQ63">
    <cfRule type="cellIs" dxfId="439" priority="76" operator="lessThan">
      <formula>0</formula>
    </cfRule>
  </conditionalFormatting>
  <conditionalFormatting sqref="AQ63">
    <cfRule type="cellIs" dxfId="438" priority="75" operator="lessThan">
      <formula>0</formula>
    </cfRule>
  </conditionalFormatting>
  <conditionalFormatting sqref="AQ63">
    <cfRule type="cellIs" dxfId="437" priority="74" operator="lessThan">
      <formula>0</formula>
    </cfRule>
  </conditionalFormatting>
  <conditionalFormatting sqref="AQ63">
    <cfRule type="cellIs" dxfId="436" priority="73" operator="lessThan">
      <formula>0</formula>
    </cfRule>
  </conditionalFormatting>
  <conditionalFormatting sqref="AQ63">
    <cfRule type="cellIs" dxfId="435" priority="72" operator="lessThan">
      <formula>0</formula>
    </cfRule>
  </conditionalFormatting>
  <conditionalFormatting sqref="AQ63">
    <cfRule type="cellIs" dxfId="434" priority="71" operator="lessThan">
      <formula>0</formula>
    </cfRule>
  </conditionalFormatting>
  <conditionalFormatting sqref="AQ63">
    <cfRule type="cellIs" dxfId="433" priority="70" operator="lessThan">
      <formula>0</formula>
    </cfRule>
  </conditionalFormatting>
  <conditionalFormatting sqref="AQ63">
    <cfRule type="cellIs" dxfId="432" priority="69" operator="lessThan">
      <formula>0</formula>
    </cfRule>
  </conditionalFormatting>
  <conditionalFormatting sqref="AQ63">
    <cfRule type="cellIs" dxfId="431" priority="68" operator="lessThan">
      <formula>0</formula>
    </cfRule>
  </conditionalFormatting>
  <conditionalFormatting sqref="AQ63">
    <cfRule type="cellIs" dxfId="430" priority="67" operator="lessThan">
      <formula>0</formula>
    </cfRule>
  </conditionalFormatting>
  <conditionalFormatting sqref="AQ63">
    <cfRule type="cellIs" dxfId="429" priority="66" operator="lessThan">
      <formula>0</formula>
    </cfRule>
  </conditionalFormatting>
  <conditionalFormatting sqref="AQ63">
    <cfRule type="cellIs" dxfId="428" priority="65" operator="lessThan">
      <formula>0</formula>
    </cfRule>
  </conditionalFormatting>
  <conditionalFormatting sqref="AQ63">
    <cfRule type="cellIs" dxfId="427" priority="64" operator="lessThan">
      <formula>0</formula>
    </cfRule>
  </conditionalFormatting>
  <conditionalFormatting sqref="AQ63">
    <cfRule type="cellIs" dxfId="426" priority="63" operator="lessThan">
      <formula>0</formula>
    </cfRule>
  </conditionalFormatting>
  <conditionalFormatting sqref="AQ63">
    <cfRule type="cellIs" dxfId="425" priority="62" operator="lessThan">
      <formula>0</formula>
    </cfRule>
  </conditionalFormatting>
  <conditionalFormatting sqref="AQ63">
    <cfRule type="cellIs" dxfId="424" priority="61" operator="lessThan">
      <formula>0</formula>
    </cfRule>
  </conditionalFormatting>
  <conditionalFormatting sqref="AQ63">
    <cfRule type="cellIs" dxfId="423" priority="60" operator="lessThan">
      <formula>0</formula>
    </cfRule>
  </conditionalFormatting>
  <conditionalFormatting sqref="AQ63">
    <cfRule type="cellIs" dxfId="422" priority="59" operator="lessThan">
      <formula>0</formula>
    </cfRule>
  </conditionalFormatting>
  <conditionalFormatting sqref="AQ63">
    <cfRule type="cellIs" dxfId="421" priority="58" operator="lessThan">
      <formula>0</formula>
    </cfRule>
  </conditionalFormatting>
  <conditionalFormatting sqref="AQ63">
    <cfRule type="cellIs" dxfId="420" priority="57" operator="lessThan">
      <formula>0</formula>
    </cfRule>
  </conditionalFormatting>
  <conditionalFormatting sqref="AQ63">
    <cfRule type="cellIs" dxfId="419" priority="56" operator="lessThan">
      <formula>0</formula>
    </cfRule>
  </conditionalFormatting>
  <conditionalFormatting sqref="AQ63">
    <cfRule type="cellIs" dxfId="418" priority="55" operator="lessThan">
      <formula>0</formula>
    </cfRule>
  </conditionalFormatting>
  <conditionalFormatting sqref="AQ63">
    <cfRule type="cellIs" dxfId="417" priority="54" operator="lessThan">
      <formula>0</formula>
    </cfRule>
  </conditionalFormatting>
  <conditionalFormatting sqref="AQ63">
    <cfRule type="cellIs" dxfId="416" priority="53" operator="lessThan">
      <formula>0</formula>
    </cfRule>
  </conditionalFormatting>
  <conditionalFormatting sqref="AQ63">
    <cfRule type="cellIs" dxfId="415" priority="52" operator="lessThan">
      <formula>0</formula>
    </cfRule>
  </conditionalFormatting>
  <conditionalFormatting sqref="AQ63">
    <cfRule type="cellIs" dxfId="414" priority="51" operator="lessThan">
      <formula>0</formula>
    </cfRule>
  </conditionalFormatting>
  <conditionalFormatting sqref="AQ63">
    <cfRule type="cellIs" dxfId="413" priority="50" operator="lessThan">
      <formula>0</formula>
    </cfRule>
  </conditionalFormatting>
  <conditionalFormatting sqref="AQ63">
    <cfRule type="cellIs" dxfId="412" priority="49" operator="lessThan">
      <formula>0</formula>
    </cfRule>
  </conditionalFormatting>
  <conditionalFormatting sqref="AQ63">
    <cfRule type="cellIs" dxfId="411" priority="48" operator="lessThan">
      <formula>0</formula>
    </cfRule>
  </conditionalFormatting>
  <conditionalFormatting sqref="AQ63">
    <cfRule type="cellIs" dxfId="410" priority="47" operator="lessThan">
      <formula>0</formula>
    </cfRule>
  </conditionalFormatting>
  <conditionalFormatting sqref="AQ63">
    <cfRule type="cellIs" dxfId="409" priority="46" operator="lessThan">
      <formula>0</formula>
    </cfRule>
  </conditionalFormatting>
  <conditionalFormatting sqref="AQ63">
    <cfRule type="cellIs" dxfId="408" priority="45" operator="lessThan">
      <formula>0</formula>
    </cfRule>
  </conditionalFormatting>
  <conditionalFormatting sqref="AQ63">
    <cfRule type="cellIs" dxfId="407" priority="44" operator="lessThan">
      <formula>0</formula>
    </cfRule>
  </conditionalFormatting>
  <conditionalFormatting sqref="AQ63">
    <cfRule type="cellIs" dxfId="406" priority="43" operator="lessThan">
      <formula>0</formula>
    </cfRule>
  </conditionalFormatting>
  <conditionalFormatting sqref="AQ63">
    <cfRule type="cellIs" dxfId="405" priority="42" operator="lessThan">
      <formula>0</formula>
    </cfRule>
  </conditionalFormatting>
  <conditionalFormatting sqref="AQ63">
    <cfRule type="cellIs" dxfId="404" priority="41" operator="lessThan">
      <formula>0</formula>
    </cfRule>
  </conditionalFormatting>
  <conditionalFormatting sqref="AQ63">
    <cfRule type="cellIs" dxfId="403" priority="40" operator="lessThan">
      <formula>0</formula>
    </cfRule>
  </conditionalFormatting>
  <conditionalFormatting sqref="AQ63">
    <cfRule type="cellIs" dxfId="402" priority="39" operator="lessThan">
      <formula>0</formula>
    </cfRule>
  </conditionalFormatting>
  <conditionalFormatting sqref="AQ63">
    <cfRule type="cellIs" dxfId="401" priority="38" operator="lessThan">
      <formula>0</formula>
    </cfRule>
  </conditionalFormatting>
  <conditionalFormatting sqref="AQ63">
    <cfRule type="cellIs" dxfId="400" priority="37" operator="lessThan">
      <formula>0</formula>
    </cfRule>
  </conditionalFormatting>
  <conditionalFormatting sqref="AQ63">
    <cfRule type="cellIs" dxfId="399" priority="36" operator="lessThan">
      <formula>0</formula>
    </cfRule>
  </conditionalFormatting>
  <conditionalFormatting sqref="AQ63">
    <cfRule type="cellIs" dxfId="398" priority="35" operator="lessThan">
      <formula>0</formula>
    </cfRule>
  </conditionalFormatting>
  <conditionalFormatting sqref="AQ63">
    <cfRule type="cellIs" dxfId="397" priority="34" operator="lessThan">
      <formula>0</formula>
    </cfRule>
  </conditionalFormatting>
  <conditionalFormatting sqref="AQ63">
    <cfRule type="cellIs" dxfId="396" priority="33" operator="lessThan">
      <formula>0</formula>
    </cfRule>
  </conditionalFormatting>
  <conditionalFormatting sqref="AQ63">
    <cfRule type="cellIs" dxfId="395" priority="32" operator="lessThan">
      <formula>0</formula>
    </cfRule>
  </conditionalFormatting>
  <conditionalFormatting sqref="AQ63">
    <cfRule type="cellIs" dxfId="394" priority="31" operator="lessThan">
      <formula>0</formula>
    </cfRule>
  </conditionalFormatting>
  <conditionalFormatting sqref="AQ63">
    <cfRule type="cellIs" dxfId="393" priority="30" operator="lessThan">
      <formula>0</formula>
    </cfRule>
  </conditionalFormatting>
  <conditionalFormatting sqref="AQ63">
    <cfRule type="cellIs" dxfId="392" priority="29" operator="lessThan">
      <formula>0</formula>
    </cfRule>
  </conditionalFormatting>
  <conditionalFormatting sqref="AQ63">
    <cfRule type="cellIs" dxfId="391" priority="28" operator="lessThan">
      <formula>0</formula>
    </cfRule>
  </conditionalFormatting>
  <conditionalFormatting sqref="AQ63">
    <cfRule type="cellIs" dxfId="390" priority="27" operator="lessThan">
      <formula>0</formula>
    </cfRule>
  </conditionalFormatting>
  <conditionalFormatting sqref="AQ63">
    <cfRule type="cellIs" dxfId="389" priority="26" operator="lessThan">
      <formula>0</formula>
    </cfRule>
  </conditionalFormatting>
  <conditionalFormatting sqref="AQ63">
    <cfRule type="cellIs" dxfId="388" priority="25" operator="lessThan">
      <formula>0</formula>
    </cfRule>
  </conditionalFormatting>
  <conditionalFormatting sqref="AQ63">
    <cfRule type="cellIs" dxfId="387" priority="24" operator="lessThan">
      <formula>0</formula>
    </cfRule>
  </conditionalFormatting>
  <conditionalFormatting sqref="AQ63">
    <cfRule type="cellIs" dxfId="386" priority="23" operator="lessThan">
      <formula>0</formula>
    </cfRule>
  </conditionalFormatting>
  <conditionalFormatting sqref="AQ63">
    <cfRule type="cellIs" dxfId="385" priority="22" operator="lessThan">
      <formula>0</formula>
    </cfRule>
  </conditionalFormatting>
  <conditionalFormatting sqref="AQ63">
    <cfRule type="cellIs" dxfId="384" priority="21" operator="lessThan">
      <formula>0</formula>
    </cfRule>
  </conditionalFormatting>
  <conditionalFormatting sqref="AQ63">
    <cfRule type="cellIs" dxfId="383" priority="20" operator="lessThan">
      <formula>0</formula>
    </cfRule>
  </conditionalFormatting>
  <conditionalFormatting sqref="AQ63">
    <cfRule type="cellIs" dxfId="382" priority="19" operator="lessThan">
      <formula>0</formula>
    </cfRule>
  </conditionalFormatting>
  <conditionalFormatting sqref="AQ63">
    <cfRule type="cellIs" dxfId="381" priority="18" operator="lessThan">
      <formula>0</formula>
    </cfRule>
  </conditionalFormatting>
  <conditionalFormatting sqref="AQ63">
    <cfRule type="cellIs" dxfId="380" priority="17" operator="lessThan">
      <formula>0</formula>
    </cfRule>
  </conditionalFormatting>
  <conditionalFormatting sqref="AQ63">
    <cfRule type="cellIs" dxfId="379" priority="1" operator="lessThan">
      <formula>0</formula>
    </cfRule>
  </conditionalFormatting>
  <conditionalFormatting sqref="AQ63">
    <cfRule type="cellIs" dxfId="378" priority="16" operator="lessThan">
      <formula>0</formula>
    </cfRule>
  </conditionalFormatting>
  <conditionalFormatting sqref="AQ63">
    <cfRule type="cellIs" dxfId="377" priority="15" operator="lessThan">
      <formula>0</formula>
    </cfRule>
  </conditionalFormatting>
  <conditionalFormatting sqref="AQ63">
    <cfRule type="cellIs" dxfId="376" priority="14" operator="lessThan">
      <formula>0</formula>
    </cfRule>
  </conditionalFormatting>
  <conditionalFormatting sqref="AQ63">
    <cfRule type="cellIs" dxfId="375" priority="13" operator="lessThan">
      <formula>0</formula>
    </cfRule>
  </conditionalFormatting>
  <conditionalFormatting sqref="AQ63">
    <cfRule type="cellIs" dxfId="374" priority="12" operator="lessThan">
      <formula>0</formula>
    </cfRule>
  </conditionalFormatting>
  <conditionalFormatting sqref="AQ63">
    <cfRule type="cellIs" dxfId="373" priority="11" operator="lessThan">
      <formula>0</formula>
    </cfRule>
  </conditionalFormatting>
  <conditionalFormatting sqref="AQ63">
    <cfRule type="cellIs" dxfId="372" priority="10" operator="lessThan">
      <formula>0</formula>
    </cfRule>
  </conditionalFormatting>
  <conditionalFormatting sqref="AQ63">
    <cfRule type="cellIs" dxfId="371" priority="9" operator="lessThan">
      <formula>0</formula>
    </cfRule>
  </conditionalFormatting>
  <conditionalFormatting sqref="AQ63">
    <cfRule type="cellIs" dxfId="370" priority="8" operator="lessThan">
      <formula>0</formula>
    </cfRule>
  </conditionalFormatting>
  <conditionalFormatting sqref="AQ63">
    <cfRule type="cellIs" dxfId="369" priority="7" operator="lessThan">
      <formula>0</formula>
    </cfRule>
  </conditionalFormatting>
  <conditionalFormatting sqref="AQ63">
    <cfRule type="cellIs" dxfId="368" priority="6" operator="lessThan">
      <formula>0</formula>
    </cfRule>
  </conditionalFormatting>
  <conditionalFormatting sqref="AQ63">
    <cfRule type="cellIs" dxfId="367" priority="5" operator="lessThan">
      <formula>0</formula>
    </cfRule>
  </conditionalFormatting>
  <conditionalFormatting sqref="AQ63">
    <cfRule type="cellIs" dxfId="366" priority="4" operator="lessThan">
      <formula>0</formula>
    </cfRule>
  </conditionalFormatting>
  <conditionalFormatting sqref="AQ63">
    <cfRule type="cellIs" dxfId="365" priority="3" operator="lessThan">
      <formula>0</formula>
    </cfRule>
  </conditionalFormatting>
  <conditionalFormatting sqref="AQ63">
    <cfRule type="cellIs" dxfId="364" priority="2" operator="lessThan">
      <formula>0</formula>
    </cfRule>
  </conditionalFormatting>
  <pageMargins left="0.15748031496062992" right="2.3228346456692917" top="0.15748031496062992" bottom="0.19685039370078741" header="0.27559055118110237" footer="0.31496062992125984"/>
  <pageSetup paperSize="9" scale="12" fitToHeight="2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60" id="{8F34EB14-161E-41EA-ACD4-F181306A96A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Z14</xm:sqref>
        </x14:conditionalFormatting>
        <x14:conditionalFormatting xmlns:xm="http://schemas.microsoft.com/office/excel/2006/main">
          <x14:cfRule type="iconSet" priority="2556" id="{4C04D75C-ACCF-4837-9979-7957892AC61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Z46</xm:sqref>
        </x14:conditionalFormatting>
        <x14:conditionalFormatting xmlns:xm="http://schemas.microsoft.com/office/excel/2006/main">
          <x14:cfRule type="iconSet" priority="2553" id="{4AD0F896-D87D-449B-8EBB-A6118B6E0E15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Z34</xm:sqref>
        </x14:conditionalFormatting>
        <x14:conditionalFormatting xmlns:xm="http://schemas.microsoft.com/office/excel/2006/main">
          <x14:cfRule type="iconSet" priority="2549" id="{50A29678-0D1C-4D77-B66D-D05630036DB8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Z70</xm:sqref>
        </x14:conditionalFormatting>
        <x14:conditionalFormatting xmlns:xm="http://schemas.microsoft.com/office/excel/2006/main">
          <x14:cfRule type="iconSet" priority="2539" id="{070030E0-7618-40A5-A46E-61CF5C40C45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Z26</xm:sqref>
        </x14:conditionalFormatting>
        <x14:conditionalFormatting xmlns:xm="http://schemas.microsoft.com/office/excel/2006/main">
          <x14:cfRule type="iconSet" priority="2532" id="{9064C833-806C-4AF0-A73F-D9AABF38B56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Z30</xm:sqref>
        </x14:conditionalFormatting>
        <x14:conditionalFormatting xmlns:xm="http://schemas.microsoft.com/office/excel/2006/main">
          <x14:cfRule type="iconSet" priority="2525" id="{5365178F-13BE-4377-A04F-3B8AA882E154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Z54</xm:sqref>
        </x14:conditionalFormatting>
        <x14:conditionalFormatting xmlns:xm="http://schemas.microsoft.com/office/excel/2006/main">
          <x14:cfRule type="iconSet" priority="2518" id="{000B858F-C9CE-415B-A2A6-AFF0135F3F6D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Z10</xm:sqref>
        </x14:conditionalFormatting>
        <x14:conditionalFormatting xmlns:xm="http://schemas.microsoft.com/office/excel/2006/main">
          <x14:cfRule type="iconSet" priority="2512" id="{CE1EB866-7B76-4663-91DA-4286D70D3B1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Z78</xm:sqref>
        </x14:conditionalFormatting>
        <x14:conditionalFormatting xmlns:xm="http://schemas.microsoft.com/office/excel/2006/main">
          <x14:cfRule type="iconSet" priority="2505" id="{AE444BF5-B3AD-487D-BFF5-5550335666CE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Z42</xm:sqref>
        </x14:conditionalFormatting>
        <x14:conditionalFormatting xmlns:xm="http://schemas.microsoft.com/office/excel/2006/main">
          <x14:cfRule type="iconSet" priority="2495" id="{595A5839-1C80-4F37-B884-421B95D7D25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Z22</xm:sqref>
        </x14:conditionalFormatting>
        <x14:conditionalFormatting xmlns:xm="http://schemas.microsoft.com/office/excel/2006/main">
          <x14:cfRule type="iconSet" priority="2486" id="{DA0F5736-3657-41A7-AC75-711100CF994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Z58</xm:sqref>
        </x14:conditionalFormatting>
        <x14:conditionalFormatting xmlns:xm="http://schemas.microsoft.com/office/excel/2006/main">
          <x14:cfRule type="iconSet" priority="2336" id="{4A8FBE8E-497E-4D1B-8BB1-C06FDD5A0993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</xm:sqref>
        </x14:conditionalFormatting>
        <x14:conditionalFormatting xmlns:xm="http://schemas.microsoft.com/office/excel/2006/main">
          <x14:cfRule type="iconSet" priority="2003" id="{3E6A76F5-8C44-4D21-BB50-74BC96D147BB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Z18</xm:sqref>
        </x14:conditionalFormatting>
        <x14:conditionalFormatting xmlns:xm="http://schemas.microsoft.com/office/excel/2006/main">
          <x14:cfRule type="iconSet" priority="1881" id="{0A74343B-264A-4AFA-A336-56CBC28A81D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Z50</xm:sqref>
        </x14:conditionalFormatting>
        <x14:conditionalFormatting xmlns:xm="http://schemas.microsoft.com/office/excel/2006/main">
          <x14:cfRule type="iconSet" priority="1833" id="{D0C0DD37-0181-4451-8B7F-C25D68B06CAA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Z66</xm:sqref>
        </x14:conditionalFormatting>
        <x14:conditionalFormatting xmlns:xm="http://schemas.microsoft.com/office/excel/2006/main">
          <x14:cfRule type="iconSet" priority="1498" id="{668C7B1B-313F-4E76-A045-8C7DC34566E9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Z74</xm:sqref>
        </x14:conditionalFormatting>
        <x14:conditionalFormatting xmlns:xm="http://schemas.microsoft.com/office/excel/2006/main">
          <x14:cfRule type="iconSet" priority="1257" id="{7DF052FC-F1ED-40E6-9E2E-0FD47D8776D2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Z38</xm:sqref>
        </x14:conditionalFormatting>
        <x14:conditionalFormatting xmlns:xm="http://schemas.microsoft.com/office/excel/2006/main">
          <x14:cfRule type="iconSet" priority="431" id="{56A69B07-203E-4C68-A4C2-0729D390EAD0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4RedToBlack" iconId="3"/>
              <x14:cfIcon iconSet="5Quarters" iconId="0"/>
              <x14:cfIcon iconSet="NoIcons" iconId="0"/>
            </x14:iconSet>
          </x14:cfRule>
          <xm:sqref>Z62</xm:sqref>
        </x14:conditionalFormatting>
      </x14:conditionalFormatting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0"/>
  <sheetViews>
    <sheetView view="pageBreakPreview" topLeftCell="B1" zoomScale="50" zoomScaleNormal="50" zoomScaleSheetLayoutView="50" workbookViewId="0">
      <pane xSplit="8" ySplit="18" topLeftCell="J25" activePane="bottomRight" state="frozen"/>
      <selection activeCell="B1" sqref="B1"/>
      <selection pane="topRight" activeCell="J1" sqref="J1"/>
      <selection pane="bottomLeft" activeCell="B19" sqref="B19"/>
      <selection pane="bottomRight" activeCell="Y38" sqref="Y38"/>
    </sheetView>
  </sheetViews>
  <sheetFormatPr defaultColWidth="7.7109375" defaultRowHeight="32.25" customHeight="1" x14ac:dyDescent="0.25"/>
  <cols>
    <col min="1" max="1" width="2" style="186" hidden="1" customWidth="1"/>
    <col min="2" max="2" width="17" style="186" customWidth="1"/>
    <col min="3" max="4" width="15.28515625" style="186" customWidth="1"/>
    <col min="5" max="5" width="14.140625" style="186" customWidth="1"/>
    <col min="6" max="10" width="15.28515625" style="186" customWidth="1"/>
    <col min="11" max="12" width="15.28515625" style="186" hidden="1" customWidth="1"/>
    <col min="13" max="13" width="14.7109375" style="186" customWidth="1"/>
    <col min="14" max="16" width="15.28515625" style="186" customWidth="1"/>
    <col min="17" max="17" width="13.7109375" style="186" customWidth="1"/>
    <col min="18" max="18" width="15.28515625" style="264" customWidth="1"/>
    <col min="19" max="19" width="14.42578125" style="186" customWidth="1"/>
    <col min="20" max="22" width="15.28515625" style="186" customWidth="1"/>
    <col min="23" max="23" width="15.28515625" style="186" hidden="1" customWidth="1"/>
    <col min="24" max="24" width="18.85546875" style="186" customWidth="1"/>
    <col min="25" max="25" width="16.5703125" style="186" customWidth="1"/>
    <col min="26" max="26" width="1.85546875" style="186" customWidth="1"/>
    <col min="27" max="27" width="9.28515625" style="186" customWidth="1"/>
    <col min="28" max="16384" width="7.7109375" style="186"/>
  </cols>
  <sheetData>
    <row r="1" spans="1:28" ht="21" customHeight="1" x14ac:dyDescent="0.25">
      <c r="A1" s="186" t="s">
        <v>174</v>
      </c>
      <c r="B1" s="186" t="s">
        <v>174</v>
      </c>
      <c r="C1" s="188">
        <v>1</v>
      </c>
      <c r="D1" s="188">
        <v>2</v>
      </c>
      <c r="E1" s="188">
        <v>3</v>
      </c>
      <c r="F1" s="188">
        <v>4</v>
      </c>
      <c r="G1" s="188">
        <v>5</v>
      </c>
      <c r="H1" s="188">
        <v>6</v>
      </c>
      <c r="I1" s="188">
        <v>7</v>
      </c>
      <c r="J1" s="188">
        <v>8</v>
      </c>
      <c r="K1" s="188">
        <v>9</v>
      </c>
      <c r="L1" s="188">
        <v>10</v>
      </c>
      <c r="M1" s="188">
        <v>11</v>
      </c>
      <c r="N1" s="188">
        <v>12</v>
      </c>
      <c r="O1" s="188">
        <v>13</v>
      </c>
      <c r="P1" s="188">
        <v>14</v>
      </c>
      <c r="Q1" s="188">
        <v>15</v>
      </c>
      <c r="R1" s="314">
        <v>16</v>
      </c>
      <c r="S1" s="188">
        <v>17</v>
      </c>
      <c r="T1" s="188">
        <v>18</v>
      </c>
      <c r="U1" s="188">
        <v>19</v>
      </c>
      <c r="V1" s="188">
        <v>20</v>
      </c>
      <c r="W1" s="188">
        <v>22</v>
      </c>
      <c r="X1" s="188" t="s">
        <v>174</v>
      </c>
      <c r="Y1" s="188"/>
      <c r="Z1" s="186" t="s">
        <v>174</v>
      </c>
      <c r="AA1" s="198"/>
      <c r="AB1" s="198">
        <v>0.84499999999999997</v>
      </c>
    </row>
    <row r="2" spans="1:28" ht="30" customHeight="1" x14ac:dyDescent="0.25">
      <c r="B2" s="228" t="s">
        <v>191</v>
      </c>
      <c r="C2" s="201" t="s">
        <v>132</v>
      </c>
      <c r="D2" s="201" t="s">
        <v>133</v>
      </c>
      <c r="E2" s="201" t="s">
        <v>134</v>
      </c>
      <c r="F2" s="201" t="s">
        <v>135</v>
      </c>
      <c r="G2" s="201" t="s">
        <v>136</v>
      </c>
      <c r="H2" s="201" t="s">
        <v>137</v>
      </c>
      <c r="I2" s="201" t="s">
        <v>138</v>
      </c>
      <c r="J2" s="201" t="s">
        <v>139</v>
      </c>
      <c r="K2" s="201" t="s">
        <v>140</v>
      </c>
      <c r="L2" s="201" t="s">
        <v>377</v>
      </c>
      <c r="M2" s="201" t="s">
        <v>141</v>
      </c>
      <c r="N2" s="201" t="s">
        <v>142</v>
      </c>
      <c r="O2" s="201" t="s">
        <v>143</v>
      </c>
      <c r="P2" s="201" t="s">
        <v>144</v>
      </c>
      <c r="Q2" s="201" t="s">
        <v>145</v>
      </c>
      <c r="R2" s="315" t="s">
        <v>146</v>
      </c>
      <c r="S2" s="201" t="s">
        <v>147</v>
      </c>
      <c r="T2" s="201" t="s">
        <v>148</v>
      </c>
      <c r="U2" s="201" t="s">
        <v>149</v>
      </c>
      <c r="V2" s="201" t="s">
        <v>340</v>
      </c>
      <c r="W2" s="201"/>
      <c r="X2" s="229" t="s">
        <v>150</v>
      </c>
      <c r="Y2" s="452" t="s">
        <v>178</v>
      </c>
      <c r="AA2" s="198"/>
      <c r="AB2" s="198"/>
    </row>
    <row r="3" spans="1:28" s="261" customFormat="1" ht="30" hidden="1" customHeight="1" x14ac:dyDescent="0.25">
      <c r="B3" s="262">
        <v>46023</v>
      </c>
      <c r="C3" s="263">
        <f ca="1">+C50</f>
        <v>0.68555564121841284</v>
      </c>
      <c r="D3" s="263">
        <f t="shared" ref="D3:Y3" ca="1" si="0">+D50</f>
        <v>0.7659142119659752</v>
      </c>
      <c r="E3" s="263" t="str">
        <f t="shared" ca="1" si="0"/>
        <v/>
      </c>
      <c r="F3" s="263">
        <f t="shared" ca="1" si="0"/>
        <v>0.68604000388702224</v>
      </c>
      <c r="G3" s="263">
        <f t="shared" ca="1" si="0"/>
        <v>0.72168946738899808</v>
      </c>
      <c r="H3" s="263">
        <f t="shared" ca="1" si="0"/>
        <v>0.77780916724006832</v>
      </c>
      <c r="I3" s="263">
        <f t="shared" ca="1" si="0"/>
        <v>0.71896924889239799</v>
      </c>
      <c r="J3" s="263">
        <f t="shared" ca="1" si="0"/>
        <v>0.81415685508631364</v>
      </c>
      <c r="K3" s="263" t="str">
        <f t="shared" ca="1" si="0"/>
        <v/>
      </c>
      <c r="L3" s="263" t="str">
        <f t="shared" ca="1" si="0"/>
        <v/>
      </c>
      <c r="M3" s="263">
        <f t="shared" ca="1" si="0"/>
        <v>0.70344098412247125</v>
      </c>
      <c r="N3" s="263" t="str">
        <f t="shared" ca="1" si="0"/>
        <v/>
      </c>
      <c r="O3" s="263">
        <f t="shared" ca="1" si="0"/>
        <v>0.50678675984158039</v>
      </c>
      <c r="P3" s="263">
        <f t="shared" ca="1" si="0"/>
        <v>0.67953788729816433</v>
      </c>
      <c r="Q3" s="263">
        <f t="shared" ca="1" si="0"/>
        <v>0.52429487603242519</v>
      </c>
      <c r="R3" s="263">
        <f t="shared" ca="1" si="0"/>
        <v>0.46305855723462463</v>
      </c>
      <c r="S3" s="263">
        <f t="shared" ca="1" si="0"/>
        <v>0.67876102016074458</v>
      </c>
      <c r="T3" s="263">
        <f t="shared" ca="1" si="0"/>
        <v>0.75862667821398344</v>
      </c>
      <c r="U3" s="263" t="str">
        <f t="shared" ca="1" si="0"/>
        <v/>
      </c>
      <c r="V3" s="263" t="str">
        <f t="shared" ca="1" si="0"/>
        <v/>
      </c>
      <c r="W3" s="263" t="str">
        <f t="shared" ca="1" si="0"/>
        <v/>
      </c>
      <c r="X3" s="263">
        <f t="shared" ca="1" si="0"/>
        <v>0.68178957601073709</v>
      </c>
      <c r="Y3" s="263">
        <f t="shared" si="0"/>
        <v>0.78374999999999995</v>
      </c>
    </row>
    <row r="4" spans="1:28" s="261" customFormat="1" ht="30" hidden="1" customHeight="1" x14ac:dyDescent="0.25">
      <c r="B4" s="262">
        <v>46054</v>
      </c>
      <c r="C4" s="452" t="s">
        <v>182</v>
      </c>
      <c r="D4" s="452" t="s">
        <v>182</v>
      </c>
      <c r="E4" s="452" t="s">
        <v>182</v>
      </c>
      <c r="F4" s="452" t="s">
        <v>182</v>
      </c>
      <c r="G4" s="452" t="s">
        <v>182</v>
      </c>
      <c r="H4" s="452" t="s">
        <v>182</v>
      </c>
      <c r="I4" s="452" t="s">
        <v>182</v>
      </c>
      <c r="J4" s="452" t="s">
        <v>182</v>
      </c>
      <c r="K4" s="452" t="s">
        <v>182</v>
      </c>
      <c r="L4" s="452" t="s">
        <v>182</v>
      </c>
      <c r="M4" s="452" t="s">
        <v>182</v>
      </c>
      <c r="N4" s="452" t="s">
        <v>182</v>
      </c>
      <c r="O4" s="452" t="s">
        <v>182</v>
      </c>
      <c r="P4" s="452" t="s">
        <v>182</v>
      </c>
      <c r="Q4" s="452" t="s">
        <v>182</v>
      </c>
      <c r="R4" s="452" t="s">
        <v>182</v>
      </c>
      <c r="S4" s="452" t="s">
        <v>182</v>
      </c>
      <c r="T4" s="452" t="s">
        <v>182</v>
      </c>
      <c r="U4" s="452" t="s">
        <v>182</v>
      </c>
      <c r="V4" s="452" t="s">
        <v>182</v>
      </c>
      <c r="W4" s="452" t="s">
        <v>182</v>
      </c>
      <c r="X4" s="452" t="s">
        <v>182</v>
      </c>
      <c r="Y4" s="452" t="s">
        <v>182</v>
      </c>
    </row>
    <row r="5" spans="1:28" s="261" customFormat="1" ht="30" hidden="1" customHeight="1" x14ac:dyDescent="0.25">
      <c r="B5" s="262">
        <v>46082</v>
      </c>
      <c r="C5" s="452" t="s">
        <v>182</v>
      </c>
      <c r="D5" s="452" t="s">
        <v>182</v>
      </c>
      <c r="E5" s="452" t="s">
        <v>182</v>
      </c>
      <c r="F5" s="452" t="s">
        <v>182</v>
      </c>
      <c r="G5" s="452" t="s">
        <v>182</v>
      </c>
      <c r="H5" s="452" t="s">
        <v>182</v>
      </c>
      <c r="I5" s="452" t="s">
        <v>182</v>
      </c>
      <c r="J5" s="452" t="s">
        <v>182</v>
      </c>
      <c r="K5" s="452" t="s">
        <v>182</v>
      </c>
      <c r="L5" s="452" t="s">
        <v>182</v>
      </c>
      <c r="M5" s="452" t="s">
        <v>182</v>
      </c>
      <c r="N5" s="452" t="s">
        <v>182</v>
      </c>
      <c r="O5" s="452" t="s">
        <v>182</v>
      </c>
      <c r="P5" s="452" t="s">
        <v>182</v>
      </c>
      <c r="Q5" s="452" t="s">
        <v>182</v>
      </c>
      <c r="R5" s="452" t="s">
        <v>182</v>
      </c>
      <c r="S5" s="452" t="s">
        <v>182</v>
      </c>
      <c r="T5" s="452" t="s">
        <v>182</v>
      </c>
      <c r="U5" s="452" t="s">
        <v>182</v>
      </c>
      <c r="V5" s="452" t="s">
        <v>182</v>
      </c>
      <c r="W5" s="452" t="s">
        <v>182</v>
      </c>
      <c r="X5" s="452" t="s">
        <v>182</v>
      </c>
      <c r="Y5" s="452" t="s">
        <v>182</v>
      </c>
    </row>
    <row r="6" spans="1:28" s="261" customFormat="1" ht="30" hidden="1" customHeight="1" x14ac:dyDescent="0.25">
      <c r="B6" s="262">
        <v>46113</v>
      </c>
      <c r="C6" s="452" t="s">
        <v>182</v>
      </c>
      <c r="D6" s="452" t="s">
        <v>182</v>
      </c>
      <c r="E6" s="452" t="s">
        <v>182</v>
      </c>
      <c r="F6" s="452" t="s">
        <v>182</v>
      </c>
      <c r="G6" s="452" t="s">
        <v>182</v>
      </c>
      <c r="H6" s="452" t="s">
        <v>182</v>
      </c>
      <c r="I6" s="452" t="s">
        <v>182</v>
      </c>
      <c r="J6" s="452" t="s">
        <v>182</v>
      </c>
      <c r="K6" s="452" t="s">
        <v>182</v>
      </c>
      <c r="L6" s="452" t="s">
        <v>182</v>
      </c>
      <c r="M6" s="452" t="s">
        <v>182</v>
      </c>
      <c r="N6" s="452" t="s">
        <v>182</v>
      </c>
      <c r="O6" s="452" t="s">
        <v>182</v>
      </c>
      <c r="P6" s="452" t="s">
        <v>182</v>
      </c>
      <c r="Q6" s="452" t="s">
        <v>182</v>
      </c>
      <c r="R6" s="452" t="s">
        <v>182</v>
      </c>
      <c r="S6" s="452" t="s">
        <v>182</v>
      </c>
      <c r="T6" s="452" t="s">
        <v>182</v>
      </c>
      <c r="U6" s="452" t="s">
        <v>182</v>
      </c>
      <c r="V6" s="452" t="s">
        <v>182</v>
      </c>
      <c r="W6" s="452" t="s">
        <v>182</v>
      </c>
      <c r="X6" s="452" t="s">
        <v>182</v>
      </c>
      <c r="Y6" s="452" t="s">
        <v>182</v>
      </c>
    </row>
    <row r="7" spans="1:28" s="261" customFormat="1" ht="30" hidden="1" customHeight="1" x14ac:dyDescent="0.25">
      <c r="B7" s="262">
        <v>46143</v>
      </c>
      <c r="C7" s="452" t="s">
        <v>182</v>
      </c>
      <c r="D7" s="452" t="s">
        <v>182</v>
      </c>
      <c r="E7" s="452" t="s">
        <v>182</v>
      </c>
      <c r="F7" s="452" t="s">
        <v>182</v>
      </c>
      <c r="G7" s="452" t="s">
        <v>182</v>
      </c>
      <c r="H7" s="452" t="s">
        <v>182</v>
      </c>
      <c r="I7" s="452" t="s">
        <v>182</v>
      </c>
      <c r="J7" s="452" t="s">
        <v>182</v>
      </c>
      <c r="K7" s="452" t="s">
        <v>182</v>
      </c>
      <c r="L7" s="452" t="s">
        <v>182</v>
      </c>
      <c r="M7" s="452" t="s">
        <v>182</v>
      </c>
      <c r="N7" s="452" t="s">
        <v>182</v>
      </c>
      <c r="O7" s="452" t="s">
        <v>182</v>
      </c>
      <c r="P7" s="452" t="s">
        <v>182</v>
      </c>
      <c r="Q7" s="452" t="s">
        <v>182</v>
      </c>
      <c r="R7" s="452" t="s">
        <v>182</v>
      </c>
      <c r="S7" s="452" t="s">
        <v>182</v>
      </c>
      <c r="T7" s="452" t="s">
        <v>182</v>
      </c>
      <c r="U7" s="452" t="s">
        <v>182</v>
      </c>
      <c r="V7" s="452" t="s">
        <v>182</v>
      </c>
      <c r="W7" s="452" t="s">
        <v>182</v>
      </c>
      <c r="X7" s="452" t="s">
        <v>182</v>
      </c>
      <c r="Y7" s="452" t="s">
        <v>182</v>
      </c>
    </row>
    <row r="8" spans="1:28" s="261" customFormat="1" ht="30" hidden="1" customHeight="1" x14ac:dyDescent="0.25">
      <c r="B8" s="262">
        <v>46174</v>
      </c>
      <c r="C8" s="452" t="s">
        <v>182</v>
      </c>
      <c r="D8" s="452" t="s">
        <v>182</v>
      </c>
      <c r="E8" s="452" t="s">
        <v>182</v>
      </c>
      <c r="F8" s="452" t="s">
        <v>182</v>
      </c>
      <c r="G8" s="452" t="s">
        <v>182</v>
      </c>
      <c r="H8" s="452" t="s">
        <v>182</v>
      </c>
      <c r="I8" s="452" t="s">
        <v>182</v>
      </c>
      <c r="J8" s="452" t="s">
        <v>182</v>
      </c>
      <c r="K8" s="452" t="s">
        <v>182</v>
      </c>
      <c r="L8" s="452" t="s">
        <v>182</v>
      </c>
      <c r="M8" s="452" t="s">
        <v>182</v>
      </c>
      <c r="N8" s="452" t="s">
        <v>182</v>
      </c>
      <c r="O8" s="452" t="s">
        <v>182</v>
      </c>
      <c r="P8" s="452" t="s">
        <v>182</v>
      </c>
      <c r="Q8" s="452" t="s">
        <v>182</v>
      </c>
      <c r="R8" s="452" t="s">
        <v>182</v>
      </c>
      <c r="S8" s="452" t="s">
        <v>182</v>
      </c>
      <c r="T8" s="452" t="s">
        <v>182</v>
      </c>
      <c r="U8" s="452" t="s">
        <v>182</v>
      </c>
      <c r="V8" s="452" t="s">
        <v>182</v>
      </c>
      <c r="W8" s="452" t="s">
        <v>182</v>
      </c>
      <c r="X8" s="452" t="s">
        <v>182</v>
      </c>
      <c r="Y8" s="452" t="s">
        <v>182</v>
      </c>
    </row>
    <row r="9" spans="1:28" s="261" customFormat="1" ht="30" hidden="1" customHeight="1" x14ac:dyDescent="0.25">
      <c r="B9" s="262">
        <v>46204</v>
      </c>
      <c r="C9" s="452" t="s">
        <v>182</v>
      </c>
      <c r="D9" s="452" t="s">
        <v>182</v>
      </c>
      <c r="E9" s="452" t="s">
        <v>182</v>
      </c>
      <c r="F9" s="452" t="s">
        <v>182</v>
      </c>
      <c r="G9" s="452" t="s">
        <v>182</v>
      </c>
      <c r="H9" s="452" t="s">
        <v>182</v>
      </c>
      <c r="I9" s="452" t="s">
        <v>182</v>
      </c>
      <c r="J9" s="452" t="s">
        <v>182</v>
      </c>
      <c r="K9" s="452" t="s">
        <v>182</v>
      </c>
      <c r="L9" s="452" t="s">
        <v>182</v>
      </c>
      <c r="M9" s="452" t="s">
        <v>182</v>
      </c>
      <c r="N9" s="452" t="s">
        <v>182</v>
      </c>
      <c r="O9" s="452" t="s">
        <v>182</v>
      </c>
      <c r="P9" s="452" t="s">
        <v>182</v>
      </c>
      <c r="Q9" s="452" t="s">
        <v>182</v>
      </c>
      <c r="R9" s="452" t="s">
        <v>182</v>
      </c>
      <c r="S9" s="452" t="s">
        <v>182</v>
      </c>
      <c r="T9" s="452" t="s">
        <v>182</v>
      </c>
      <c r="U9" s="452" t="s">
        <v>182</v>
      </c>
      <c r="V9" s="452" t="s">
        <v>182</v>
      </c>
      <c r="W9" s="452" t="s">
        <v>182</v>
      </c>
      <c r="X9" s="452" t="s">
        <v>182</v>
      </c>
      <c r="Y9" s="452" t="s">
        <v>182</v>
      </c>
    </row>
    <row r="10" spans="1:28" s="261" customFormat="1" ht="30" hidden="1" customHeight="1" x14ac:dyDescent="0.25">
      <c r="B10" s="262">
        <v>46235</v>
      </c>
      <c r="C10" s="452" t="s">
        <v>182</v>
      </c>
      <c r="D10" s="452" t="s">
        <v>182</v>
      </c>
      <c r="E10" s="452" t="s">
        <v>182</v>
      </c>
      <c r="F10" s="452" t="s">
        <v>182</v>
      </c>
      <c r="G10" s="452" t="s">
        <v>182</v>
      </c>
      <c r="H10" s="452" t="s">
        <v>182</v>
      </c>
      <c r="I10" s="452" t="s">
        <v>182</v>
      </c>
      <c r="J10" s="452" t="s">
        <v>182</v>
      </c>
      <c r="K10" s="452" t="s">
        <v>182</v>
      </c>
      <c r="L10" s="452" t="s">
        <v>182</v>
      </c>
      <c r="M10" s="452" t="s">
        <v>182</v>
      </c>
      <c r="N10" s="452" t="s">
        <v>182</v>
      </c>
      <c r="O10" s="452" t="s">
        <v>182</v>
      </c>
      <c r="P10" s="452" t="s">
        <v>182</v>
      </c>
      <c r="Q10" s="452" t="s">
        <v>182</v>
      </c>
      <c r="R10" s="452" t="s">
        <v>182</v>
      </c>
      <c r="S10" s="452" t="s">
        <v>182</v>
      </c>
      <c r="T10" s="452" t="s">
        <v>182</v>
      </c>
      <c r="U10" s="452" t="s">
        <v>182</v>
      </c>
      <c r="V10" s="452" t="s">
        <v>182</v>
      </c>
      <c r="W10" s="452" t="s">
        <v>182</v>
      </c>
      <c r="X10" s="452" t="s">
        <v>182</v>
      </c>
      <c r="Y10" s="452" t="s">
        <v>182</v>
      </c>
    </row>
    <row r="11" spans="1:28" s="261" customFormat="1" ht="30" hidden="1" customHeight="1" x14ac:dyDescent="0.25">
      <c r="B11" s="262">
        <v>46266</v>
      </c>
      <c r="C11" s="452" t="s">
        <v>182</v>
      </c>
      <c r="D11" s="452" t="s">
        <v>182</v>
      </c>
      <c r="E11" s="452" t="s">
        <v>182</v>
      </c>
      <c r="F11" s="452" t="s">
        <v>182</v>
      </c>
      <c r="G11" s="452" t="s">
        <v>182</v>
      </c>
      <c r="H11" s="452" t="s">
        <v>182</v>
      </c>
      <c r="I11" s="452" t="s">
        <v>182</v>
      </c>
      <c r="J11" s="452" t="s">
        <v>182</v>
      </c>
      <c r="K11" s="452" t="s">
        <v>182</v>
      </c>
      <c r="L11" s="452" t="s">
        <v>182</v>
      </c>
      <c r="M11" s="452" t="s">
        <v>182</v>
      </c>
      <c r="N11" s="452" t="s">
        <v>182</v>
      </c>
      <c r="O11" s="452" t="s">
        <v>182</v>
      </c>
      <c r="P11" s="452" t="s">
        <v>182</v>
      </c>
      <c r="Q11" s="452" t="s">
        <v>182</v>
      </c>
      <c r="R11" s="452" t="s">
        <v>182</v>
      </c>
      <c r="S11" s="452" t="s">
        <v>182</v>
      </c>
      <c r="T11" s="452" t="s">
        <v>182</v>
      </c>
      <c r="U11" s="452" t="s">
        <v>182</v>
      </c>
      <c r="V11" s="452" t="s">
        <v>182</v>
      </c>
      <c r="W11" s="452" t="s">
        <v>182</v>
      </c>
      <c r="X11" s="452" t="s">
        <v>182</v>
      </c>
      <c r="Y11" s="452" t="s">
        <v>182</v>
      </c>
    </row>
    <row r="12" spans="1:28" s="261" customFormat="1" ht="30" hidden="1" customHeight="1" x14ac:dyDescent="0.25">
      <c r="B12" s="262">
        <v>46296</v>
      </c>
      <c r="C12" s="452" t="s">
        <v>182</v>
      </c>
      <c r="D12" s="452" t="s">
        <v>182</v>
      </c>
      <c r="E12" s="452" t="s">
        <v>182</v>
      </c>
      <c r="F12" s="452" t="s">
        <v>182</v>
      </c>
      <c r="G12" s="452" t="s">
        <v>182</v>
      </c>
      <c r="H12" s="452" t="s">
        <v>182</v>
      </c>
      <c r="I12" s="452" t="s">
        <v>182</v>
      </c>
      <c r="J12" s="452" t="s">
        <v>182</v>
      </c>
      <c r="K12" s="452" t="s">
        <v>182</v>
      </c>
      <c r="L12" s="452" t="s">
        <v>182</v>
      </c>
      <c r="M12" s="452" t="s">
        <v>182</v>
      </c>
      <c r="N12" s="452" t="s">
        <v>182</v>
      </c>
      <c r="O12" s="452" t="s">
        <v>182</v>
      </c>
      <c r="P12" s="452" t="s">
        <v>182</v>
      </c>
      <c r="Q12" s="452" t="s">
        <v>182</v>
      </c>
      <c r="R12" s="452" t="s">
        <v>182</v>
      </c>
      <c r="S12" s="452" t="s">
        <v>182</v>
      </c>
      <c r="T12" s="452" t="s">
        <v>182</v>
      </c>
      <c r="U12" s="452" t="s">
        <v>182</v>
      </c>
      <c r="V12" s="452" t="s">
        <v>182</v>
      </c>
      <c r="W12" s="452" t="s">
        <v>182</v>
      </c>
      <c r="X12" s="452" t="s">
        <v>182</v>
      </c>
      <c r="Y12" s="452" t="s">
        <v>182</v>
      </c>
    </row>
    <row r="13" spans="1:28" s="261" customFormat="1" ht="30" hidden="1" customHeight="1" x14ac:dyDescent="0.25">
      <c r="B13" s="262">
        <v>46327</v>
      </c>
      <c r="C13" s="452" t="s">
        <v>182</v>
      </c>
      <c r="D13" s="452" t="s">
        <v>182</v>
      </c>
      <c r="E13" s="452" t="s">
        <v>182</v>
      </c>
      <c r="F13" s="452" t="s">
        <v>182</v>
      </c>
      <c r="G13" s="452" t="s">
        <v>182</v>
      </c>
      <c r="H13" s="452" t="s">
        <v>182</v>
      </c>
      <c r="I13" s="452" t="s">
        <v>182</v>
      </c>
      <c r="J13" s="452" t="s">
        <v>182</v>
      </c>
      <c r="K13" s="452" t="s">
        <v>182</v>
      </c>
      <c r="L13" s="452" t="s">
        <v>182</v>
      </c>
      <c r="M13" s="452" t="s">
        <v>182</v>
      </c>
      <c r="N13" s="452" t="s">
        <v>182</v>
      </c>
      <c r="O13" s="452" t="s">
        <v>182</v>
      </c>
      <c r="P13" s="452" t="s">
        <v>182</v>
      </c>
      <c r="Q13" s="452" t="s">
        <v>182</v>
      </c>
      <c r="R13" s="452" t="s">
        <v>182</v>
      </c>
      <c r="S13" s="452" t="s">
        <v>182</v>
      </c>
      <c r="T13" s="452" t="s">
        <v>182</v>
      </c>
      <c r="U13" s="452" t="s">
        <v>182</v>
      </c>
      <c r="V13" s="452" t="s">
        <v>182</v>
      </c>
      <c r="W13" s="452" t="s">
        <v>182</v>
      </c>
      <c r="X13" s="452" t="s">
        <v>182</v>
      </c>
      <c r="Y13" s="452" t="s">
        <v>182</v>
      </c>
    </row>
    <row r="14" spans="1:28" s="261" customFormat="1" ht="30" hidden="1" customHeight="1" x14ac:dyDescent="0.25">
      <c r="B14" s="262">
        <v>46357</v>
      </c>
      <c r="C14" s="452" t="s">
        <v>182</v>
      </c>
      <c r="D14" s="452" t="s">
        <v>182</v>
      </c>
      <c r="E14" s="452" t="s">
        <v>182</v>
      </c>
      <c r="F14" s="452" t="s">
        <v>182</v>
      </c>
      <c r="G14" s="452" t="s">
        <v>182</v>
      </c>
      <c r="H14" s="452" t="s">
        <v>182</v>
      </c>
      <c r="I14" s="452" t="s">
        <v>182</v>
      </c>
      <c r="J14" s="452" t="s">
        <v>182</v>
      </c>
      <c r="K14" s="452" t="s">
        <v>182</v>
      </c>
      <c r="L14" s="452" t="s">
        <v>182</v>
      </c>
      <c r="M14" s="452" t="s">
        <v>182</v>
      </c>
      <c r="N14" s="452" t="s">
        <v>182</v>
      </c>
      <c r="O14" s="452" t="s">
        <v>182</v>
      </c>
      <c r="P14" s="452" t="s">
        <v>182</v>
      </c>
      <c r="Q14" s="452" t="s">
        <v>182</v>
      </c>
      <c r="R14" s="452" t="s">
        <v>182</v>
      </c>
      <c r="S14" s="452" t="s">
        <v>182</v>
      </c>
      <c r="T14" s="452" t="s">
        <v>182</v>
      </c>
      <c r="U14" s="452" t="s">
        <v>182</v>
      </c>
      <c r="V14" s="452" t="s">
        <v>182</v>
      </c>
      <c r="W14" s="452" t="s">
        <v>182</v>
      </c>
      <c r="X14" s="452" t="s">
        <v>182</v>
      </c>
      <c r="Y14" s="452" t="s">
        <v>182</v>
      </c>
    </row>
    <row r="15" spans="1:28" s="264" customFormat="1" ht="42" hidden="1" customHeight="1" x14ac:dyDescent="0.25">
      <c r="B15" s="265" t="s">
        <v>194</v>
      </c>
      <c r="C15" s="263">
        <f ca="1">+AVERAGE(C3:C14)</f>
        <v>0.68555564121841284</v>
      </c>
      <c r="D15" s="263">
        <f t="shared" ref="D15:Y15" ca="1" si="1">+AVERAGE(D3:D14)</f>
        <v>0.7659142119659752</v>
      </c>
      <c r="E15" s="263" t="e">
        <f t="shared" ca="1" si="1"/>
        <v>#DIV/0!</v>
      </c>
      <c r="F15" s="263">
        <f t="shared" ca="1" si="1"/>
        <v>0.68604000388702224</v>
      </c>
      <c r="G15" s="263">
        <f t="shared" ca="1" si="1"/>
        <v>0.72168946738899808</v>
      </c>
      <c r="H15" s="263">
        <f t="shared" ca="1" si="1"/>
        <v>0.77780916724006832</v>
      </c>
      <c r="I15" s="263">
        <f t="shared" ca="1" si="1"/>
        <v>0.71896924889239799</v>
      </c>
      <c r="J15" s="263">
        <f t="shared" ca="1" si="1"/>
        <v>0.81415685508631364</v>
      </c>
      <c r="K15" s="263" t="e">
        <f t="shared" ca="1" si="1"/>
        <v>#DIV/0!</v>
      </c>
      <c r="L15" s="452" t="s">
        <v>182</v>
      </c>
      <c r="M15" s="263">
        <f t="shared" ca="1" si="1"/>
        <v>0.70344098412247125</v>
      </c>
      <c r="N15" s="263" t="e">
        <f t="shared" ca="1" si="1"/>
        <v>#DIV/0!</v>
      </c>
      <c r="O15" s="263">
        <f t="shared" ca="1" si="1"/>
        <v>0.50678675984158039</v>
      </c>
      <c r="P15" s="263">
        <f t="shared" ca="1" si="1"/>
        <v>0.67953788729816433</v>
      </c>
      <c r="Q15" s="263">
        <f t="shared" ca="1" si="1"/>
        <v>0.52429487603242519</v>
      </c>
      <c r="R15" s="263" t="s">
        <v>182</v>
      </c>
      <c r="S15" s="263">
        <f t="shared" ca="1" si="1"/>
        <v>0.67876102016074458</v>
      </c>
      <c r="T15" s="263">
        <f t="shared" ca="1" si="1"/>
        <v>0.75862667821398344</v>
      </c>
      <c r="U15" s="263" t="e">
        <f t="shared" ca="1" si="1"/>
        <v>#DIV/0!</v>
      </c>
      <c r="V15" s="263" t="s">
        <v>182</v>
      </c>
      <c r="W15" s="263" t="e">
        <f t="shared" ca="1" si="1"/>
        <v>#DIV/0!</v>
      </c>
      <c r="X15" s="263">
        <f ca="1">+AVERAGE(X3:X14)</f>
        <v>0.68178957601073709</v>
      </c>
      <c r="Y15" s="263">
        <f t="shared" si="1"/>
        <v>0.78374999999999995</v>
      </c>
      <c r="Z15" s="261"/>
    </row>
    <row r="16" spans="1:28" ht="21" customHeight="1" x14ac:dyDescent="0.25">
      <c r="C16" s="242"/>
      <c r="D16" s="242"/>
      <c r="E16" s="242"/>
      <c r="F16" s="242"/>
      <c r="G16" s="242"/>
      <c r="H16" s="242"/>
      <c r="I16" s="242"/>
      <c r="J16" s="242"/>
      <c r="K16" s="242"/>
      <c r="L16" s="242"/>
      <c r="M16" s="242"/>
      <c r="N16" s="242"/>
      <c r="O16" s="242"/>
      <c r="P16" s="242"/>
      <c r="Q16" s="242"/>
      <c r="R16" s="316"/>
      <c r="S16" s="242"/>
      <c r="T16" s="242"/>
      <c r="U16" s="242"/>
      <c r="V16" s="242"/>
      <c r="W16" s="242"/>
      <c r="X16" s="242"/>
      <c r="Y16" s="242"/>
      <c r="AA16" s="198"/>
      <c r="AB16" s="198"/>
    </row>
    <row r="17" spans="1:28" s="200" customFormat="1" ht="32.25" customHeight="1" x14ac:dyDescent="0.25">
      <c r="A17" s="200" t="s">
        <v>174</v>
      </c>
      <c r="B17" s="200" t="s">
        <v>174</v>
      </c>
      <c r="C17" s="201" t="s">
        <v>132</v>
      </c>
      <c r="D17" s="201" t="s">
        <v>133</v>
      </c>
      <c r="E17" s="201" t="s">
        <v>134</v>
      </c>
      <c r="F17" s="201" t="s">
        <v>135</v>
      </c>
      <c r="G17" s="201" t="s">
        <v>136</v>
      </c>
      <c r="H17" s="201" t="s">
        <v>137</v>
      </c>
      <c r="I17" s="201" t="s">
        <v>138</v>
      </c>
      <c r="J17" s="201" t="s">
        <v>139</v>
      </c>
      <c r="K17" s="201" t="s">
        <v>140</v>
      </c>
      <c r="L17" s="201" t="s">
        <v>377</v>
      </c>
      <c r="M17" s="201" t="s">
        <v>141</v>
      </c>
      <c r="N17" s="201" t="s">
        <v>142</v>
      </c>
      <c r="O17" s="201" t="s">
        <v>143</v>
      </c>
      <c r="P17" s="201" t="s">
        <v>144</v>
      </c>
      <c r="Q17" s="201" t="s">
        <v>145</v>
      </c>
      <c r="R17" s="315" t="s">
        <v>146</v>
      </c>
      <c r="S17" s="201" t="s">
        <v>147</v>
      </c>
      <c r="T17" s="201" t="s">
        <v>148</v>
      </c>
      <c r="U17" s="201" t="s">
        <v>149</v>
      </c>
      <c r="V17" s="201" t="s">
        <v>339</v>
      </c>
      <c r="W17" s="201" t="s">
        <v>176</v>
      </c>
      <c r="X17" s="202" t="s">
        <v>150</v>
      </c>
      <c r="Y17" s="221" t="s">
        <v>178</v>
      </c>
      <c r="Z17" s="203">
        <v>0.84499999999999997</v>
      </c>
      <c r="AA17" s="204"/>
      <c r="AB17" s="200" t="s">
        <v>174</v>
      </c>
    </row>
    <row r="18" spans="1:28" ht="25.5" customHeight="1" x14ac:dyDescent="0.25">
      <c r="A18" s="186" t="s">
        <v>174</v>
      </c>
      <c r="B18" s="186" t="s">
        <v>174</v>
      </c>
      <c r="C18" s="205" t="s">
        <v>281</v>
      </c>
      <c r="D18" s="205" t="s">
        <v>421</v>
      </c>
      <c r="E18" s="205"/>
      <c r="F18" s="205" t="s">
        <v>437</v>
      </c>
      <c r="G18" s="205" t="s">
        <v>282</v>
      </c>
      <c r="H18" s="205" t="s">
        <v>364</v>
      </c>
      <c r="I18" s="205" t="s">
        <v>279</v>
      </c>
      <c r="J18" s="205" t="s">
        <v>280</v>
      </c>
      <c r="K18" s="205"/>
      <c r="L18" s="205"/>
      <c r="M18" s="205" t="s">
        <v>411</v>
      </c>
      <c r="N18" s="205"/>
      <c r="O18" s="205" t="s">
        <v>378</v>
      </c>
      <c r="P18" s="207" t="s">
        <v>278</v>
      </c>
      <c r="Q18" s="205" t="s">
        <v>279</v>
      </c>
      <c r="R18" s="317" t="s">
        <v>152</v>
      </c>
      <c r="S18" s="205" t="s">
        <v>378</v>
      </c>
      <c r="T18" s="205" t="s">
        <v>283</v>
      </c>
      <c r="U18" s="207"/>
      <c r="V18" s="205"/>
      <c r="W18" s="205" t="s">
        <v>179</v>
      </c>
      <c r="X18" s="206" t="s">
        <v>174</v>
      </c>
      <c r="Y18" s="206"/>
      <c r="Z18" s="197" t="s">
        <v>174</v>
      </c>
      <c r="AB18" s="186" t="s">
        <v>174</v>
      </c>
    </row>
    <row r="19" spans="1:28" ht="32.25" customHeight="1" x14ac:dyDescent="0.25">
      <c r="A19" s="186" t="s">
        <v>174</v>
      </c>
      <c r="B19" s="459" t="s">
        <v>438</v>
      </c>
      <c r="C19" s="452">
        <f ca="1">+IFERROR(SUMIF(INDIRECT("'" &amp; B19 &amp; "'!$B:$B"),$C$1,INDIRECT("'" &amp; B19 &amp; "'!$ah:$ah"))/SUMIF(INDIRECT("'" &amp; B19 &amp; "'!$B:$B"),$C$1,INDIRECT("'" &amp; B19 &amp; "'!$AG:$AG")),"")</f>
        <v>0.87381818181818183</v>
      </c>
      <c r="D19" s="452">
        <f ca="1">+IFERROR(SUMIF(INDIRECT("'" &amp; B19 &amp; "'!$B:$B"),$D$1,INDIRECT("'" &amp; B19 &amp; "'!$ah:$ah"))/SUMIF(INDIRECT("'" &amp; B19 &amp; "'!$B:$B"),$D$1,INDIRECT("'" &amp; B19 &amp; "'!$AG:$AG")),"")</f>
        <v>0.87381818181818183</v>
      </c>
      <c r="E19" s="452" t="str">
        <f ca="1">+IFERROR(SUMIF(INDIRECT("'" &amp; B19 &amp; "'!$B:$B"),$E$1,INDIRECT("'" &amp; B19 &amp; "'!$ah:$ah"))/SUMIF(INDIRECT("'" &amp; B19 &amp; "'!$B:$B"),$E$1,INDIRECT("'" &amp; B19 &amp; "'!$AG:$AG")),"")</f>
        <v/>
      </c>
      <c r="F19" s="452" t="str">
        <f ca="1">+IFERROR(SUMIF(INDIRECT("'" &amp; B19 &amp; "'!$B:$B"),$F$1,INDIRECT("'" &amp; B19 &amp; "'!$ah:$ah"))/SUMIF(INDIRECT("'" &amp; B19 &amp; "'!$B:$B"),$F$1,INDIRECT("'" &amp; B19 &amp; "'!$AG:$AG")),"")</f>
        <v/>
      </c>
      <c r="G19" s="452">
        <f ca="1">+IFERROR(SUMIF(INDIRECT("'" &amp; B19 &amp; "'!$B:$B"),$G$1,INDIRECT("'" &amp; B19 &amp; "'!$ah:$ah"))/SUMIF(INDIRECT("'" &amp; B19 &amp; "'!$B:$B"),$G$1,INDIRECT("'" &amp; B19 &amp; "'!$AG:$AG")),"")</f>
        <v>0.62867346938775515</v>
      </c>
      <c r="H19" s="452">
        <f ca="1">+IFERROR(SUMIF(INDIRECT("'" &amp; B19 &amp; "'!$B:$B"),$H$1,INDIRECT("'" &amp; B19 &amp; "'!$ah:$ah"))/SUMIF(INDIRECT("'" &amp; B19 &amp; "'!$B:$B"),$H$1,INDIRECT("'" &amp; B19 &amp; "'!$AG:$AG")),"")</f>
        <v>0.83479492317969273</v>
      </c>
      <c r="I19" s="452">
        <f ca="1">+IFERROR(SUMIF(INDIRECT("'" &amp; B19 &amp; "'!$B:$B"),$I$1,INDIRECT("'" &amp; B19 &amp; "'!$ah:$ah"))/SUMIF(INDIRECT("'" &amp; B19 &amp; "'!$B:$B"),$I$1,INDIRECT("'" &amp; B19 &amp; "'!$AG:$AG")),"")</f>
        <v>0.69495536309127237</v>
      </c>
      <c r="J19" s="452">
        <f ca="1">+IFERROR(SUMIF(INDIRECT("'" &amp; B19 &amp; "'!$B:$B"),$J$1,INDIRECT("'" &amp; B19 &amp; "'!$ah:$ah"))/SUMIF(INDIRECT("'" &amp; B19 &amp; "'!$B:$B"),$J$1,INDIRECT("'" &amp; B19 &amp; "'!$AG:$AG")),"")</f>
        <v>0.36238857142857145</v>
      </c>
      <c r="K19" s="452" t="str">
        <f t="shared" ref="K19:W19" ca="1" si="2">+IFERROR(SUMIF(INDIRECT("'" &amp; $B$19 &amp; "'!$B:$B"),K1,INDIRECT("'" &amp; $B$19 &amp; "'!$ah:$ah"))/SUMIF(INDIRECT("'" &amp; $B$19 &amp; "'!$B:$B"),K1,INDIRECT("'" &amp; $B$19 &amp; "'!$AG:$AG")),"")</f>
        <v/>
      </c>
      <c r="L19" s="452" t="str">
        <f t="shared" ca="1" si="2"/>
        <v/>
      </c>
      <c r="M19" s="452">
        <f ca="1">+IFERROR(SUMIF(INDIRECT("'" &amp; B19 &amp; "'!$B:$B"),$M$1,INDIRECT("'" &amp; B19 &amp; "'!$ah:$ah"))/SUMIF(INDIRECT("'" &amp; B19 &amp; "'!$B:$B"),$M$1,INDIRECT("'" &amp; B19 &amp; "'!$AG:$AG")),"")</f>
        <v>0.57947567030784508</v>
      </c>
      <c r="N19" s="452" t="str">
        <f ca="1">+IFERROR(SUMIF(INDIRECT("'" &amp; B19 &amp; "'!$B:$B"),$N$1,INDIRECT("'" &amp; B19 &amp; "'!$ah:$ah"))/SUMIF(INDIRECT("'" &amp; B19 &amp; "'!$B:$B"),$N$1,INDIRECT("'" &amp; B19 &amp; "'!$AG:$AG")),"")</f>
        <v/>
      </c>
      <c r="O19" s="452">
        <f ca="1">+IFERROR(SUMIF(INDIRECT("'" &amp; B19 &amp; "'!$B:$B"),$O$1,INDIRECT("'" &amp; B19 &amp; "'!$ah:$ah"))/SUMIF(INDIRECT("'" &amp; B19 &amp; "'!$B:$B"),$O$1,INDIRECT("'" &amp; B19 &amp; "'!$AG:$AG")),"")</f>
        <v>0.6978428571428571</v>
      </c>
      <c r="P19" s="452">
        <f ca="1">+IFERROR(SUMIF(INDIRECT("'" &amp; B19 &amp; "'!$B:$B"),$P$1,INDIRECT("'" &amp; B19 &amp; "'!$ah:$ah"))/SUMIF(INDIRECT("'" &amp; B19 &amp; "'!$B:$B"),$P$1,INDIRECT("'" &amp; B19 &amp; "'!$AG:$AG")),"")</f>
        <v>0.73531629392971243</v>
      </c>
      <c r="Q19" s="452">
        <f ca="1">+IFERROR(SUMIF(INDIRECT("'" &amp; B19 &amp; "'!$B:$B"),$Q$1,INDIRECT("'" &amp; B19 &amp; "'!$ah:$ah"))/SUMIF(INDIRECT("'" &amp; B19 &amp; "'!$B:$B"),$Q$1,INDIRECT("'" &amp; B19 &amp; "'!$AG:$AG")),"")</f>
        <v>0.87066445403252568</v>
      </c>
      <c r="R19" s="452">
        <f ca="1">+IFERROR(SUMIF(INDIRECT("'" &amp; B19 &amp; "'!$B:$B"),$R$1,INDIRECT("'" &amp; B19 &amp; "'!$ah:$ah"))/SUMIF(INDIRECT("'" &amp; B19 &amp; "'!$B:$B"),$R$1,INDIRECT("'" &amp; B19 &amp; "'!$AG:$AG")),"")</f>
        <v>0.88924743443557586</v>
      </c>
      <c r="S19" s="452" t="str">
        <f ca="1">+IFERROR(SUMIF(INDIRECT("'" &amp; B19 &amp; "'!$B:$B"),$S$1,INDIRECT("'" &amp; B19 &amp; "'!$ah:$ah"))/SUMIF(INDIRECT("'" &amp; B19 &amp; "'!$B:$B"),$S$1,INDIRECT("'" &amp; B19 &amp; "'!$AG:$AG")),"")</f>
        <v/>
      </c>
      <c r="T19" s="452">
        <f ca="1">+IFERROR(SUMIF(INDIRECT("'" &amp; B19 &amp; "'!$B:$B"),$T$1,INDIRECT("'" &amp; B19 &amp; "'!$ah:$ah"))/SUMIF(INDIRECT("'" &amp; B19 &amp; "'!$B:$B"),$T$1,INDIRECT("'" &amp; B19 &amp; "'!$AG:$AG")),"")</f>
        <v>0.8757664233576643</v>
      </c>
      <c r="U19" s="452" t="str">
        <f ca="1">+IFERROR(SUMIF(INDIRECT("'" &amp; $B$19 &amp; "'!$B:$B"),$U$1,INDIRECT("'" &amp; $B$19 &amp; "'!$ah:$ah"))/SUMIF(INDIRECT("'" &amp; $B$19 &amp; "'!$B:$B"),$U$1,INDIRECT("'" &amp; $B$19 &amp; "'!$AG:$AG")),"")</f>
        <v/>
      </c>
      <c r="V19" s="452" t="str">
        <f ca="1">+IFERROR(SUMIF(INDIRECT("'" &amp; $B$19 &amp; "'!$B:$B"),$V$1,INDIRECT("'" &amp; $B$19 &amp; "'!$ah:$ah"))/SUMIF(INDIRECT("'" &amp; $B$19 &amp; "'!$B:$B"),$V$1,INDIRECT("'" &amp; $B$19 &amp; "'!$AG:$AG")),"")</f>
        <v/>
      </c>
      <c r="W19" s="452" t="str">
        <f t="shared" ca="1" si="2"/>
        <v/>
      </c>
      <c r="X19" s="452">
        <f ca="1">+IFERROR(INDIRECT("'" &amp; B19 &amp; "'!AC2"),"")</f>
        <v>0.74429698083994578</v>
      </c>
      <c r="Y19" s="452">
        <v>0.82320000000000004</v>
      </c>
      <c r="AA19" s="224"/>
      <c r="AB19" s="186" t="s">
        <v>174</v>
      </c>
    </row>
    <row r="20" spans="1:28" ht="32.25" customHeight="1" x14ac:dyDescent="0.25">
      <c r="B20" s="459" t="s">
        <v>443</v>
      </c>
      <c r="C20" s="452">
        <f t="shared" ref="C20" ca="1" si="3">+IFERROR(SUMIF(INDIRECT("'" &amp; B20 &amp; "'!$B:$B"),$C$1,INDIRECT("'" &amp; B20 &amp; "'!$ah:$ah"))/SUMIF(INDIRECT("'" &amp; B20 &amp; "'!$B:$B"),$C$1,INDIRECT("'" &amp; B20 &amp; "'!$AG:$AG")),"")</f>
        <v>0.87381818181818183</v>
      </c>
      <c r="D20" s="452">
        <f t="shared" ref="D20" ca="1" si="4">+IFERROR(SUMIF(INDIRECT("'" &amp; B20 &amp; "'!$B:$B"),$D$1,INDIRECT("'" &amp; B20 &amp; "'!$ah:$ah"))/SUMIF(INDIRECT("'" &amp; B20 &amp; "'!$B:$B"),$D$1,INDIRECT("'" &amp; B20 &amp; "'!$AG:$AG")),"")</f>
        <v>0.77143140495867768</v>
      </c>
      <c r="E20" s="452" t="str">
        <f t="shared" ref="E20" ca="1" si="5">+IFERROR(SUMIF(INDIRECT("'" &amp; B20 &amp; "'!$B:$B"),$E$1,INDIRECT("'" &amp; B20 &amp; "'!$ah:$ah"))/SUMIF(INDIRECT("'" &amp; B20 &amp; "'!$B:$B"),$E$1,INDIRECT("'" &amp; B20 &amp; "'!$AG:$AG")),"")</f>
        <v/>
      </c>
      <c r="F20" s="452">
        <f t="shared" ref="F20" ca="1" si="6">+IFERROR(SUMIF(INDIRECT("'" &amp; B20 &amp; "'!$B:$B"),$F$1,INDIRECT("'" &amp; B20 &amp; "'!$ah:$ah"))/SUMIF(INDIRECT("'" &amp; B20 &amp; "'!$B:$B"),$F$1,INDIRECT("'" &amp; B20 &amp; "'!$AG:$AG")),"")</f>
        <v>0.87250349650349657</v>
      </c>
      <c r="G20" s="452">
        <f t="shared" ref="G20" ca="1" si="7">+IFERROR(SUMIF(INDIRECT("'" &amp; B20 &amp; "'!$B:$B"),$G$1,INDIRECT("'" &amp; B20 &amp; "'!$ah:$ah"))/SUMIF(INDIRECT("'" &amp; B20 &amp; "'!$B:$B"),$G$1,INDIRECT("'" &amp; B20 &amp; "'!$AG:$AG")),"")</f>
        <v>0.65797258297258299</v>
      </c>
      <c r="H20" s="452">
        <f t="shared" ref="H20" ca="1" si="8">+IFERROR(SUMIF(INDIRECT("'" &amp; B20 &amp; "'!$B:$B"),$H$1,INDIRECT("'" &amp; B20 &amp; "'!$ah:$ah"))/SUMIF(INDIRECT("'" &amp; B20 &amp; "'!$B:$B"),$H$1,INDIRECT("'" &amp; B20 &amp; "'!$AG:$AG")),"")</f>
        <v>0.79334178999295268</v>
      </c>
      <c r="I20" s="452">
        <f t="shared" ref="I20" ca="1" si="9">+IFERROR(SUMIF(INDIRECT("'" &amp; B20 &amp; "'!$B:$B"),$I$1,INDIRECT("'" &amp; B20 &amp; "'!$ah:$ah"))/SUMIF(INDIRECT("'" &amp; B20 &amp; "'!$B:$B"),$I$1,INDIRECT("'" &amp; B20 &amp; "'!$AG:$AG")),"")</f>
        <v>0.70512449799196786</v>
      </c>
      <c r="J20" s="452">
        <f t="shared" ref="J20" ca="1" si="10">+IFERROR(SUMIF(INDIRECT("'" &amp; B20 &amp; "'!$B:$B"),$J$1,INDIRECT("'" &amp; B20 &amp; "'!$ah:$ah"))/SUMIF(INDIRECT("'" &amp; B20 &amp; "'!$B:$B"),$J$1,INDIRECT("'" &amp; B20 &amp; "'!$AG:$AG")),"")</f>
        <v>0.79013460393091128</v>
      </c>
      <c r="K20" s="452" t="s">
        <v>182</v>
      </c>
      <c r="L20" s="452" t="s">
        <v>182</v>
      </c>
      <c r="M20" s="452">
        <f t="shared" ref="M20" ca="1" si="11">+IFERROR(SUMIF(INDIRECT("'" &amp; B20 &amp; "'!$B:$B"),$M$1,INDIRECT("'" &amp; B20 &amp; "'!$ah:$ah"))/SUMIF(INDIRECT("'" &amp; B20 &amp; "'!$B:$B"),$M$1,INDIRECT("'" &amp; B20 &amp; "'!$AG:$AG")),"")</f>
        <v>0.52307369891721966</v>
      </c>
      <c r="N20" s="452" t="str">
        <f t="shared" ref="N20" ca="1" si="12">+IFERROR(SUMIF(INDIRECT("'" &amp; B20 &amp; "'!$B:$B"),$N$1,INDIRECT("'" &amp; B20 &amp; "'!$ah:$ah"))/SUMIF(INDIRECT("'" &amp; B20 &amp; "'!$B:$B"),$N$1,INDIRECT("'" &amp; B20 &amp; "'!$AG:$AG")),"")</f>
        <v/>
      </c>
      <c r="O20" s="452">
        <f t="shared" ref="O20" ca="1" si="13">+IFERROR(SUMIF(INDIRECT("'" &amp; B20 &amp; "'!$B:$B"),$O$1,INDIRECT("'" &amp; B20 &amp; "'!$ah:$ah"))/SUMIF(INDIRECT("'" &amp; B20 &amp; "'!$B:$B"),$O$1,INDIRECT("'" &amp; B20 &amp; "'!$AG:$AG")),"")</f>
        <v>0.5149637173774666</v>
      </c>
      <c r="P20" s="452">
        <f t="shared" ref="P20" ca="1" si="14">+IFERROR(SUMIF(INDIRECT("'" &amp; B20 &amp; "'!$B:$B"),$P$1,INDIRECT("'" &amp; B20 &amp; "'!$ah:$ah"))/SUMIF(INDIRECT("'" &amp; B20 &amp; "'!$B:$B"),$P$1,INDIRECT("'" &amp; B20 &amp; "'!$AG:$AG")),"")</f>
        <v>0.71259382819015848</v>
      </c>
      <c r="Q20" s="452" t="str">
        <f t="shared" ref="Q20" ca="1" si="15">+IFERROR(SUMIF(INDIRECT("'" &amp; B20 &amp; "'!$B:$B"),$Q$1,INDIRECT("'" &amp; B20 &amp; "'!$ah:$ah"))/SUMIF(INDIRECT("'" &amp; B20 &amp; "'!$B:$B"),$Q$1,INDIRECT("'" &amp; B20 &amp; "'!$AG:$AG")),"")</f>
        <v/>
      </c>
      <c r="R20" s="452">
        <f t="shared" ref="R20" ca="1" si="16">+IFERROR(SUMIF(INDIRECT("'" &amp; B20 &amp; "'!$B:$B"),$R$1,INDIRECT("'" &amp; B20 &amp; "'!$ah:$ah"))/SUMIF(INDIRECT("'" &amp; B20 &amp; "'!$B:$B"),$R$1,INDIRECT("'" &amp; B20 &amp; "'!$AG:$AG")),"")</f>
        <v>0.78142771445710868</v>
      </c>
      <c r="S20" s="452">
        <f t="shared" ref="S20" ca="1" si="17">+IFERROR(SUMIF(INDIRECT("'" &amp; B20 &amp; "'!$B:$B"),$S$1,INDIRECT("'" &amp; B20 &amp; "'!$ah:$ah"))/SUMIF(INDIRECT("'" &amp; B20 &amp; "'!$B:$B"),$S$1,INDIRECT("'" &amp; B20 &amp; "'!$AG:$AG")),"")</f>
        <v>0.83118040816326533</v>
      </c>
      <c r="T20" s="452">
        <f t="shared" ref="T20" ca="1" si="18">+IFERROR(SUMIF(INDIRECT("'" &amp; B20 &amp; "'!$B:$B"),$T$1,INDIRECT("'" &amp; B20 &amp; "'!$ah:$ah"))/SUMIF(INDIRECT("'" &amp; B20 &amp; "'!$B:$B"),$T$1,INDIRECT("'" &amp; B20 &amp; "'!$AG:$AG")),"")</f>
        <v>0.62980011968880911</v>
      </c>
      <c r="U20" s="452" t="str">
        <f t="shared" ref="U20" ca="1" si="19">+IFERROR(SUMIF(INDIRECT("'" &amp; $B$19 &amp; "'!$B:$B"),$U$1,INDIRECT("'" &amp; $B$19 &amp; "'!$ah:$ah"))/SUMIF(INDIRECT("'" &amp; $B$19 &amp; "'!$B:$B"),$U$1,INDIRECT("'" &amp; $B$19 &amp; "'!$AG:$AG")),"")</f>
        <v/>
      </c>
      <c r="V20" s="452" t="str">
        <f t="shared" ref="V20" ca="1" si="20">+IFERROR(SUMIF(INDIRECT("'" &amp; $B$19 &amp; "'!$B:$B"),$V$1,INDIRECT("'" &amp; $B$19 &amp; "'!$ah:$ah"))/SUMIF(INDIRECT("'" &amp; $B$19 &amp; "'!$B:$B"),$V$1,INDIRECT("'" &amp; $B$19 &amp; "'!$AG:$AG")),"")</f>
        <v/>
      </c>
      <c r="W20" s="452" t="s">
        <v>182</v>
      </c>
      <c r="X20" s="452">
        <f t="shared" ref="X20" ca="1" si="21">+IFERROR(INDIRECT("'" &amp; B20 &amp; "'!AC2"),"")</f>
        <v>0.72612576570452914</v>
      </c>
      <c r="Y20" s="452">
        <v>0.80210000000000004</v>
      </c>
      <c r="Z20" s="197"/>
      <c r="AA20" s="224"/>
    </row>
    <row r="21" spans="1:28" ht="32.25" customHeight="1" x14ac:dyDescent="0.25">
      <c r="A21" s="186" t="s">
        <v>174</v>
      </c>
      <c r="B21" s="459" t="s">
        <v>444</v>
      </c>
      <c r="C21" s="452">
        <f ca="1">+IFERROR(SUMIF(INDIRECT("'" &amp; B21 &amp; "'!$B:$B"),$C$1,INDIRECT("'" &amp; B21 &amp; "'!$ai:$ai"))/SUMIF(INDIRECT("'" &amp; B21 &amp; "'!$B:$B"),$C$1,INDIRECT("'" &amp; B21 &amp; "'!$Ah:$Ah")),"")</f>
        <v>0.62533241379310356</v>
      </c>
      <c r="D21" s="452">
        <f ca="1">+IFERROR(SUMIF(INDIRECT("'" &amp; B21 &amp; "'!$B:$B"),$D$1,INDIRECT("'" &amp; B21 &amp; "'!$ai:$ai"))/SUMIF(INDIRECT("'" &amp; B21 &amp; "'!$B:$B"),$D$1,INDIRECT("'" &amp; B21 &amp; "'!$Ah:$Ah")),"")</f>
        <v>0.72497800125707113</v>
      </c>
      <c r="E21" s="452" t="str">
        <f ca="1">+IFERROR(SUMIF(INDIRECT("'" &amp; B21 &amp; "'!$B:$B"),$E$1,INDIRECT("'" &amp; B21 &amp; "'!$ai:$ai"))/SUMIF(INDIRECT("'" &amp; B21 &amp; "'!$B:$B"),$E$1,INDIRECT("'" &amp; B21 &amp; "'!$Ah:$Ah")),"")</f>
        <v/>
      </c>
      <c r="F21" s="452">
        <f ca="1">+IFERROR(SUMIF(INDIRECT("'" &amp; B21 &amp; "'!$B:$B"),$F$1,INDIRECT("'" &amp; B21 &amp; "'!$ai:$ai"))/SUMIF(INDIRECT("'" &amp; B21 &amp; "'!$B:$B"),$F$1,INDIRECT("'" &amp; B21 &amp; "'!$Ah:$Ah")),"")</f>
        <v>0.6579593280282936</v>
      </c>
      <c r="G21" s="452">
        <f ca="1">+IFERROR(SUMIF(INDIRECT("'" &amp; B21 &amp; "'!$B:$B"),$G$1,INDIRECT("'" &amp; B21 &amp; "'!$ai:$ai"))/SUMIF(INDIRECT("'" &amp; B21 &amp; "'!$B:$B"),$G$1,INDIRECT("'" &amp; B21 &amp; "'!$Ah:$Ah")),"")</f>
        <v>0.73159636062861866</v>
      </c>
      <c r="H21" s="452">
        <f ca="1">+IFERROR(SUMIF(INDIRECT("'" &amp; B21 &amp; "'!$B:$B"),$H$1,INDIRECT("'" &amp; B21 &amp; "'!$ai:$ai"))/SUMIF(INDIRECT("'" &amp; B21 &amp; "'!$B:$B"),$H$1,INDIRECT("'" &amp; B21 &amp; "'!$Ah:$Ah")),"")</f>
        <v>0.83089300080450512</v>
      </c>
      <c r="I21" s="452">
        <f ca="1">+IFERROR(SUMIF(INDIRECT("'" &amp; B21 &amp; "'!$B:$B"),$I$1,INDIRECT("'" &amp; B21 &amp; "'!$ai:$ai"))/SUMIF(INDIRECT("'" &amp; B21 &amp; "'!$B:$B"),$I$1,INDIRECT("'" &amp; B21 &amp; "'!$Ah:$Ah")),"")</f>
        <v>0.78559837728194715</v>
      </c>
      <c r="J21" s="452">
        <f ca="1">+IFERROR(SUMIF(INDIRECT("'" &amp; B21 &amp; "'!$B:$B"),$J$1,INDIRECT("'" &amp; B21 &amp; "'!$ai:$ai"))/SUMIF(INDIRECT("'" &amp; B21 &amp; "'!$B:$B"),$J$1,INDIRECT("'" &amp; B21 &amp; "'!$Ah:$Ah")),"")</f>
        <v>0.84131254237288144</v>
      </c>
      <c r="K21" s="452" t="s">
        <v>182</v>
      </c>
      <c r="L21" s="452" t="s">
        <v>182</v>
      </c>
      <c r="M21" s="452">
        <f ca="1">+IFERROR(SUMIF(INDIRECT("'" &amp; B21 &amp; "'!$B:$B"),$M$1,INDIRECT("'" &amp; B21 &amp; "'!$ai:$ai"))/SUMIF(INDIRECT("'" &amp; B21 &amp; "'!$B:$B"),$M$1,INDIRECT("'" &amp; B21 &amp; "'!$Ah:$Ah")),"")</f>
        <v>0.67874250576479622</v>
      </c>
      <c r="N21" s="452" t="str">
        <f ca="1">+IFERROR(SUMIF(INDIRECT("'" &amp; B21 &amp; "'!$B:$B"),$N$1,INDIRECT("'" &amp; B21 &amp; "'!$ai:$ai"))/SUMIF(INDIRECT("'" &amp; B21 &amp; "'!$B:$B"),$N$1,INDIRECT("'" &amp; B21 &amp; "'!$Ah:$Ah")),"")</f>
        <v/>
      </c>
      <c r="O21" s="452">
        <f ca="1">+IFERROR(SUMIF(INDIRECT("'" &amp; B21 &amp; "'!$B:$B"),$O$1,INDIRECT("'" &amp; B21 &amp; "'!$ai:$ai"))/SUMIF(INDIRECT("'" &amp; B21 &amp; "'!$B:$B"),$O$1,INDIRECT("'" &amp; B21 &amp; "'!$Ah:$Ah")),"")</f>
        <v>0.74233931034482759</v>
      </c>
      <c r="P21" s="452">
        <f ca="1">+IFERROR(SUMIF(INDIRECT("'" &amp; B21 &amp; "'!$B:$B"),$P$1,INDIRECT("'" &amp; B21 &amp; "'!$ai:$ai"))/SUMIF(INDIRECT("'" &amp; B21 &amp; "'!$B:$B"),$P$1,INDIRECT("'" &amp; B21 &amp; "'!$Ah:$Ah")),"")</f>
        <v>0</v>
      </c>
      <c r="Q21" s="452">
        <f ca="1">+IFERROR(SUMIF(INDIRECT("'" &amp; B21 &amp; "'!$B:$B"),$Q$1,INDIRECT("'" &amp; B21 &amp; "'!$ai:$ai"))/SUMIF(INDIRECT("'" &amp; B21 &amp; "'!$B:$B"),$Q$1,INDIRECT("'" &amp; B21 &amp; "'!$Ah:$Ah")),"")</f>
        <v>0</v>
      </c>
      <c r="R21" s="452">
        <f ca="1">+IFERROR(SUMIF(INDIRECT("'" &amp; B21 &amp; "'!$B:$B"),$R$1,INDIRECT("'" &amp; B21 &amp; "'!$ai:$ai"))/SUMIF(INDIRECT("'" &amp; B21 &amp; "'!$B:$B"),$R$1,INDIRECT("'" &amp; B21 &amp; "'!$Ah:$Ah")),"")</f>
        <v>0.86157066666666671</v>
      </c>
      <c r="S21" s="452">
        <f ca="1">+IFERROR(SUMIF(INDIRECT("'" &amp; B21 &amp; "'!$B:$B"),$S$1,INDIRECT("'" &amp; B21 &amp; "'!$ai:$ai"))/SUMIF(INDIRECT("'" &amp; B21 &amp; "'!$B:$B"),$S$1,INDIRECT("'" &amp; B21 &amp; "'!$Ah:$Ah")),"")</f>
        <v>0.84743571428571429</v>
      </c>
      <c r="T21" s="452">
        <f ca="1">+IFERROR(SUMIF(INDIRECT("'" &amp; B21 &amp; "'!$B:$B"),$T$1,INDIRECT("'" &amp; B21 &amp; "'!$ai:$ai"))/SUMIF(INDIRECT("'" &amp; B21 &amp; "'!$B:$B"),$T$1,INDIRECT("'" &amp; B21 &amp; "'!$Ah:$Ah")),"")</f>
        <v>0.87380392156862741</v>
      </c>
      <c r="U21" s="452" t="str">
        <f ca="1">+IFERROR(SUMIF(INDIRECT("'" &amp; $B$19 &amp; "'!$B:$B"),$U$1,INDIRECT("'" &amp; $B$19 &amp; "'!$ai:$ai"))/SUMIF(INDIRECT("'" &amp; $B$19 &amp; "'!$B:$B"),$U$1,INDIRECT("'" &amp; $B$19 &amp; "'!$Ah:$Ah")),"")</f>
        <v/>
      </c>
      <c r="V21" s="452" t="str">
        <f ca="1">+IFERROR(SUMIF(INDIRECT("'" &amp; $B$19 &amp; "'!$B:$B"),$V$1,INDIRECT("'" &amp; $B$19 &amp; "'!$ai:$ai"))/SUMIF(INDIRECT("'" &amp; $B$19 &amp; "'!$B:$B"),$V$1,INDIRECT("'" &amp; $B$19 &amp; "'!$Ah:$Ah")),"")</f>
        <v/>
      </c>
      <c r="W21" s="452" t="s">
        <v>182</v>
      </c>
      <c r="X21" s="452">
        <f ca="1">+IFERROR(INDIRECT("'" &amp; B21 &amp; "'!AD2"),"")</f>
        <v>0.76026894607330364</v>
      </c>
      <c r="Y21" s="452">
        <v>0.83120000000000005</v>
      </c>
      <c r="Z21" s="197" t="s">
        <v>174</v>
      </c>
      <c r="AA21" s="224"/>
      <c r="AB21" s="186" t="s">
        <v>174</v>
      </c>
    </row>
    <row r="22" spans="1:28" ht="32.25" customHeight="1" x14ac:dyDescent="0.25">
      <c r="A22" s="186" t="s">
        <v>174</v>
      </c>
      <c r="B22" s="459" t="s">
        <v>445</v>
      </c>
      <c r="C22" s="452" t="str">
        <f t="shared" ref="C22:C49" ca="1" si="22">+IFERROR(SUMIF(INDIRECT("'" &amp; B22 &amp; "'!$B:$B"),$C$1,INDIRECT("'" &amp; B22 &amp; "'!$ai:$ai"))/SUMIF(INDIRECT("'" &amp; B22 &amp; "'!$B:$B"),$C$1,INDIRECT("'" &amp; B22 &amp; "'!$Ah:$Ah")),"")</f>
        <v/>
      </c>
      <c r="D22" s="452" t="str">
        <f t="shared" ref="D22:D49" ca="1" si="23">+IFERROR(SUMIF(INDIRECT("'" &amp; B22 &amp; "'!$B:$B"),$D$1,INDIRECT("'" &amp; B22 &amp; "'!$ai:$ai"))/SUMIF(INDIRECT("'" &amp; B22 &amp; "'!$B:$B"),$D$1,INDIRECT("'" &amp; B22 &amp; "'!$Ah:$Ah")),"")</f>
        <v/>
      </c>
      <c r="E22" s="452" t="str">
        <f t="shared" ref="E22:E49" ca="1" si="24">+IFERROR(SUMIF(INDIRECT("'" &amp; B22 &amp; "'!$B:$B"),$E$1,INDIRECT("'" &amp; B22 &amp; "'!$ai:$ai"))/SUMIF(INDIRECT("'" &amp; B22 &amp; "'!$B:$B"),$E$1,INDIRECT("'" &amp; B22 &amp; "'!$Ah:$Ah")),"")</f>
        <v/>
      </c>
      <c r="F22" s="452" t="str">
        <f t="shared" ref="F22:F49" ca="1" si="25">+IFERROR(SUMIF(INDIRECT("'" &amp; B22 &amp; "'!$B:$B"),$F$1,INDIRECT("'" &amp; B22 &amp; "'!$ai:$ai"))/SUMIF(INDIRECT("'" &amp; B22 &amp; "'!$B:$B"),$F$1,INDIRECT("'" &amp; B22 &amp; "'!$Ah:$Ah")),"")</f>
        <v/>
      </c>
      <c r="G22" s="452" t="str">
        <f t="shared" ref="G22:G49" ca="1" si="26">+IFERROR(SUMIF(INDIRECT("'" &amp; B22 &amp; "'!$B:$B"),$G$1,INDIRECT("'" &amp; B22 &amp; "'!$ai:$ai"))/SUMIF(INDIRECT("'" &amp; B22 &amp; "'!$B:$B"),$G$1,INDIRECT("'" &amp; B22 &amp; "'!$Ah:$Ah")),"")</f>
        <v/>
      </c>
      <c r="H22" s="452" t="str">
        <f t="shared" ref="H22:H49" ca="1" si="27">+IFERROR(SUMIF(INDIRECT("'" &amp; B22 &amp; "'!$B:$B"),$H$1,INDIRECT("'" &amp; B22 &amp; "'!$ai:$ai"))/SUMIF(INDIRECT("'" &amp; B22 &amp; "'!$B:$B"),$H$1,INDIRECT("'" &amp; B22 &amp; "'!$Ah:$Ah")),"")</f>
        <v/>
      </c>
      <c r="I22" s="452" t="str">
        <f t="shared" ref="I22:I49" ca="1" si="28">+IFERROR(SUMIF(INDIRECT("'" &amp; B22 &amp; "'!$B:$B"),$I$1,INDIRECT("'" &amp; B22 &amp; "'!$ai:$ai"))/SUMIF(INDIRECT("'" &amp; B22 &amp; "'!$B:$B"),$I$1,INDIRECT("'" &amp; B22 &amp; "'!$Ah:$Ah")),"")</f>
        <v/>
      </c>
      <c r="J22" s="452" t="str">
        <f t="shared" ref="J22:J49" ca="1" si="29">+IFERROR(SUMIF(INDIRECT("'" &amp; B22 &amp; "'!$B:$B"),$J$1,INDIRECT("'" &amp; B22 &amp; "'!$ai:$ai"))/SUMIF(INDIRECT("'" &amp; B22 &amp; "'!$B:$B"),$J$1,INDIRECT("'" &amp; B22 &amp; "'!$Ah:$Ah")),"")</f>
        <v/>
      </c>
      <c r="K22" s="452" t="s">
        <v>182</v>
      </c>
      <c r="L22" s="452" t="s">
        <v>182</v>
      </c>
      <c r="M22" s="452" t="str">
        <f t="shared" ref="M22:M49" ca="1" si="30">+IFERROR(SUMIF(INDIRECT("'" &amp; B22 &amp; "'!$B:$B"),$M$1,INDIRECT("'" &amp; B22 &amp; "'!$ai:$ai"))/SUMIF(INDIRECT("'" &amp; B22 &amp; "'!$B:$B"),$M$1,INDIRECT("'" &amp; B22 &amp; "'!$Ah:$Ah")),"")</f>
        <v/>
      </c>
      <c r="N22" s="452" t="str">
        <f t="shared" ref="N22:N49" ca="1" si="31">+IFERROR(SUMIF(INDIRECT("'" &amp; B22 &amp; "'!$B:$B"),$N$1,INDIRECT("'" &amp; B22 &amp; "'!$ai:$ai"))/SUMIF(INDIRECT("'" &amp; B22 &amp; "'!$B:$B"),$N$1,INDIRECT("'" &amp; B22 &amp; "'!$Ah:$Ah")),"")</f>
        <v/>
      </c>
      <c r="O22" s="452" t="str">
        <f t="shared" ref="O22:O49" ca="1" si="32">+IFERROR(SUMIF(INDIRECT("'" &amp; B22 &amp; "'!$B:$B"),$O$1,INDIRECT("'" &amp; B22 &amp; "'!$ai:$ai"))/SUMIF(INDIRECT("'" &amp; B22 &amp; "'!$B:$B"),$O$1,INDIRECT("'" &amp; B22 &amp; "'!$Ah:$Ah")),"")</f>
        <v/>
      </c>
      <c r="P22" s="452" t="str">
        <f t="shared" ref="P22:P49" ca="1" si="33">+IFERROR(SUMIF(INDIRECT("'" &amp; B22 &amp; "'!$B:$B"),$P$1,INDIRECT("'" &amp; B22 &amp; "'!$ai:$ai"))/SUMIF(INDIRECT("'" &amp; B22 &amp; "'!$B:$B"),$P$1,INDIRECT("'" &amp; B22 &amp; "'!$Ah:$Ah")),"")</f>
        <v/>
      </c>
      <c r="Q22" s="452" t="str">
        <f t="shared" ref="Q22:Q49" ca="1" si="34">+IFERROR(SUMIF(INDIRECT("'" &amp; B22 &amp; "'!$B:$B"),$Q$1,INDIRECT("'" &amp; B22 &amp; "'!$ai:$ai"))/SUMIF(INDIRECT("'" &amp; B22 &amp; "'!$B:$B"),$Q$1,INDIRECT("'" &amp; B22 &amp; "'!$Ah:$Ah")),"")</f>
        <v/>
      </c>
      <c r="R22" s="452" t="str">
        <f t="shared" ref="R22:R49" ca="1" si="35">+IFERROR(SUMIF(INDIRECT("'" &amp; B22 &amp; "'!$B:$B"),$R$1,INDIRECT("'" &amp; B22 &amp; "'!$ai:$ai"))/SUMIF(INDIRECT("'" &amp; B22 &amp; "'!$B:$B"),$R$1,INDIRECT("'" &amp; B22 &amp; "'!$Ah:$Ah")),"")</f>
        <v/>
      </c>
      <c r="S22" s="452" t="str">
        <f t="shared" ref="S22:S49" ca="1" si="36">+IFERROR(SUMIF(INDIRECT("'" &amp; B22 &amp; "'!$B:$B"),$S$1,INDIRECT("'" &amp; B22 &amp; "'!$ai:$ai"))/SUMIF(INDIRECT("'" &amp; B22 &amp; "'!$B:$B"),$S$1,INDIRECT("'" &amp; B22 &amp; "'!$Ah:$Ah")),"")</f>
        <v/>
      </c>
      <c r="T22" s="452" t="str">
        <f t="shared" ref="T22:T49" ca="1" si="37">+IFERROR(SUMIF(INDIRECT("'" &amp; B22 &amp; "'!$B:$B"),$T$1,INDIRECT("'" &amp; B22 &amp; "'!$ai:$ai"))/SUMIF(INDIRECT("'" &amp; B22 &amp; "'!$B:$B"),$T$1,INDIRECT("'" &amp; B22 &amp; "'!$Ah:$Ah")),"")</f>
        <v/>
      </c>
      <c r="U22" s="452" t="str">
        <f t="shared" ref="U22:U49" ca="1" si="38">+IFERROR(SUMIF(INDIRECT("'" &amp; $B$19 &amp; "'!$B:$B"),$U$1,INDIRECT("'" &amp; $B$19 &amp; "'!$ai:$ai"))/SUMIF(INDIRECT("'" &amp; $B$19 &amp; "'!$B:$B"),$U$1,INDIRECT("'" &amp; $B$19 &amp; "'!$Ah:$Ah")),"")</f>
        <v/>
      </c>
      <c r="V22" s="452" t="str">
        <f t="shared" ref="V22:V49" ca="1" si="39">+IFERROR(SUMIF(INDIRECT("'" &amp; $B$19 &amp; "'!$B:$B"),$V$1,INDIRECT("'" &amp; $B$19 &amp; "'!$ai:$ai"))/SUMIF(INDIRECT("'" &amp; $B$19 &amp; "'!$B:$B"),$V$1,INDIRECT("'" &amp; $B$19 &amp; "'!$Ah:$Ah")),"")</f>
        <v/>
      </c>
      <c r="W22" s="452" t="s">
        <v>182</v>
      </c>
      <c r="X22" s="452" t="str">
        <f t="shared" ref="X22:X49" ca="1" si="40">+IFERROR(INDIRECT("'" &amp; B22 &amp; "'!AD2"),"")</f>
        <v/>
      </c>
      <c r="Y22" s="452" t="s">
        <v>182</v>
      </c>
      <c r="Z22" s="197" t="s">
        <v>174</v>
      </c>
      <c r="AA22" s="224"/>
      <c r="AB22" s="186" t="s">
        <v>174</v>
      </c>
    </row>
    <row r="23" spans="1:28" ht="32.25" customHeight="1" x14ac:dyDescent="0.25">
      <c r="A23" s="186" t="s">
        <v>174</v>
      </c>
      <c r="B23" s="459" t="s">
        <v>446</v>
      </c>
      <c r="C23" s="452">
        <f t="shared" ca="1" si="22"/>
        <v>0.19199288045090479</v>
      </c>
      <c r="D23" s="452">
        <f t="shared" ca="1" si="23"/>
        <v>0.59911509086120618</v>
      </c>
      <c r="E23" s="452" t="str">
        <f t="shared" ca="1" si="24"/>
        <v/>
      </c>
      <c r="F23" s="452">
        <f t="shared" ca="1" si="25"/>
        <v>0.28310676691729325</v>
      </c>
      <c r="G23" s="452">
        <f t="shared" ca="1" si="26"/>
        <v>0.74715660542432194</v>
      </c>
      <c r="H23" s="452">
        <f t="shared" ca="1" si="27"/>
        <v>0.75335393460294642</v>
      </c>
      <c r="I23" s="452">
        <f t="shared" ca="1" si="28"/>
        <v>0.81780293801504833</v>
      </c>
      <c r="J23" s="452">
        <f t="shared" ca="1" si="29"/>
        <v>0.85528746788467036</v>
      </c>
      <c r="K23" s="452" t="s">
        <v>182</v>
      </c>
      <c r="L23" s="452" t="s">
        <v>182</v>
      </c>
      <c r="M23" s="452">
        <f t="shared" ca="1" si="30"/>
        <v>0.68058621848739487</v>
      </c>
      <c r="N23" s="452" t="str">
        <f t="shared" ca="1" si="31"/>
        <v/>
      </c>
      <c r="O23" s="452">
        <f t="shared" ca="1" si="32"/>
        <v>0.75160496894409945</v>
      </c>
      <c r="P23" s="452">
        <f t="shared" ca="1" si="33"/>
        <v>0.65078001297858534</v>
      </c>
      <c r="Q23" s="452">
        <f t="shared" ca="1" si="34"/>
        <v>0.60644181883279624</v>
      </c>
      <c r="R23" s="452">
        <f t="shared" ca="1" si="35"/>
        <v>0.88336021872863979</v>
      </c>
      <c r="S23" s="452">
        <f t="shared" ca="1" si="36"/>
        <v>0.53990306946688205</v>
      </c>
      <c r="T23" s="452">
        <f t="shared" ca="1" si="37"/>
        <v>0.72208851540616259</v>
      </c>
      <c r="U23" s="452" t="str">
        <f t="shared" ca="1" si="38"/>
        <v/>
      </c>
      <c r="V23" s="452" t="str">
        <f t="shared" ca="1" si="39"/>
        <v/>
      </c>
      <c r="W23" s="452" t="s">
        <v>182</v>
      </c>
      <c r="X23" s="452">
        <f t="shared" ca="1" si="40"/>
        <v>0.65225446595211434</v>
      </c>
      <c r="Y23" s="452">
        <v>0.77310000000000001</v>
      </c>
      <c r="Z23" s="197" t="s">
        <v>174</v>
      </c>
      <c r="AA23" s="224"/>
      <c r="AB23" s="186" t="s">
        <v>174</v>
      </c>
    </row>
    <row r="24" spans="1:28" ht="32.25" customHeight="1" x14ac:dyDescent="0.25">
      <c r="A24" s="186" t="s">
        <v>174</v>
      </c>
      <c r="B24" s="459" t="s">
        <v>447</v>
      </c>
      <c r="C24" s="452">
        <f t="shared" ca="1" si="22"/>
        <v>0.47789010989010994</v>
      </c>
      <c r="D24" s="452">
        <f t="shared" ca="1" si="23"/>
        <v>0.60203861003861003</v>
      </c>
      <c r="E24" s="452" t="str">
        <f t="shared" ca="1" si="24"/>
        <v/>
      </c>
      <c r="F24" s="452">
        <f t="shared" ca="1" si="25"/>
        <v>0.3920879120879121</v>
      </c>
      <c r="G24" s="452">
        <f t="shared" ca="1" si="26"/>
        <v>0.65772108843537413</v>
      </c>
      <c r="H24" s="452">
        <f t="shared" ca="1" si="27"/>
        <v>0.6443327305605786</v>
      </c>
      <c r="I24" s="452">
        <f t="shared" ca="1" si="28"/>
        <v>0.6872882459312839</v>
      </c>
      <c r="J24" s="452">
        <f t="shared" ca="1" si="29"/>
        <v>0.86532038834951464</v>
      </c>
      <c r="K24" s="452" t="s">
        <v>182</v>
      </c>
      <c r="L24" s="452" t="s">
        <v>182</v>
      </c>
      <c r="M24" s="452">
        <f t="shared" ca="1" si="30"/>
        <v>0.65061067125645433</v>
      </c>
      <c r="N24" s="452" t="str">
        <f t="shared" ca="1" si="31"/>
        <v/>
      </c>
      <c r="O24" s="452">
        <f t="shared" ca="1" si="32"/>
        <v>0.64802709359605914</v>
      </c>
      <c r="P24" s="452">
        <f t="shared" ca="1" si="33"/>
        <v>0.5097041043588928</v>
      </c>
      <c r="Q24" s="452">
        <f t="shared" ca="1" si="34"/>
        <v>0.65967962149374781</v>
      </c>
      <c r="R24" s="452">
        <f t="shared" ca="1" si="35"/>
        <v>6.9959183673469386E-2</v>
      </c>
      <c r="S24" s="452">
        <f t="shared" ca="1" si="36"/>
        <v>0.20358187134502925</v>
      </c>
      <c r="T24" s="452">
        <f t="shared" ca="1" si="37"/>
        <v>0.77935396736072038</v>
      </c>
      <c r="U24" s="452" t="str">
        <f t="shared" ca="1" si="38"/>
        <v/>
      </c>
      <c r="V24" s="452" t="str">
        <f t="shared" ca="1" si="39"/>
        <v/>
      </c>
      <c r="W24" s="452" t="s">
        <v>182</v>
      </c>
      <c r="X24" s="452">
        <f t="shared" ca="1" si="40"/>
        <v>0.57726104653349875</v>
      </c>
      <c r="Y24" s="452">
        <v>0.70269999999999999</v>
      </c>
      <c r="Z24" s="197" t="s">
        <v>174</v>
      </c>
      <c r="AA24" s="224"/>
      <c r="AB24" s="186" t="s">
        <v>174</v>
      </c>
    </row>
    <row r="25" spans="1:28" ht="32.25" customHeight="1" x14ac:dyDescent="0.25">
      <c r="A25" s="186" t="s">
        <v>174</v>
      </c>
      <c r="B25" s="459" t="s">
        <v>448</v>
      </c>
      <c r="C25" s="452">
        <f t="shared" ca="1" si="22"/>
        <v>0.5591309213699952</v>
      </c>
      <c r="D25" s="452">
        <f t="shared" ca="1" si="23"/>
        <v>0.62784447900466567</v>
      </c>
      <c r="E25" s="452" t="str">
        <f t="shared" ca="1" si="24"/>
        <v/>
      </c>
      <c r="F25" s="452">
        <f t="shared" ca="1" si="25"/>
        <v>0.62434578754578762</v>
      </c>
      <c r="G25" s="452">
        <f t="shared" ca="1" si="26"/>
        <v>0.70416666666666672</v>
      </c>
      <c r="H25" s="452">
        <f t="shared" ca="1" si="27"/>
        <v>0.21923205828779596</v>
      </c>
      <c r="I25" s="452">
        <f t="shared" ca="1" si="28"/>
        <v>0.61747741487143848</v>
      </c>
      <c r="J25" s="452">
        <f t="shared" ca="1" si="29"/>
        <v>0.82157891816920947</v>
      </c>
      <c r="K25" s="452" t="s">
        <v>182</v>
      </c>
      <c r="L25" s="452" t="s">
        <v>182</v>
      </c>
      <c r="M25" s="452">
        <f t="shared" ca="1" si="30"/>
        <v>0.7672228571428571</v>
      </c>
      <c r="N25" s="452" t="str">
        <f t="shared" ca="1" si="31"/>
        <v/>
      </c>
      <c r="O25" s="452">
        <f t="shared" ca="1" si="32"/>
        <v>0.73921327014218019</v>
      </c>
      <c r="P25" s="452">
        <f t="shared" ca="1" si="33"/>
        <v>0.4985629290617849</v>
      </c>
      <c r="Q25" s="452">
        <f t="shared" ca="1" si="34"/>
        <v>0.75915511997296381</v>
      </c>
      <c r="R25" s="452">
        <f t="shared" ca="1" si="35"/>
        <v>0.17943022996204511</v>
      </c>
      <c r="S25" s="452">
        <f t="shared" ca="1" si="36"/>
        <v>0.11828571428571427</v>
      </c>
      <c r="T25" s="452">
        <f t="shared" ca="1" si="37"/>
        <v>0.74873217293655259</v>
      </c>
      <c r="U25" s="452" t="str">
        <f t="shared" ca="1" si="38"/>
        <v/>
      </c>
      <c r="V25" s="452" t="str">
        <f t="shared" ca="1" si="39"/>
        <v/>
      </c>
      <c r="W25" s="452" t="s">
        <v>182</v>
      </c>
      <c r="X25" s="452">
        <f t="shared" ca="1" si="40"/>
        <v>0.58288049979273993</v>
      </c>
      <c r="Y25" s="452">
        <v>0.70099999999999996</v>
      </c>
      <c r="Z25" s="197" t="s">
        <v>174</v>
      </c>
      <c r="AA25" s="224"/>
      <c r="AB25" s="186" t="s">
        <v>174</v>
      </c>
    </row>
    <row r="26" spans="1:28" ht="32.25" customHeight="1" x14ac:dyDescent="0.25">
      <c r="B26" s="459" t="s">
        <v>449</v>
      </c>
      <c r="C26" s="452">
        <f t="shared" ca="1" si="22"/>
        <v>0.86329896907216497</v>
      </c>
      <c r="D26" s="452">
        <f t="shared" ca="1" si="23"/>
        <v>0.68573922077922078</v>
      </c>
      <c r="E26" s="452" t="str">
        <f t="shared" ca="1" si="24"/>
        <v/>
      </c>
      <c r="F26" s="452">
        <f t="shared" ca="1" si="25"/>
        <v>0.78570175438596501</v>
      </c>
      <c r="G26" s="452">
        <f t="shared" ca="1" si="26"/>
        <v>0.57265306122448978</v>
      </c>
      <c r="H26" s="452">
        <f t="shared" ca="1" si="27"/>
        <v>0.57777810760667914</v>
      </c>
      <c r="I26" s="452">
        <f t="shared" ca="1" si="28"/>
        <v>0.24098666666666665</v>
      </c>
      <c r="J26" s="452">
        <f t="shared" ca="1" si="29"/>
        <v>0.86532038834951464</v>
      </c>
      <c r="K26" s="452" t="s">
        <v>182</v>
      </c>
      <c r="L26" s="452" t="s">
        <v>182</v>
      </c>
      <c r="M26" s="452">
        <f t="shared" ca="1" si="30"/>
        <v>0.58843563025210077</v>
      </c>
      <c r="N26" s="452" t="str">
        <f t="shared" ca="1" si="31"/>
        <v/>
      </c>
      <c r="O26" s="452">
        <f t="shared" ca="1" si="32"/>
        <v>0.56367113702623906</v>
      </c>
      <c r="P26" s="452">
        <f t="shared" ca="1" si="33"/>
        <v>0.62331428571428571</v>
      </c>
      <c r="Q26" s="452">
        <f t="shared" ca="1" si="34"/>
        <v>0.7163827882960413</v>
      </c>
      <c r="R26" s="452">
        <f t="shared" ca="1" si="35"/>
        <v>0.20759466666666665</v>
      </c>
      <c r="S26" s="452">
        <f t="shared" ca="1" si="36"/>
        <v>0.42426775956284152</v>
      </c>
      <c r="T26" s="452">
        <f t="shared" ca="1" si="37"/>
        <v>0.69712268907563024</v>
      </c>
      <c r="U26" s="452" t="str">
        <f t="shared" ca="1" si="38"/>
        <v/>
      </c>
      <c r="V26" s="452" t="str">
        <f t="shared" ca="1" si="39"/>
        <v/>
      </c>
      <c r="W26" s="452" t="s">
        <v>182</v>
      </c>
      <c r="X26" s="452">
        <f t="shared" ca="1" si="40"/>
        <v>0.60285586893709386</v>
      </c>
      <c r="Y26" s="452">
        <v>0.73340000000000005</v>
      </c>
      <c r="Z26" s="197"/>
      <c r="AA26" s="224"/>
    </row>
    <row r="27" spans="1:28" ht="32.25" customHeight="1" x14ac:dyDescent="0.25">
      <c r="A27" s="186" t="s">
        <v>174</v>
      </c>
      <c r="B27" s="459" t="s">
        <v>450</v>
      </c>
      <c r="C27" s="452">
        <f t="shared" ca="1" si="22"/>
        <v>0.86329896907216486</v>
      </c>
      <c r="D27" s="452">
        <f t="shared" ca="1" si="23"/>
        <v>0.37346347305389221</v>
      </c>
      <c r="E27" s="452" t="str">
        <f t="shared" ca="1" si="24"/>
        <v/>
      </c>
      <c r="F27" s="452">
        <f t="shared" ca="1" si="25"/>
        <v>0.89939393939393952</v>
      </c>
      <c r="G27" s="452">
        <f t="shared" ca="1" si="26"/>
        <v>0.58474945533769063</v>
      </c>
      <c r="H27" s="452">
        <f t="shared" ca="1" si="27"/>
        <v>0.79669059011164289</v>
      </c>
      <c r="I27" s="452">
        <f t="shared" ca="1" si="28"/>
        <v>0.26556353003721422</v>
      </c>
      <c r="J27" s="452">
        <f t="shared" ca="1" si="29"/>
        <v>0.87702336448598128</v>
      </c>
      <c r="K27" s="452" t="s">
        <v>182</v>
      </c>
      <c r="L27" s="452" t="s">
        <v>182</v>
      </c>
      <c r="M27" s="452">
        <f t="shared" ca="1" si="30"/>
        <v>0.23001387367652426</v>
      </c>
      <c r="N27" s="452" t="str">
        <f t="shared" ca="1" si="31"/>
        <v/>
      </c>
      <c r="O27" s="452">
        <f t="shared" ca="1" si="32"/>
        <v>0.81804545454545463</v>
      </c>
      <c r="P27" s="452">
        <f t="shared" ca="1" si="33"/>
        <v>0.35106391613121407</v>
      </c>
      <c r="Q27" s="452">
        <f t="shared" ca="1" si="34"/>
        <v>0</v>
      </c>
      <c r="R27" s="452">
        <f t="shared" ca="1" si="35"/>
        <v>0.32139397428516597</v>
      </c>
      <c r="S27" s="452">
        <f t="shared" ca="1" si="36"/>
        <v>0.89939393939393952</v>
      </c>
      <c r="T27" s="452">
        <f t="shared" ca="1" si="37"/>
        <v>0.36614701470147015</v>
      </c>
      <c r="U27" s="452" t="str">
        <f t="shared" ca="1" si="38"/>
        <v/>
      </c>
      <c r="V27" s="452" t="str">
        <f t="shared" ca="1" si="39"/>
        <v/>
      </c>
      <c r="W27" s="452" t="s">
        <v>182</v>
      </c>
      <c r="X27" s="452">
        <f t="shared" ca="1" si="40"/>
        <v>0.58302625322474599</v>
      </c>
      <c r="Y27" s="452">
        <v>0.71120000000000005</v>
      </c>
      <c r="Z27" s="186" t="s">
        <v>174</v>
      </c>
      <c r="AA27" s="224"/>
      <c r="AB27" s="186" t="s">
        <v>174</v>
      </c>
    </row>
    <row r="28" spans="1:28" ht="32.25" customHeight="1" x14ac:dyDescent="0.25">
      <c r="A28" s="186" t="s">
        <v>174</v>
      </c>
      <c r="B28" s="459" t="s">
        <v>451</v>
      </c>
      <c r="C28" s="452">
        <f t="shared" ca="1" si="22"/>
        <v>0.86329896907216486</v>
      </c>
      <c r="D28" s="452">
        <f t="shared" ca="1" si="23"/>
        <v>0.7119910044977511</v>
      </c>
      <c r="E28" s="452" t="str">
        <f t="shared" ca="1" si="24"/>
        <v/>
      </c>
      <c r="F28" s="452">
        <f t="shared" ca="1" si="25"/>
        <v>0.89957854406130267</v>
      </c>
      <c r="G28" s="452">
        <f t="shared" ca="1" si="26"/>
        <v>0.61851395730706071</v>
      </c>
      <c r="H28" s="452">
        <f t="shared" ca="1" si="27"/>
        <v>0.88618652698966982</v>
      </c>
      <c r="I28" s="452">
        <f t="shared" ca="1" si="28"/>
        <v>0.7226485178463401</v>
      </c>
      <c r="J28" s="452">
        <f t="shared" ca="1" si="29"/>
        <v>0.87518567639257294</v>
      </c>
      <c r="K28" s="452" t="s">
        <v>182</v>
      </c>
      <c r="L28" s="452" t="s">
        <v>182</v>
      </c>
      <c r="M28" s="452">
        <f t="shared" ca="1" si="30"/>
        <v>0.47041849529780561</v>
      </c>
      <c r="N28" s="452" t="str">
        <f t="shared" ca="1" si="31"/>
        <v/>
      </c>
      <c r="O28" s="452">
        <f t="shared" ca="1" si="32"/>
        <v>0.70185344827586216</v>
      </c>
      <c r="P28" s="452">
        <f t="shared" ca="1" si="33"/>
        <v>0.3212412723041117</v>
      </c>
      <c r="Q28" s="452">
        <f t="shared" ca="1" si="34"/>
        <v>0.52975517241379311</v>
      </c>
      <c r="R28" s="452">
        <f t="shared" ca="1" si="35"/>
        <v>0.50729197684036398</v>
      </c>
      <c r="S28" s="452">
        <f t="shared" ca="1" si="36"/>
        <v>0.86505747126436783</v>
      </c>
      <c r="T28" s="452">
        <f t="shared" ca="1" si="37"/>
        <v>0.24745816733067727</v>
      </c>
      <c r="U28" s="452" t="str">
        <f t="shared" ca="1" si="38"/>
        <v/>
      </c>
      <c r="V28" s="452" t="str">
        <f t="shared" ca="1" si="39"/>
        <v/>
      </c>
      <c r="W28" s="452" t="s">
        <v>182</v>
      </c>
      <c r="X28" s="452">
        <f t="shared" ca="1" si="40"/>
        <v>0.65499869323750415</v>
      </c>
      <c r="Y28" s="452">
        <v>0.75429999999999997</v>
      </c>
      <c r="Z28" s="186" t="s">
        <v>174</v>
      </c>
      <c r="AA28" s="224"/>
      <c r="AB28" s="186" t="s">
        <v>174</v>
      </c>
    </row>
    <row r="29" spans="1:28" ht="32.25" customHeight="1" x14ac:dyDescent="0.25">
      <c r="A29" s="186" t="s">
        <v>174</v>
      </c>
      <c r="B29" s="459" t="s">
        <v>452</v>
      </c>
      <c r="C29" s="452" t="str">
        <f t="shared" ca="1" si="22"/>
        <v/>
      </c>
      <c r="D29" s="452" t="str">
        <f t="shared" ca="1" si="23"/>
        <v/>
      </c>
      <c r="E29" s="452" t="str">
        <f t="shared" ca="1" si="24"/>
        <v/>
      </c>
      <c r="F29" s="452" t="str">
        <f t="shared" ca="1" si="25"/>
        <v/>
      </c>
      <c r="G29" s="452" t="str">
        <f t="shared" ca="1" si="26"/>
        <v/>
      </c>
      <c r="H29" s="452" t="str">
        <f t="shared" ca="1" si="27"/>
        <v/>
      </c>
      <c r="I29" s="452" t="str">
        <f t="shared" ca="1" si="28"/>
        <v/>
      </c>
      <c r="J29" s="452" t="str">
        <f t="shared" ca="1" si="29"/>
        <v/>
      </c>
      <c r="K29" s="452" t="s">
        <v>182</v>
      </c>
      <c r="L29" s="452" t="s">
        <v>182</v>
      </c>
      <c r="M29" s="452" t="str">
        <f t="shared" ca="1" si="30"/>
        <v/>
      </c>
      <c r="N29" s="452" t="str">
        <f t="shared" ca="1" si="31"/>
        <v/>
      </c>
      <c r="O29" s="452" t="str">
        <f t="shared" ca="1" si="32"/>
        <v/>
      </c>
      <c r="P29" s="452" t="str">
        <f t="shared" ca="1" si="33"/>
        <v/>
      </c>
      <c r="Q29" s="452" t="str">
        <f t="shared" ca="1" si="34"/>
        <v/>
      </c>
      <c r="R29" s="452" t="str">
        <f t="shared" ca="1" si="35"/>
        <v/>
      </c>
      <c r="S29" s="452" t="str">
        <f t="shared" ca="1" si="36"/>
        <v/>
      </c>
      <c r="T29" s="452" t="str">
        <f t="shared" ca="1" si="37"/>
        <v/>
      </c>
      <c r="U29" s="452" t="str">
        <f t="shared" ca="1" si="38"/>
        <v/>
      </c>
      <c r="V29" s="452" t="str">
        <f t="shared" ca="1" si="39"/>
        <v/>
      </c>
      <c r="W29" s="452" t="s">
        <v>182</v>
      </c>
      <c r="X29" s="452" t="str">
        <f t="shared" ca="1" si="40"/>
        <v/>
      </c>
      <c r="Y29" s="452" t="s">
        <v>182</v>
      </c>
      <c r="Z29" s="186">
        <v>29</v>
      </c>
      <c r="AA29" s="224"/>
      <c r="AB29" s="186" t="s">
        <v>174</v>
      </c>
    </row>
    <row r="30" spans="1:28" ht="32.25" customHeight="1" x14ac:dyDescent="0.25">
      <c r="A30" s="186" t="s">
        <v>174</v>
      </c>
      <c r="B30" s="459" t="s">
        <v>453</v>
      </c>
      <c r="C30" s="452">
        <f t="shared" ca="1" si="22"/>
        <v>0.86329896907216497</v>
      </c>
      <c r="D30" s="452">
        <f t="shared" ca="1" si="23"/>
        <v>0.83308952380952384</v>
      </c>
      <c r="E30" s="452" t="str">
        <f t="shared" ca="1" si="24"/>
        <v/>
      </c>
      <c r="F30" s="452">
        <f t="shared" ca="1" si="25"/>
        <v>0.89847619047619065</v>
      </c>
      <c r="G30" s="452">
        <f t="shared" ca="1" si="26"/>
        <v>0.40604516895907622</v>
      </c>
      <c r="H30" s="452">
        <f t="shared" ca="1" si="27"/>
        <v>0.81566968053044009</v>
      </c>
      <c r="I30" s="452">
        <f t="shared" ca="1" si="28"/>
        <v>0.82949206349206361</v>
      </c>
      <c r="J30" s="452">
        <f t="shared" ca="1" si="29"/>
        <v>0.8739516483516484</v>
      </c>
      <c r="K30" s="452" t="s">
        <v>182</v>
      </c>
      <c r="L30" s="452" t="s">
        <v>182</v>
      </c>
      <c r="M30" s="452">
        <f t="shared" ca="1" si="30"/>
        <v>0.85202337662337668</v>
      </c>
      <c r="N30" s="452" t="str">
        <f t="shared" ca="1" si="31"/>
        <v/>
      </c>
      <c r="O30" s="452">
        <f t="shared" ca="1" si="32"/>
        <v>0.50807857142857138</v>
      </c>
      <c r="P30" s="452">
        <f t="shared" ca="1" si="33"/>
        <v>0.79451428571428562</v>
      </c>
      <c r="Q30" s="452">
        <f t="shared" ca="1" si="34"/>
        <v>0.53668714285714281</v>
      </c>
      <c r="R30" s="452">
        <f t="shared" ca="1" si="35"/>
        <v>0.50715077755240023</v>
      </c>
      <c r="S30" s="452">
        <f t="shared" ca="1" si="36"/>
        <v>0.85977777777777786</v>
      </c>
      <c r="T30" s="452">
        <f t="shared" ca="1" si="37"/>
        <v>0.72582988505747126</v>
      </c>
      <c r="U30" s="452" t="str">
        <f t="shared" ca="1" si="38"/>
        <v/>
      </c>
      <c r="V30" s="452" t="str">
        <f t="shared" ca="1" si="39"/>
        <v/>
      </c>
      <c r="W30" s="452" t="s">
        <v>182</v>
      </c>
      <c r="X30" s="452">
        <f t="shared" ca="1" si="40"/>
        <v>0.72415760861380918</v>
      </c>
      <c r="Y30" s="452">
        <v>0.82230000000000003</v>
      </c>
      <c r="Z30" s="197" t="s">
        <v>174</v>
      </c>
      <c r="AA30" s="224"/>
      <c r="AB30" s="186" t="s">
        <v>174</v>
      </c>
    </row>
    <row r="31" spans="1:28" ht="32.25" customHeight="1" x14ac:dyDescent="0.25">
      <c r="A31" s="186" t="s">
        <v>174</v>
      </c>
      <c r="B31" s="459" t="s">
        <v>454</v>
      </c>
      <c r="C31" s="452" t="str">
        <f t="shared" ca="1" si="22"/>
        <v/>
      </c>
      <c r="D31" s="452">
        <f t="shared" ca="1" si="23"/>
        <v>0.8643129770992366</v>
      </c>
      <c r="E31" s="452" t="str">
        <f t="shared" ca="1" si="24"/>
        <v/>
      </c>
      <c r="F31" s="452">
        <f t="shared" ca="1" si="25"/>
        <v>0.77672967032967044</v>
      </c>
      <c r="G31" s="452">
        <f t="shared" ca="1" si="26"/>
        <v>0.51940287638813032</v>
      </c>
      <c r="H31" s="452">
        <f t="shared" ca="1" si="27"/>
        <v>0.88838826512133295</v>
      </c>
      <c r="I31" s="452">
        <f t="shared" ca="1" si="28"/>
        <v>0.89847619047619065</v>
      </c>
      <c r="J31" s="452">
        <f t="shared" ca="1" si="29"/>
        <v>0.86657150640152547</v>
      </c>
      <c r="K31" s="452" t="s">
        <v>182</v>
      </c>
      <c r="L31" s="452" t="s">
        <v>182</v>
      </c>
      <c r="M31" s="452">
        <f t="shared" ca="1" si="30"/>
        <v>0.93367176079734215</v>
      </c>
      <c r="N31" s="452" t="str">
        <f t="shared" ca="1" si="31"/>
        <v/>
      </c>
      <c r="O31" s="452">
        <f t="shared" ca="1" si="32"/>
        <v>1.6464937560038428E-2</v>
      </c>
      <c r="P31" s="452">
        <f t="shared" ca="1" si="33"/>
        <v>0.9158746208291203</v>
      </c>
      <c r="Q31" s="452">
        <f t="shared" ca="1" si="34"/>
        <v>0</v>
      </c>
      <c r="R31" s="452">
        <f t="shared" ca="1" si="35"/>
        <v>0.52535618115055072</v>
      </c>
      <c r="S31" s="452">
        <f t="shared" ca="1" si="36"/>
        <v>0.83828333333333338</v>
      </c>
      <c r="T31" s="452">
        <f t="shared" ca="1" si="37"/>
        <v>0.88084278768233393</v>
      </c>
      <c r="U31" s="452" t="str">
        <f t="shared" ca="1" si="38"/>
        <v/>
      </c>
      <c r="V31" s="452" t="str">
        <f t="shared" ca="1" si="39"/>
        <v/>
      </c>
      <c r="W31" s="452" t="s">
        <v>182</v>
      </c>
      <c r="X31" s="452">
        <f t="shared" ca="1" si="40"/>
        <v>0.65853500270500054</v>
      </c>
      <c r="Y31" s="452">
        <v>0.78320000000000001</v>
      </c>
      <c r="Z31" s="186" t="s">
        <v>174</v>
      </c>
      <c r="AA31" s="224"/>
      <c r="AB31" s="186" t="s">
        <v>174</v>
      </c>
    </row>
    <row r="32" spans="1:28" ht="32.25" customHeight="1" x14ac:dyDescent="0.25">
      <c r="A32" s="186" t="s">
        <v>174</v>
      </c>
      <c r="B32" s="459" t="s">
        <v>455</v>
      </c>
      <c r="C32" s="452">
        <f t="shared" ca="1" si="22"/>
        <v>0.86329896907216497</v>
      </c>
      <c r="D32" s="452">
        <f t="shared" ca="1" si="23"/>
        <v>0.89739740259740264</v>
      </c>
      <c r="E32" s="452" t="str">
        <f t="shared" ca="1" si="24"/>
        <v/>
      </c>
      <c r="F32" s="452">
        <f t="shared" ca="1" si="25"/>
        <v>0.87445276292335128</v>
      </c>
      <c r="G32" s="452">
        <f t="shared" ca="1" si="26"/>
        <v>0.86741528239202659</v>
      </c>
      <c r="H32" s="452">
        <f t="shared" ca="1" si="27"/>
        <v>0.86052320675105498</v>
      </c>
      <c r="I32" s="452">
        <f t="shared" ca="1" si="28"/>
        <v>0.67974603174603176</v>
      </c>
      <c r="J32" s="452">
        <f t="shared" ca="1" si="29"/>
        <v>0.8739516483516484</v>
      </c>
      <c r="K32" s="452" t="s">
        <v>182</v>
      </c>
      <c r="L32" s="452" t="s">
        <v>182</v>
      </c>
      <c r="M32" s="452">
        <f t="shared" ca="1" si="30"/>
        <v>0.90279069767441855</v>
      </c>
      <c r="N32" s="452" t="str">
        <f t="shared" ca="1" si="31"/>
        <v/>
      </c>
      <c r="O32" s="452">
        <f t="shared" ca="1" si="32"/>
        <v>0.29881370091896409</v>
      </c>
      <c r="P32" s="452">
        <f t="shared" ca="1" si="33"/>
        <v>0.91341176470588237</v>
      </c>
      <c r="Q32" s="452">
        <f t="shared" ca="1" si="34"/>
        <v>0.29161027242755511</v>
      </c>
      <c r="R32" s="452">
        <f t="shared" ca="1" si="35"/>
        <v>0.45051165845648605</v>
      </c>
      <c r="S32" s="452">
        <f t="shared" ca="1" si="36"/>
        <v>0.89847619047619065</v>
      </c>
      <c r="T32" s="452">
        <f t="shared" ca="1" si="37"/>
        <v>0.8683986710963455</v>
      </c>
      <c r="U32" s="452" t="str">
        <f t="shared" ca="1" si="38"/>
        <v/>
      </c>
      <c r="V32" s="452" t="str">
        <f t="shared" ca="1" si="39"/>
        <v/>
      </c>
      <c r="W32" s="452" t="s">
        <v>182</v>
      </c>
      <c r="X32" s="452">
        <f t="shared" ca="1" si="40"/>
        <v>0.72861134052661958</v>
      </c>
      <c r="Y32" s="452">
        <v>0.80149999999999999</v>
      </c>
      <c r="Z32" s="186" t="s">
        <v>174</v>
      </c>
      <c r="AA32" s="224"/>
      <c r="AB32" s="186" t="s">
        <v>174</v>
      </c>
    </row>
    <row r="33" spans="1:28" ht="32.25" customHeight="1" x14ac:dyDescent="0.25">
      <c r="A33" s="186" t="s">
        <v>174</v>
      </c>
      <c r="B33" s="459" t="s">
        <v>456</v>
      </c>
      <c r="C33" s="452">
        <f t="shared" ca="1" si="22"/>
        <v>0.56566637211585657</v>
      </c>
      <c r="D33" s="452">
        <f t="shared" ca="1" si="23"/>
        <v>0.90208355091383818</v>
      </c>
      <c r="E33" s="452" t="str">
        <f t="shared" ca="1" si="24"/>
        <v/>
      </c>
      <c r="F33" s="452">
        <f t="shared" ca="1" si="25"/>
        <v>0.90111682586333597</v>
      </c>
      <c r="G33" s="452">
        <f t="shared" ca="1" si="26"/>
        <v>0.90279069767441855</v>
      </c>
      <c r="H33" s="452">
        <f t="shared" ca="1" si="27"/>
        <v>0.88045810729355034</v>
      </c>
      <c r="I33" s="452">
        <f t="shared" ca="1" si="28"/>
        <v>0.84126984126984128</v>
      </c>
      <c r="J33" s="452">
        <f t="shared" ca="1" si="29"/>
        <v>0.8739516483516484</v>
      </c>
      <c r="K33" s="452" t="s">
        <v>182</v>
      </c>
      <c r="L33" s="452" t="s">
        <v>182</v>
      </c>
      <c r="M33" s="452">
        <f t="shared" ca="1" si="30"/>
        <v>0.85636146179401995</v>
      </c>
      <c r="N33" s="452" t="str">
        <f t="shared" ca="1" si="31"/>
        <v/>
      </c>
      <c r="O33" s="452">
        <f t="shared" ca="1" si="32"/>
        <v>0.47024818318935963</v>
      </c>
      <c r="P33" s="452">
        <f t="shared" ca="1" si="33"/>
        <v>0.9158746208291203</v>
      </c>
      <c r="Q33" s="452">
        <f t="shared" ca="1" si="34"/>
        <v>0.55755952380952378</v>
      </c>
      <c r="R33" s="452">
        <f t="shared" ca="1" si="35"/>
        <v>0.55173055332798715</v>
      </c>
      <c r="S33" s="452">
        <f t="shared" ca="1" si="36"/>
        <v>0.66682878899533293</v>
      </c>
      <c r="T33" s="452">
        <f t="shared" ca="1" si="37"/>
        <v>0.800841259209645</v>
      </c>
      <c r="U33" s="452" t="str">
        <f t="shared" ca="1" si="38"/>
        <v/>
      </c>
      <c r="V33" s="452" t="str">
        <f t="shared" ca="1" si="39"/>
        <v/>
      </c>
      <c r="W33" s="452" t="s">
        <v>182</v>
      </c>
      <c r="X33" s="452">
        <f t="shared" ca="1" si="40"/>
        <v>0.74039216189071944</v>
      </c>
      <c r="Y33" s="452">
        <v>0.83320000000000005</v>
      </c>
      <c r="Z33" s="186" t="s">
        <v>174</v>
      </c>
      <c r="AA33" s="224"/>
      <c r="AB33" s="186" t="s">
        <v>174</v>
      </c>
    </row>
    <row r="34" spans="1:28" ht="32.25" customHeight="1" x14ac:dyDescent="0.25">
      <c r="A34" s="186" t="s">
        <v>174</v>
      </c>
      <c r="B34" s="459" t="s">
        <v>457</v>
      </c>
      <c r="C34" s="452">
        <f t="shared" ca="1" si="22"/>
        <v>0.19257725772577258</v>
      </c>
      <c r="D34" s="452">
        <f t="shared" ca="1" si="23"/>
        <v>0.89831404958677685</v>
      </c>
      <c r="E34" s="452" t="str">
        <f t="shared" ca="1" si="24"/>
        <v/>
      </c>
      <c r="F34" s="452">
        <f t="shared" ca="1" si="25"/>
        <v>0.88800920598388966</v>
      </c>
      <c r="G34" s="452">
        <f t="shared" ca="1" si="26"/>
        <v>0.90279069767441866</v>
      </c>
      <c r="H34" s="452">
        <f t="shared" ca="1" si="27"/>
        <v>0.88800920598388966</v>
      </c>
      <c r="I34" s="452">
        <f t="shared" ca="1" si="28"/>
        <v>0.91902356902356908</v>
      </c>
      <c r="J34" s="452">
        <f t="shared" ca="1" si="29"/>
        <v>0.87497902097902092</v>
      </c>
      <c r="K34" s="452" t="s">
        <v>182</v>
      </c>
      <c r="L34" s="452" t="s">
        <v>182</v>
      </c>
      <c r="M34" s="452">
        <f t="shared" ca="1" si="30"/>
        <v>0.78097243816254414</v>
      </c>
      <c r="N34" s="452" t="str">
        <f t="shared" ca="1" si="31"/>
        <v/>
      </c>
      <c r="O34" s="452">
        <f t="shared" ca="1" si="32"/>
        <v>0.59639350854516726</v>
      </c>
      <c r="P34" s="452">
        <f t="shared" ca="1" si="33"/>
        <v>0.9015200562983815</v>
      </c>
      <c r="Q34" s="452">
        <f t="shared" ca="1" si="34"/>
        <v>0.61719155844155837</v>
      </c>
      <c r="R34" s="452">
        <f t="shared" ca="1" si="35"/>
        <v>0.66788520603154755</v>
      </c>
      <c r="S34" s="452">
        <f t="shared" ca="1" si="36"/>
        <v>0.89939393939393952</v>
      </c>
      <c r="T34" s="452">
        <f t="shared" ca="1" si="37"/>
        <v>0.97209584214235378</v>
      </c>
      <c r="U34" s="452" t="str">
        <f t="shared" ca="1" si="38"/>
        <v/>
      </c>
      <c r="V34" s="452" t="str">
        <f t="shared" ca="1" si="39"/>
        <v/>
      </c>
      <c r="W34" s="452" t="s">
        <v>182</v>
      </c>
      <c r="X34" s="452">
        <f t="shared" ca="1" si="40"/>
        <v>0.7618012909796168</v>
      </c>
      <c r="Y34" s="452">
        <v>0.83409999999999995</v>
      </c>
      <c r="Z34" s="186" t="s">
        <v>174</v>
      </c>
      <c r="AA34" s="224"/>
      <c r="AB34" s="186" t="s">
        <v>174</v>
      </c>
    </row>
    <row r="35" spans="1:28" ht="32.25" customHeight="1" x14ac:dyDescent="0.25">
      <c r="A35" s="186" t="s">
        <v>174</v>
      </c>
      <c r="B35" s="459" t="s">
        <v>458</v>
      </c>
      <c r="C35" s="452">
        <f t="shared" ca="1" si="22"/>
        <v>0.61774954627949186</v>
      </c>
      <c r="D35" s="452">
        <f t="shared" ca="1" si="23"/>
        <v>0.89849843260188078</v>
      </c>
      <c r="E35" s="452" t="str">
        <f t="shared" ca="1" si="24"/>
        <v/>
      </c>
      <c r="F35" s="452">
        <f t="shared" ca="1" si="25"/>
        <v>0.42846743295019163</v>
      </c>
      <c r="G35" s="452">
        <f t="shared" ca="1" si="26"/>
        <v>0.96149157979149968</v>
      </c>
      <c r="H35" s="452">
        <f t="shared" ca="1" si="27"/>
        <v>0.88819147388331154</v>
      </c>
      <c r="I35" s="452">
        <f t="shared" ca="1" si="28"/>
        <v>0.89957854406130267</v>
      </c>
      <c r="J35" s="452" t="str">
        <f t="shared" ca="1" si="29"/>
        <v/>
      </c>
      <c r="K35" s="452" t="s">
        <v>182</v>
      </c>
      <c r="L35" s="452" t="s">
        <v>182</v>
      </c>
      <c r="M35" s="452">
        <f t="shared" ca="1" si="30"/>
        <v>0.83907411811335719</v>
      </c>
      <c r="N35" s="452" t="str">
        <f t="shared" ca="1" si="31"/>
        <v/>
      </c>
      <c r="O35" s="452">
        <f t="shared" ca="1" si="32"/>
        <v>0.54781475826972004</v>
      </c>
      <c r="P35" s="452">
        <f t="shared" ca="1" si="33"/>
        <v>0.90279069767441866</v>
      </c>
      <c r="Q35" s="452">
        <f t="shared" ca="1" si="34"/>
        <v>0.66160714285714284</v>
      </c>
      <c r="R35" s="452">
        <f t="shared" ca="1" si="35"/>
        <v>0.43915568413157613</v>
      </c>
      <c r="S35" s="452">
        <f t="shared" ca="1" si="36"/>
        <v>0.85693486590038326</v>
      </c>
      <c r="T35" s="452">
        <f t="shared" ca="1" si="37"/>
        <v>0.90279069767441866</v>
      </c>
      <c r="U35" s="452" t="str">
        <f t="shared" ca="1" si="38"/>
        <v/>
      </c>
      <c r="V35" s="452" t="str">
        <f t="shared" ca="1" si="39"/>
        <v/>
      </c>
      <c r="W35" s="452" t="s">
        <v>182</v>
      </c>
      <c r="X35" s="452">
        <f t="shared" ca="1" si="40"/>
        <v>0.74744046191960367</v>
      </c>
      <c r="Y35" s="452">
        <v>0.83230000000000004</v>
      </c>
      <c r="Z35" s="186" t="s">
        <v>174</v>
      </c>
      <c r="AA35" s="224"/>
      <c r="AB35" s="186" t="s">
        <v>174</v>
      </c>
    </row>
    <row r="36" spans="1:28" ht="32.25" customHeight="1" x14ac:dyDescent="0.25">
      <c r="A36" s="186" t="s">
        <v>174</v>
      </c>
      <c r="B36" s="459" t="s">
        <v>459</v>
      </c>
      <c r="C36" s="452" t="str">
        <f t="shared" ca="1" si="22"/>
        <v/>
      </c>
      <c r="D36" s="452" t="str">
        <f t="shared" ca="1" si="23"/>
        <v/>
      </c>
      <c r="E36" s="452" t="str">
        <f t="shared" ca="1" si="24"/>
        <v/>
      </c>
      <c r="F36" s="452" t="str">
        <f t="shared" ca="1" si="25"/>
        <v/>
      </c>
      <c r="G36" s="452" t="str">
        <f t="shared" ca="1" si="26"/>
        <v/>
      </c>
      <c r="H36" s="452" t="str">
        <f t="shared" ca="1" si="27"/>
        <v/>
      </c>
      <c r="I36" s="452" t="str">
        <f t="shared" ca="1" si="28"/>
        <v/>
      </c>
      <c r="J36" s="452" t="str">
        <f t="shared" ca="1" si="29"/>
        <v/>
      </c>
      <c r="K36" s="452" t="s">
        <v>182</v>
      </c>
      <c r="L36" s="452" t="s">
        <v>182</v>
      </c>
      <c r="M36" s="452" t="str">
        <f t="shared" ca="1" si="30"/>
        <v/>
      </c>
      <c r="N36" s="452" t="str">
        <f t="shared" ca="1" si="31"/>
        <v/>
      </c>
      <c r="O36" s="452" t="str">
        <f t="shared" ca="1" si="32"/>
        <v/>
      </c>
      <c r="P36" s="452" t="str">
        <f t="shared" ca="1" si="33"/>
        <v/>
      </c>
      <c r="Q36" s="452" t="str">
        <f t="shared" ca="1" si="34"/>
        <v/>
      </c>
      <c r="R36" s="452" t="str">
        <f t="shared" ca="1" si="35"/>
        <v/>
      </c>
      <c r="S36" s="452" t="str">
        <f t="shared" ca="1" si="36"/>
        <v/>
      </c>
      <c r="T36" s="452" t="str">
        <f t="shared" ca="1" si="37"/>
        <v/>
      </c>
      <c r="U36" s="452" t="str">
        <f t="shared" ca="1" si="38"/>
        <v/>
      </c>
      <c r="V36" s="452" t="str">
        <f t="shared" ca="1" si="39"/>
        <v/>
      </c>
      <c r="W36" s="452" t="s">
        <v>182</v>
      </c>
      <c r="X36" s="452" t="str">
        <f t="shared" ca="1" si="40"/>
        <v/>
      </c>
      <c r="Y36" s="452" t="s">
        <v>182</v>
      </c>
      <c r="Z36" s="186" t="s">
        <v>174</v>
      </c>
      <c r="AA36" s="224"/>
      <c r="AB36" s="186" t="s">
        <v>174</v>
      </c>
    </row>
    <row r="37" spans="1:28" ht="32.25" customHeight="1" x14ac:dyDescent="0.25">
      <c r="B37" s="459" t="s">
        <v>460</v>
      </c>
      <c r="C37" s="452">
        <f t="shared" ca="1" si="22"/>
        <v>0.83741954887218051</v>
      </c>
      <c r="D37" s="452">
        <f t="shared" ca="1" si="23"/>
        <v>0.91826710963455149</v>
      </c>
      <c r="E37" s="452" t="str">
        <f t="shared" ca="1" si="24"/>
        <v/>
      </c>
      <c r="F37" s="452">
        <f t="shared" ca="1" si="25"/>
        <v>0.2611841289522629</v>
      </c>
      <c r="G37" s="452">
        <f t="shared" ca="1" si="26"/>
        <v>0.90279069767441855</v>
      </c>
      <c r="H37" s="452">
        <f t="shared" ca="1" si="27"/>
        <v>0.88710307414104894</v>
      </c>
      <c r="I37" s="452">
        <f t="shared" ca="1" si="28"/>
        <v>0.89847619047619065</v>
      </c>
      <c r="J37" s="452">
        <f t="shared" ca="1" si="29"/>
        <v>0.89060784313725494</v>
      </c>
      <c r="K37" s="452" t="s">
        <v>182</v>
      </c>
      <c r="L37" s="452" t="s">
        <v>182</v>
      </c>
      <c r="M37" s="452">
        <f t="shared" ca="1" si="30"/>
        <v>0.90279069767441855</v>
      </c>
      <c r="N37" s="452" t="str">
        <f t="shared" ca="1" si="31"/>
        <v/>
      </c>
      <c r="O37" s="452">
        <f t="shared" ca="1" si="32"/>
        <v>0</v>
      </c>
      <c r="P37" s="452">
        <f t="shared" ca="1" si="33"/>
        <v>0.90279069767441855</v>
      </c>
      <c r="Q37" s="452">
        <f t="shared" ca="1" si="34"/>
        <v>0.89219173441734423</v>
      </c>
      <c r="R37" s="452">
        <f t="shared" ca="1" si="35"/>
        <v>2.8929346622369879E-2</v>
      </c>
      <c r="S37" s="452">
        <f t="shared" ca="1" si="36"/>
        <v>0.56591714559386974</v>
      </c>
      <c r="T37" s="452">
        <f t="shared" ca="1" si="37"/>
        <v>0.90279069767441855</v>
      </c>
      <c r="U37" s="452" t="str">
        <f t="shared" ca="1" si="38"/>
        <v/>
      </c>
      <c r="V37" s="452" t="str">
        <f t="shared" ca="1" si="39"/>
        <v/>
      </c>
      <c r="W37" s="452" t="s">
        <v>182</v>
      </c>
      <c r="X37" s="452">
        <f t="shared" ca="1" si="40"/>
        <v>0.72121701131229188</v>
      </c>
      <c r="Y37" s="452">
        <v>0.80120000000000002</v>
      </c>
      <c r="Z37" s="186" t="s">
        <v>174</v>
      </c>
      <c r="AA37" s="224"/>
    </row>
    <row r="38" spans="1:28" ht="32.25" customHeight="1" x14ac:dyDescent="0.25">
      <c r="A38" s="186" t="s">
        <v>174</v>
      </c>
      <c r="B38" s="459" t="s">
        <v>461</v>
      </c>
      <c r="C38" s="452">
        <f t="shared" ca="1" si="22"/>
        <v>0.83700000000000008</v>
      </c>
      <c r="D38" s="452">
        <f t="shared" ca="1" si="23"/>
        <v>0.83815909090909091</v>
      </c>
      <c r="E38" s="452" t="str">
        <f t="shared" ca="1" si="24"/>
        <v/>
      </c>
      <c r="F38" s="452">
        <f t="shared" ca="1" si="25"/>
        <v>0.53352631578947374</v>
      </c>
      <c r="G38" s="452">
        <f t="shared" ca="1" si="26"/>
        <v>0.90279069767441866</v>
      </c>
      <c r="H38" s="452" t="str">
        <f t="shared" ca="1" si="27"/>
        <v/>
      </c>
      <c r="I38" s="452" t="str">
        <f t="shared" ca="1" si="28"/>
        <v/>
      </c>
      <c r="J38" s="452">
        <f t="shared" ca="1" si="29"/>
        <v>0.61894444444444452</v>
      </c>
      <c r="K38" s="452" t="s">
        <v>182</v>
      </c>
      <c r="L38" s="452" t="s">
        <v>182</v>
      </c>
      <c r="M38" s="452">
        <f t="shared" ca="1" si="30"/>
        <v>0.72223255813953491</v>
      </c>
      <c r="N38" s="452" t="str">
        <f t="shared" ca="1" si="31"/>
        <v/>
      </c>
      <c r="O38" s="452">
        <f t="shared" ca="1" si="32"/>
        <v>0</v>
      </c>
      <c r="P38" s="452">
        <f t="shared" ca="1" si="33"/>
        <v>0.90279069767441866</v>
      </c>
      <c r="Q38" s="452">
        <f t="shared" ca="1" si="34"/>
        <v>0.68979166666666669</v>
      </c>
      <c r="R38" s="452">
        <f t="shared" ca="1" si="35"/>
        <v>0</v>
      </c>
      <c r="S38" s="452">
        <f t="shared" ca="1" si="36"/>
        <v>0.54545833333333338</v>
      </c>
      <c r="T38" s="452">
        <f t="shared" ca="1" si="37"/>
        <v>0.90279069767441866</v>
      </c>
      <c r="U38" s="452" t="str">
        <f t="shared" ca="1" si="38"/>
        <v/>
      </c>
      <c r="V38" s="452" t="str">
        <f t="shared" ca="1" si="39"/>
        <v/>
      </c>
      <c r="W38" s="452" t="s">
        <v>182</v>
      </c>
      <c r="X38" s="452">
        <f t="shared" ca="1" si="40"/>
        <v>0.62429939393939393</v>
      </c>
      <c r="Y38" s="452" t="s">
        <v>182</v>
      </c>
      <c r="Z38" s="197" t="s">
        <v>174</v>
      </c>
      <c r="AA38" s="224"/>
      <c r="AB38" s="186" t="s">
        <v>174</v>
      </c>
    </row>
    <row r="39" spans="1:28" ht="32.25" customHeight="1" x14ac:dyDescent="0.25">
      <c r="B39" s="459" t="s">
        <v>462</v>
      </c>
      <c r="C39" s="452" t="str">
        <f t="shared" ca="1" si="22"/>
        <v/>
      </c>
      <c r="D39" s="452" t="str">
        <f t="shared" ca="1" si="23"/>
        <v/>
      </c>
      <c r="E39" s="452" t="str">
        <f t="shared" ca="1" si="24"/>
        <v/>
      </c>
      <c r="F39" s="452" t="str">
        <f t="shared" ca="1" si="25"/>
        <v/>
      </c>
      <c r="G39" s="452" t="str">
        <f t="shared" ca="1" si="26"/>
        <v/>
      </c>
      <c r="H39" s="452" t="str">
        <f t="shared" ca="1" si="27"/>
        <v/>
      </c>
      <c r="I39" s="452" t="str">
        <f t="shared" ca="1" si="28"/>
        <v/>
      </c>
      <c r="J39" s="452" t="str">
        <f t="shared" ca="1" si="29"/>
        <v/>
      </c>
      <c r="K39" s="452" t="s">
        <v>182</v>
      </c>
      <c r="L39" s="452" t="s">
        <v>182</v>
      </c>
      <c r="M39" s="452" t="str">
        <f t="shared" ca="1" si="30"/>
        <v/>
      </c>
      <c r="N39" s="452" t="str">
        <f t="shared" ca="1" si="31"/>
        <v/>
      </c>
      <c r="O39" s="452" t="str">
        <f t="shared" ca="1" si="32"/>
        <v/>
      </c>
      <c r="P39" s="452" t="str">
        <f t="shared" ca="1" si="33"/>
        <v/>
      </c>
      <c r="Q39" s="452" t="str">
        <f t="shared" ca="1" si="34"/>
        <v/>
      </c>
      <c r="R39" s="452" t="str">
        <f t="shared" ca="1" si="35"/>
        <v/>
      </c>
      <c r="S39" s="452" t="str">
        <f t="shared" ca="1" si="36"/>
        <v/>
      </c>
      <c r="T39" s="452" t="str">
        <f t="shared" ca="1" si="37"/>
        <v/>
      </c>
      <c r="U39" s="452" t="str">
        <f t="shared" ca="1" si="38"/>
        <v/>
      </c>
      <c r="V39" s="452" t="str">
        <f t="shared" ca="1" si="39"/>
        <v/>
      </c>
      <c r="W39" s="452" t="s">
        <v>182</v>
      </c>
      <c r="X39" s="452" t="str">
        <f t="shared" ca="1" si="40"/>
        <v/>
      </c>
      <c r="Y39" s="452" t="s">
        <v>182</v>
      </c>
      <c r="Z39" s="197"/>
      <c r="AA39" s="224"/>
    </row>
    <row r="40" spans="1:28" ht="32.25" customHeight="1" x14ac:dyDescent="0.25">
      <c r="A40" s="186" t="s">
        <v>174</v>
      </c>
      <c r="B40" s="459" t="s">
        <v>463</v>
      </c>
      <c r="C40" s="452" t="str">
        <f t="shared" ca="1" si="22"/>
        <v/>
      </c>
      <c r="D40" s="452" t="str">
        <f t="shared" ca="1" si="23"/>
        <v/>
      </c>
      <c r="E40" s="452" t="str">
        <f t="shared" ca="1" si="24"/>
        <v/>
      </c>
      <c r="F40" s="452" t="str">
        <f t="shared" ca="1" si="25"/>
        <v/>
      </c>
      <c r="G40" s="452" t="str">
        <f t="shared" ca="1" si="26"/>
        <v/>
      </c>
      <c r="H40" s="452" t="str">
        <f t="shared" ca="1" si="27"/>
        <v/>
      </c>
      <c r="I40" s="452" t="str">
        <f t="shared" ca="1" si="28"/>
        <v/>
      </c>
      <c r="J40" s="452" t="str">
        <f t="shared" ca="1" si="29"/>
        <v/>
      </c>
      <c r="K40" s="452" t="s">
        <v>182</v>
      </c>
      <c r="L40" s="452" t="s">
        <v>182</v>
      </c>
      <c r="M40" s="452" t="str">
        <f t="shared" ca="1" si="30"/>
        <v/>
      </c>
      <c r="N40" s="452" t="str">
        <f t="shared" ca="1" si="31"/>
        <v/>
      </c>
      <c r="O40" s="452" t="str">
        <f t="shared" ca="1" si="32"/>
        <v/>
      </c>
      <c r="P40" s="452" t="str">
        <f t="shared" ca="1" si="33"/>
        <v/>
      </c>
      <c r="Q40" s="452" t="str">
        <f t="shared" ca="1" si="34"/>
        <v/>
      </c>
      <c r="R40" s="452" t="str">
        <f t="shared" ca="1" si="35"/>
        <v/>
      </c>
      <c r="S40" s="452" t="str">
        <f t="shared" ca="1" si="36"/>
        <v/>
      </c>
      <c r="T40" s="452" t="str">
        <f t="shared" ca="1" si="37"/>
        <v/>
      </c>
      <c r="U40" s="452" t="str">
        <f t="shared" ca="1" si="38"/>
        <v/>
      </c>
      <c r="V40" s="452" t="str">
        <f t="shared" ca="1" si="39"/>
        <v/>
      </c>
      <c r="W40" s="452" t="s">
        <v>182</v>
      </c>
      <c r="X40" s="452" t="str">
        <f t="shared" ca="1" si="40"/>
        <v/>
      </c>
      <c r="Y40" s="452" t="s">
        <v>182</v>
      </c>
      <c r="Z40" s="186" t="s">
        <v>174</v>
      </c>
      <c r="AA40" s="224"/>
      <c r="AB40" s="186" t="s">
        <v>174</v>
      </c>
    </row>
    <row r="41" spans="1:28" ht="32.25" customHeight="1" x14ac:dyDescent="0.25">
      <c r="A41" s="186" t="s">
        <v>174</v>
      </c>
      <c r="B41" s="459" t="s">
        <v>464</v>
      </c>
      <c r="C41" s="452" t="str">
        <f t="shared" ca="1" si="22"/>
        <v/>
      </c>
      <c r="D41" s="452" t="str">
        <f t="shared" ca="1" si="23"/>
        <v/>
      </c>
      <c r="E41" s="452" t="str">
        <f t="shared" ca="1" si="24"/>
        <v/>
      </c>
      <c r="F41" s="452" t="str">
        <f t="shared" ca="1" si="25"/>
        <v/>
      </c>
      <c r="G41" s="452" t="str">
        <f t="shared" ca="1" si="26"/>
        <v/>
      </c>
      <c r="H41" s="452" t="str">
        <f t="shared" ca="1" si="27"/>
        <v/>
      </c>
      <c r="I41" s="452" t="str">
        <f t="shared" ca="1" si="28"/>
        <v/>
      </c>
      <c r="J41" s="452" t="str">
        <f t="shared" ca="1" si="29"/>
        <v/>
      </c>
      <c r="K41" s="452" t="s">
        <v>182</v>
      </c>
      <c r="L41" s="452" t="s">
        <v>182</v>
      </c>
      <c r="M41" s="452" t="str">
        <f t="shared" ca="1" si="30"/>
        <v/>
      </c>
      <c r="N41" s="452" t="str">
        <f t="shared" ca="1" si="31"/>
        <v/>
      </c>
      <c r="O41" s="452" t="str">
        <f t="shared" ca="1" si="32"/>
        <v/>
      </c>
      <c r="P41" s="452" t="str">
        <f t="shared" ca="1" si="33"/>
        <v/>
      </c>
      <c r="Q41" s="452" t="str">
        <f t="shared" ca="1" si="34"/>
        <v/>
      </c>
      <c r="R41" s="452" t="str">
        <f t="shared" ca="1" si="35"/>
        <v/>
      </c>
      <c r="S41" s="452" t="str">
        <f t="shared" ca="1" si="36"/>
        <v/>
      </c>
      <c r="T41" s="452" t="str">
        <f t="shared" ca="1" si="37"/>
        <v/>
      </c>
      <c r="U41" s="452" t="str">
        <f t="shared" ca="1" si="38"/>
        <v/>
      </c>
      <c r="V41" s="452" t="str">
        <f t="shared" ca="1" si="39"/>
        <v/>
      </c>
      <c r="W41" s="452" t="s">
        <v>182</v>
      </c>
      <c r="X41" s="452" t="str">
        <f t="shared" ca="1" si="40"/>
        <v/>
      </c>
      <c r="Y41" s="452" t="s">
        <v>182</v>
      </c>
      <c r="Z41" s="186" t="s">
        <v>174</v>
      </c>
      <c r="AA41" s="224"/>
      <c r="AB41" s="186" t="s">
        <v>174</v>
      </c>
    </row>
    <row r="42" spans="1:28" ht="32.25" customHeight="1" x14ac:dyDescent="0.25">
      <c r="B42" s="459" t="s">
        <v>465</v>
      </c>
      <c r="C42" s="452" t="str">
        <f t="shared" ca="1" si="22"/>
        <v/>
      </c>
      <c r="D42" s="452" t="str">
        <f t="shared" ca="1" si="23"/>
        <v/>
      </c>
      <c r="E42" s="452" t="str">
        <f t="shared" ca="1" si="24"/>
        <v/>
      </c>
      <c r="F42" s="452" t="str">
        <f t="shared" ca="1" si="25"/>
        <v/>
      </c>
      <c r="G42" s="452" t="str">
        <f t="shared" ca="1" si="26"/>
        <v/>
      </c>
      <c r="H42" s="452" t="str">
        <f t="shared" ca="1" si="27"/>
        <v/>
      </c>
      <c r="I42" s="452" t="str">
        <f t="shared" ca="1" si="28"/>
        <v/>
      </c>
      <c r="J42" s="452" t="str">
        <f t="shared" ca="1" si="29"/>
        <v/>
      </c>
      <c r="K42" s="452" t="s">
        <v>182</v>
      </c>
      <c r="L42" s="452" t="s">
        <v>182</v>
      </c>
      <c r="M42" s="452" t="str">
        <f t="shared" ca="1" si="30"/>
        <v/>
      </c>
      <c r="N42" s="452" t="str">
        <f t="shared" ca="1" si="31"/>
        <v/>
      </c>
      <c r="O42" s="452" t="str">
        <f t="shared" ca="1" si="32"/>
        <v/>
      </c>
      <c r="P42" s="452" t="str">
        <f t="shared" ca="1" si="33"/>
        <v/>
      </c>
      <c r="Q42" s="452" t="str">
        <f t="shared" ca="1" si="34"/>
        <v/>
      </c>
      <c r="R42" s="452" t="str">
        <f t="shared" ca="1" si="35"/>
        <v/>
      </c>
      <c r="S42" s="452" t="str">
        <f t="shared" ca="1" si="36"/>
        <v/>
      </c>
      <c r="T42" s="452" t="str">
        <f t="shared" ca="1" si="37"/>
        <v/>
      </c>
      <c r="U42" s="452" t="str">
        <f t="shared" ca="1" si="38"/>
        <v/>
      </c>
      <c r="V42" s="452" t="str">
        <f t="shared" ca="1" si="39"/>
        <v/>
      </c>
      <c r="W42" s="452" t="s">
        <v>182</v>
      </c>
      <c r="X42" s="452" t="str">
        <f t="shared" ca="1" si="40"/>
        <v/>
      </c>
      <c r="Y42" s="452" t="s">
        <v>182</v>
      </c>
      <c r="AA42" s="224"/>
    </row>
    <row r="43" spans="1:28" ht="32.25" customHeight="1" x14ac:dyDescent="0.25">
      <c r="A43" s="186" t="s">
        <v>174</v>
      </c>
      <c r="B43" s="459" t="s">
        <v>466</v>
      </c>
      <c r="C43" s="452" t="str">
        <f t="shared" ca="1" si="22"/>
        <v/>
      </c>
      <c r="D43" s="452" t="str">
        <f t="shared" ca="1" si="23"/>
        <v/>
      </c>
      <c r="E43" s="452" t="str">
        <f t="shared" ca="1" si="24"/>
        <v/>
      </c>
      <c r="F43" s="452" t="str">
        <f t="shared" ca="1" si="25"/>
        <v/>
      </c>
      <c r="G43" s="452" t="str">
        <f t="shared" ca="1" si="26"/>
        <v/>
      </c>
      <c r="H43" s="452" t="str">
        <f t="shared" ca="1" si="27"/>
        <v/>
      </c>
      <c r="I43" s="452" t="str">
        <f t="shared" ca="1" si="28"/>
        <v/>
      </c>
      <c r="J43" s="452" t="str">
        <f t="shared" ca="1" si="29"/>
        <v/>
      </c>
      <c r="K43" s="452" t="s">
        <v>182</v>
      </c>
      <c r="L43" s="452" t="s">
        <v>182</v>
      </c>
      <c r="M43" s="452" t="str">
        <f t="shared" ca="1" si="30"/>
        <v/>
      </c>
      <c r="N43" s="452" t="str">
        <f t="shared" ca="1" si="31"/>
        <v/>
      </c>
      <c r="O43" s="452" t="str">
        <f t="shared" ca="1" si="32"/>
        <v/>
      </c>
      <c r="P43" s="452" t="str">
        <f t="shared" ca="1" si="33"/>
        <v/>
      </c>
      <c r="Q43" s="452" t="str">
        <f t="shared" ca="1" si="34"/>
        <v/>
      </c>
      <c r="R43" s="452" t="str">
        <f t="shared" ca="1" si="35"/>
        <v/>
      </c>
      <c r="S43" s="452" t="str">
        <f t="shared" ca="1" si="36"/>
        <v/>
      </c>
      <c r="T43" s="452" t="str">
        <f t="shared" ca="1" si="37"/>
        <v/>
      </c>
      <c r="U43" s="452" t="str">
        <f t="shared" ca="1" si="38"/>
        <v/>
      </c>
      <c r="V43" s="452" t="str">
        <f t="shared" ca="1" si="39"/>
        <v/>
      </c>
      <c r="W43" s="452" t="s">
        <v>182</v>
      </c>
      <c r="X43" s="452" t="str">
        <f t="shared" ca="1" si="40"/>
        <v/>
      </c>
      <c r="Y43" s="452" t="s">
        <v>182</v>
      </c>
      <c r="Z43" s="197" t="s">
        <v>174</v>
      </c>
      <c r="AA43" s="224"/>
      <c r="AB43" s="186" t="s">
        <v>174</v>
      </c>
    </row>
    <row r="44" spans="1:28" ht="32.25" customHeight="1" x14ac:dyDescent="0.25">
      <c r="B44" s="459" t="s">
        <v>467</v>
      </c>
      <c r="C44" s="452" t="str">
        <f t="shared" ca="1" si="22"/>
        <v/>
      </c>
      <c r="D44" s="452" t="str">
        <f t="shared" ca="1" si="23"/>
        <v/>
      </c>
      <c r="E44" s="452" t="str">
        <f t="shared" ca="1" si="24"/>
        <v/>
      </c>
      <c r="F44" s="452" t="str">
        <f t="shared" ca="1" si="25"/>
        <v/>
      </c>
      <c r="G44" s="452" t="str">
        <f t="shared" ca="1" si="26"/>
        <v/>
      </c>
      <c r="H44" s="452" t="str">
        <f t="shared" ca="1" si="27"/>
        <v/>
      </c>
      <c r="I44" s="452" t="str">
        <f t="shared" ca="1" si="28"/>
        <v/>
      </c>
      <c r="J44" s="452" t="str">
        <f t="shared" ca="1" si="29"/>
        <v/>
      </c>
      <c r="K44" s="452" t="s">
        <v>182</v>
      </c>
      <c r="L44" s="452" t="s">
        <v>182</v>
      </c>
      <c r="M44" s="452" t="str">
        <f t="shared" ca="1" si="30"/>
        <v/>
      </c>
      <c r="N44" s="452" t="str">
        <f t="shared" ca="1" si="31"/>
        <v/>
      </c>
      <c r="O44" s="452" t="str">
        <f t="shared" ca="1" si="32"/>
        <v/>
      </c>
      <c r="P44" s="452" t="str">
        <f t="shared" ca="1" si="33"/>
        <v/>
      </c>
      <c r="Q44" s="452" t="str">
        <f t="shared" ca="1" si="34"/>
        <v/>
      </c>
      <c r="R44" s="452" t="str">
        <f t="shared" ca="1" si="35"/>
        <v/>
      </c>
      <c r="S44" s="452" t="str">
        <f t="shared" ca="1" si="36"/>
        <v/>
      </c>
      <c r="T44" s="452" t="str">
        <f t="shared" ca="1" si="37"/>
        <v/>
      </c>
      <c r="U44" s="452" t="str">
        <f t="shared" ca="1" si="38"/>
        <v/>
      </c>
      <c r="V44" s="452" t="str">
        <f t="shared" ca="1" si="39"/>
        <v/>
      </c>
      <c r="W44" s="452" t="s">
        <v>182</v>
      </c>
      <c r="X44" s="452" t="str">
        <f t="shared" ca="1" si="40"/>
        <v/>
      </c>
      <c r="Y44" s="452" t="s">
        <v>182</v>
      </c>
    </row>
    <row r="45" spans="1:28" ht="32.25" customHeight="1" x14ac:dyDescent="0.25">
      <c r="B45" s="459" t="s">
        <v>468</v>
      </c>
      <c r="C45" s="452" t="str">
        <f t="shared" ca="1" si="22"/>
        <v/>
      </c>
      <c r="D45" s="452" t="str">
        <f t="shared" ca="1" si="23"/>
        <v/>
      </c>
      <c r="E45" s="452" t="str">
        <f t="shared" ca="1" si="24"/>
        <v/>
      </c>
      <c r="F45" s="452" t="str">
        <f t="shared" ca="1" si="25"/>
        <v/>
      </c>
      <c r="G45" s="452" t="str">
        <f t="shared" ca="1" si="26"/>
        <v/>
      </c>
      <c r="H45" s="452" t="str">
        <f t="shared" ca="1" si="27"/>
        <v/>
      </c>
      <c r="I45" s="452" t="str">
        <f t="shared" ca="1" si="28"/>
        <v/>
      </c>
      <c r="J45" s="452" t="str">
        <f t="shared" ca="1" si="29"/>
        <v/>
      </c>
      <c r="K45" s="452" t="s">
        <v>182</v>
      </c>
      <c r="L45" s="452" t="s">
        <v>182</v>
      </c>
      <c r="M45" s="452" t="str">
        <f t="shared" ca="1" si="30"/>
        <v/>
      </c>
      <c r="N45" s="452" t="str">
        <f t="shared" ca="1" si="31"/>
        <v/>
      </c>
      <c r="O45" s="452" t="str">
        <f t="shared" ca="1" si="32"/>
        <v/>
      </c>
      <c r="P45" s="452" t="str">
        <f t="shared" ca="1" si="33"/>
        <v/>
      </c>
      <c r="Q45" s="452" t="str">
        <f t="shared" ca="1" si="34"/>
        <v/>
      </c>
      <c r="R45" s="452" t="str">
        <f t="shared" ca="1" si="35"/>
        <v/>
      </c>
      <c r="S45" s="452" t="str">
        <f t="shared" ca="1" si="36"/>
        <v/>
      </c>
      <c r="T45" s="452" t="str">
        <f t="shared" ca="1" si="37"/>
        <v/>
      </c>
      <c r="U45" s="452" t="str">
        <f t="shared" ca="1" si="38"/>
        <v/>
      </c>
      <c r="V45" s="452" t="str">
        <f t="shared" ca="1" si="39"/>
        <v/>
      </c>
      <c r="W45" s="452" t="s">
        <v>182</v>
      </c>
      <c r="X45" s="452" t="str">
        <f t="shared" ca="1" si="40"/>
        <v/>
      </c>
      <c r="Y45" s="452" t="s">
        <v>182</v>
      </c>
    </row>
    <row r="46" spans="1:28" ht="32.25" customHeight="1" x14ac:dyDescent="0.25">
      <c r="B46" s="459" t="s">
        <v>469</v>
      </c>
      <c r="C46" s="452" t="str">
        <f t="shared" ca="1" si="22"/>
        <v/>
      </c>
      <c r="D46" s="452" t="str">
        <f t="shared" ca="1" si="23"/>
        <v/>
      </c>
      <c r="E46" s="452" t="str">
        <f t="shared" ca="1" si="24"/>
        <v/>
      </c>
      <c r="F46" s="452" t="str">
        <f t="shared" ca="1" si="25"/>
        <v/>
      </c>
      <c r="G46" s="452" t="str">
        <f t="shared" ca="1" si="26"/>
        <v/>
      </c>
      <c r="H46" s="452" t="str">
        <f t="shared" ca="1" si="27"/>
        <v/>
      </c>
      <c r="I46" s="452" t="str">
        <f t="shared" ca="1" si="28"/>
        <v/>
      </c>
      <c r="J46" s="452" t="str">
        <f t="shared" ca="1" si="29"/>
        <v/>
      </c>
      <c r="K46" s="452" t="s">
        <v>182</v>
      </c>
      <c r="L46" s="452" t="s">
        <v>182</v>
      </c>
      <c r="M46" s="452" t="str">
        <f t="shared" ca="1" si="30"/>
        <v/>
      </c>
      <c r="N46" s="452" t="str">
        <f t="shared" ca="1" si="31"/>
        <v/>
      </c>
      <c r="O46" s="452" t="str">
        <f t="shared" ca="1" si="32"/>
        <v/>
      </c>
      <c r="P46" s="452" t="str">
        <f t="shared" ca="1" si="33"/>
        <v/>
      </c>
      <c r="Q46" s="452" t="str">
        <f t="shared" ca="1" si="34"/>
        <v/>
      </c>
      <c r="R46" s="452" t="str">
        <f t="shared" ca="1" si="35"/>
        <v/>
      </c>
      <c r="S46" s="452" t="str">
        <f t="shared" ca="1" si="36"/>
        <v/>
      </c>
      <c r="T46" s="452" t="str">
        <f t="shared" ca="1" si="37"/>
        <v/>
      </c>
      <c r="U46" s="452" t="str">
        <f t="shared" ca="1" si="38"/>
        <v/>
      </c>
      <c r="V46" s="452" t="str">
        <f t="shared" ca="1" si="39"/>
        <v/>
      </c>
      <c r="W46" s="452" t="s">
        <v>182</v>
      </c>
      <c r="X46" s="452" t="str">
        <f t="shared" ca="1" si="40"/>
        <v/>
      </c>
      <c r="Y46" s="452" t="s">
        <v>182</v>
      </c>
    </row>
    <row r="47" spans="1:28" ht="32.25" customHeight="1" x14ac:dyDescent="0.25">
      <c r="B47" s="459" t="s">
        <v>470</v>
      </c>
      <c r="C47" s="452" t="str">
        <f t="shared" ca="1" si="22"/>
        <v/>
      </c>
      <c r="D47" s="452" t="str">
        <f t="shared" ca="1" si="23"/>
        <v/>
      </c>
      <c r="E47" s="452" t="str">
        <f t="shared" ca="1" si="24"/>
        <v/>
      </c>
      <c r="F47" s="452" t="str">
        <f t="shared" ca="1" si="25"/>
        <v/>
      </c>
      <c r="G47" s="452" t="str">
        <f t="shared" ca="1" si="26"/>
        <v/>
      </c>
      <c r="H47" s="452" t="str">
        <f t="shared" ca="1" si="27"/>
        <v/>
      </c>
      <c r="I47" s="452" t="str">
        <f t="shared" ca="1" si="28"/>
        <v/>
      </c>
      <c r="J47" s="452" t="str">
        <f t="shared" ca="1" si="29"/>
        <v/>
      </c>
      <c r="K47" s="452" t="s">
        <v>182</v>
      </c>
      <c r="L47" s="452" t="s">
        <v>182</v>
      </c>
      <c r="M47" s="452" t="str">
        <f t="shared" ca="1" si="30"/>
        <v/>
      </c>
      <c r="N47" s="452" t="str">
        <f t="shared" ca="1" si="31"/>
        <v/>
      </c>
      <c r="O47" s="452" t="str">
        <f t="shared" ca="1" si="32"/>
        <v/>
      </c>
      <c r="P47" s="452" t="str">
        <f t="shared" ca="1" si="33"/>
        <v/>
      </c>
      <c r="Q47" s="452" t="str">
        <f t="shared" ca="1" si="34"/>
        <v/>
      </c>
      <c r="R47" s="452" t="str">
        <f t="shared" ca="1" si="35"/>
        <v/>
      </c>
      <c r="S47" s="452" t="str">
        <f t="shared" ca="1" si="36"/>
        <v/>
      </c>
      <c r="T47" s="452" t="str">
        <f t="shared" ca="1" si="37"/>
        <v/>
      </c>
      <c r="U47" s="452" t="str">
        <f t="shared" ca="1" si="38"/>
        <v/>
      </c>
      <c r="V47" s="452" t="str">
        <f t="shared" ca="1" si="39"/>
        <v/>
      </c>
      <c r="W47" s="452" t="s">
        <v>182</v>
      </c>
      <c r="X47" s="452" t="str">
        <f t="shared" ca="1" si="40"/>
        <v/>
      </c>
      <c r="Y47" s="452" t="s">
        <v>182</v>
      </c>
    </row>
    <row r="48" spans="1:28" ht="32.25" customHeight="1" x14ac:dyDescent="0.25">
      <c r="B48" s="459" t="s">
        <v>471</v>
      </c>
      <c r="C48" s="452" t="str">
        <f t="shared" ca="1" si="22"/>
        <v/>
      </c>
      <c r="D48" s="452" t="str">
        <f t="shared" ca="1" si="23"/>
        <v/>
      </c>
      <c r="E48" s="452" t="str">
        <f t="shared" ca="1" si="24"/>
        <v/>
      </c>
      <c r="F48" s="452" t="str">
        <f t="shared" ca="1" si="25"/>
        <v/>
      </c>
      <c r="G48" s="452" t="str">
        <f t="shared" ca="1" si="26"/>
        <v/>
      </c>
      <c r="H48" s="452" t="str">
        <f t="shared" ca="1" si="27"/>
        <v/>
      </c>
      <c r="I48" s="452" t="str">
        <f t="shared" ca="1" si="28"/>
        <v/>
      </c>
      <c r="J48" s="452" t="str">
        <f t="shared" ca="1" si="29"/>
        <v/>
      </c>
      <c r="K48" s="452" t="s">
        <v>182</v>
      </c>
      <c r="L48" s="452" t="s">
        <v>182</v>
      </c>
      <c r="M48" s="452" t="str">
        <f t="shared" ca="1" si="30"/>
        <v/>
      </c>
      <c r="N48" s="452" t="str">
        <f t="shared" ca="1" si="31"/>
        <v/>
      </c>
      <c r="O48" s="452" t="str">
        <f t="shared" ca="1" si="32"/>
        <v/>
      </c>
      <c r="P48" s="452" t="str">
        <f t="shared" ca="1" si="33"/>
        <v/>
      </c>
      <c r="Q48" s="452" t="str">
        <f t="shared" ca="1" si="34"/>
        <v/>
      </c>
      <c r="R48" s="452" t="str">
        <f t="shared" ca="1" si="35"/>
        <v/>
      </c>
      <c r="S48" s="452" t="str">
        <f t="shared" ca="1" si="36"/>
        <v/>
      </c>
      <c r="T48" s="452" t="str">
        <f t="shared" ca="1" si="37"/>
        <v/>
      </c>
      <c r="U48" s="452" t="str">
        <f t="shared" ca="1" si="38"/>
        <v/>
      </c>
      <c r="V48" s="452" t="str">
        <f t="shared" ca="1" si="39"/>
        <v/>
      </c>
      <c r="W48" s="452" t="s">
        <v>182</v>
      </c>
      <c r="X48" s="452" t="str">
        <f t="shared" ca="1" si="40"/>
        <v/>
      </c>
      <c r="Y48" s="452" t="s">
        <v>182</v>
      </c>
    </row>
    <row r="49" spans="2:25" ht="32.25" customHeight="1" x14ac:dyDescent="0.25">
      <c r="B49" s="459" t="s">
        <v>472</v>
      </c>
      <c r="C49" s="452" t="str">
        <f t="shared" ca="1" si="22"/>
        <v/>
      </c>
      <c r="D49" s="452" t="str">
        <f t="shared" ca="1" si="23"/>
        <v/>
      </c>
      <c r="E49" s="452" t="str">
        <f t="shared" ca="1" si="24"/>
        <v/>
      </c>
      <c r="F49" s="452" t="str">
        <f t="shared" ca="1" si="25"/>
        <v/>
      </c>
      <c r="G49" s="452" t="str">
        <f t="shared" ca="1" si="26"/>
        <v/>
      </c>
      <c r="H49" s="452" t="str">
        <f t="shared" ca="1" si="27"/>
        <v/>
      </c>
      <c r="I49" s="452" t="str">
        <f t="shared" ca="1" si="28"/>
        <v/>
      </c>
      <c r="J49" s="452" t="str">
        <f t="shared" ca="1" si="29"/>
        <v/>
      </c>
      <c r="K49" s="452" t="s">
        <v>182</v>
      </c>
      <c r="L49" s="452" t="s">
        <v>182</v>
      </c>
      <c r="M49" s="452" t="str">
        <f t="shared" ca="1" si="30"/>
        <v/>
      </c>
      <c r="N49" s="452" t="str">
        <f t="shared" ca="1" si="31"/>
        <v/>
      </c>
      <c r="O49" s="452" t="str">
        <f t="shared" ca="1" si="32"/>
        <v/>
      </c>
      <c r="P49" s="452" t="str">
        <f t="shared" ca="1" si="33"/>
        <v/>
      </c>
      <c r="Q49" s="452" t="str">
        <f t="shared" ca="1" si="34"/>
        <v/>
      </c>
      <c r="R49" s="452" t="str">
        <f t="shared" ca="1" si="35"/>
        <v/>
      </c>
      <c r="S49" s="452" t="str">
        <f t="shared" ca="1" si="36"/>
        <v/>
      </c>
      <c r="T49" s="452" t="str">
        <f t="shared" ca="1" si="37"/>
        <v/>
      </c>
      <c r="U49" s="452" t="str">
        <f t="shared" ca="1" si="38"/>
        <v/>
      </c>
      <c r="V49" s="452" t="str">
        <f t="shared" ca="1" si="39"/>
        <v/>
      </c>
      <c r="W49" s="452" t="s">
        <v>182</v>
      </c>
      <c r="X49" s="452" t="str">
        <f t="shared" ca="1" si="40"/>
        <v/>
      </c>
      <c r="Y49" s="452" t="s">
        <v>182</v>
      </c>
    </row>
    <row r="50" spans="2:25" ht="32.25" customHeight="1" x14ac:dyDescent="0.25">
      <c r="B50" s="460"/>
      <c r="C50" s="452">
        <f ca="1">+IFERROR(AVERAGE(C19:C49),"")</f>
        <v>0.68555564121841284</v>
      </c>
      <c r="D50" s="452">
        <f t="shared" ref="D50:X50" ca="1" si="41">+IFERROR(AVERAGE(D19:D49),"")</f>
        <v>0.7659142119659752</v>
      </c>
      <c r="E50" s="452" t="str">
        <f t="shared" ca="1" si="41"/>
        <v/>
      </c>
      <c r="F50" s="452">
        <f t="shared" ca="1" si="41"/>
        <v>0.68604000388702224</v>
      </c>
      <c r="G50" s="452">
        <f t="shared" ca="1" si="41"/>
        <v>0.72168946738899808</v>
      </c>
      <c r="H50" s="452">
        <f t="shared" ca="1" si="41"/>
        <v>0.77780916724006832</v>
      </c>
      <c r="I50" s="452">
        <f t="shared" ca="1" si="41"/>
        <v>0.71896924889239799</v>
      </c>
      <c r="J50" s="452">
        <f t="shared" ca="1" si="41"/>
        <v>0.81415685508631364</v>
      </c>
      <c r="K50" s="452" t="str">
        <f t="shared" ca="1" si="41"/>
        <v/>
      </c>
      <c r="L50" s="452" t="str">
        <f t="shared" ca="1" si="41"/>
        <v/>
      </c>
      <c r="M50" s="452">
        <f t="shared" ca="1" si="41"/>
        <v>0.70344098412247125</v>
      </c>
      <c r="N50" s="452" t="str">
        <f t="shared" ca="1" si="41"/>
        <v/>
      </c>
      <c r="O50" s="452">
        <f t="shared" ca="1" si="41"/>
        <v>0.50678675984158039</v>
      </c>
      <c r="P50" s="452">
        <f t="shared" ca="1" si="41"/>
        <v>0.67953788729816433</v>
      </c>
      <c r="Q50" s="452">
        <f t="shared" ca="1" si="41"/>
        <v>0.52429487603242519</v>
      </c>
      <c r="R50" s="452">
        <f t="shared" ca="1" si="41"/>
        <v>0.46305855723462463</v>
      </c>
      <c r="S50" s="452">
        <f t="shared" ca="1" si="41"/>
        <v>0.67876102016074458</v>
      </c>
      <c r="T50" s="452">
        <f t="shared" ca="1" si="41"/>
        <v>0.75862667821398344</v>
      </c>
      <c r="U50" s="452" t="str">
        <f t="shared" ca="1" si="41"/>
        <v/>
      </c>
      <c r="V50" s="452" t="str">
        <f t="shared" ca="1" si="41"/>
        <v/>
      </c>
      <c r="W50" s="452" t="str">
        <f t="shared" ca="1" si="41"/>
        <v/>
      </c>
      <c r="X50" s="452">
        <f t="shared" ca="1" si="41"/>
        <v>0.68178957601073709</v>
      </c>
      <c r="Y50" s="452">
        <f>+AVERAGE(Y19:Y47)</f>
        <v>0.78374999999999995</v>
      </c>
    </row>
    <row r="53" spans="2:25" ht="32.25" customHeight="1" thickBot="1" x14ac:dyDescent="0.3"/>
    <row r="54" spans="2:25" ht="32.25" customHeight="1" thickBot="1" x14ac:dyDescent="0.3">
      <c r="C54" s="312" t="s">
        <v>182</v>
      </c>
    </row>
    <row r="56" spans="2:25" ht="32.25" customHeight="1" x14ac:dyDescent="0.25">
      <c r="C56" s="449" t="s">
        <v>182</v>
      </c>
    </row>
    <row r="57" spans="2:25" ht="32.25" customHeight="1" thickBot="1" x14ac:dyDescent="0.3"/>
    <row r="58" spans="2:25" ht="32.25" customHeight="1" thickBot="1" x14ac:dyDescent="0.3">
      <c r="C58" s="318" t="s">
        <v>182</v>
      </c>
    </row>
    <row r="59" spans="2:25" ht="32.25" customHeight="1" thickBot="1" x14ac:dyDescent="0.3"/>
    <row r="60" spans="2:25" ht="32.25" customHeight="1" thickBot="1" x14ac:dyDescent="0.3">
      <c r="C60" s="319" t="s">
        <v>182</v>
      </c>
    </row>
  </sheetData>
  <sheetProtection algorithmName="SHA-512" hashValue="PG5jNXNgZCi4bnxfi+IzOLgTpG9GnXH3flShawuTk4yjB94AULj1NV/0igWdwRLPvd2tv0XL6+S4rSOFh1vzpQ==" saltValue="HGTFUfcE2mZWQpeo/4q+0A==" spinCount="100000" sheet="1" objects="1" scenarios="1"/>
  <conditionalFormatting sqref="A54:B54 D54:XFD54 A58:B58 D58:XFD58 A59:XFD59 A60:B60 D60:XFD60 A61:XFD1048576 Z19:XFD47 A20:A47 A50 Z50:XFD50">
    <cfRule type="cellIs" dxfId="363" priority="306" operator="equal">
      <formula>"."</formula>
    </cfRule>
  </conditionalFormatting>
  <conditionalFormatting sqref="A19:B19 B20:B49 X19:X49">
    <cfRule type="cellIs" dxfId="362" priority="218" operator="equal">
      <formula>"."</formula>
    </cfRule>
  </conditionalFormatting>
  <conditionalFormatting sqref="A1:XFD2">
    <cfRule type="cellIs" dxfId="361" priority="309" operator="equal">
      <formula>"."</formula>
    </cfRule>
  </conditionalFormatting>
  <conditionalFormatting sqref="A16:XFD18">
    <cfRule type="cellIs" dxfId="360" priority="294" operator="equal">
      <formula>"."</formula>
    </cfRule>
  </conditionalFormatting>
  <conditionalFormatting sqref="A55:XFD57">
    <cfRule type="cellIs" dxfId="359" priority="302" operator="equal">
      <formula>"."</formula>
    </cfRule>
  </conditionalFormatting>
  <conditionalFormatting sqref="B50 Y50">
    <cfRule type="cellIs" dxfId="358" priority="304" operator="equal">
      <formula>"."</formula>
    </cfRule>
  </conditionalFormatting>
  <conditionalFormatting sqref="C56 K20:L49 W20:W49 Y20:Y50">
    <cfRule type="cellIs" dxfId="357" priority="303" operator="between">
      <formula>$AA$1</formula>
      <formula>$AB$1</formula>
    </cfRule>
  </conditionalFormatting>
  <conditionalFormatting sqref="X19:X49">
    <cfRule type="cellIs" dxfId="356" priority="152" operator="between">
      <formula>$AA$1</formula>
      <formula>$AB$1</formula>
    </cfRule>
    <cfRule type="cellIs" dxfId="355" priority="153" operator="equal">
      <formula>"."</formula>
    </cfRule>
    <cfRule type="cellIs" dxfId="354" priority="154" operator="between">
      <formula>$AA$1</formula>
      <formula>$AB$1</formula>
    </cfRule>
    <cfRule type="cellIs" dxfId="353" priority="155" operator="equal">
      <formula>"."</formula>
    </cfRule>
    <cfRule type="cellIs" dxfId="352" priority="158" operator="equal">
      <formula>"."</formula>
    </cfRule>
    <cfRule type="cellIs" dxfId="351" priority="159" operator="between">
      <formula>$AA$1</formula>
      <formula>$AB$1</formula>
    </cfRule>
    <cfRule type="cellIs" dxfId="350" priority="160" operator="equal">
      <formula>"."</formula>
    </cfRule>
    <cfRule type="cellIs" dxfId="349" priority="161" operator="between">
      <formula>$AA$1</formula>
      <formula>$AB$1</formula>
    </cfRule>
    <cfRule type="cellIs" dxfId="348" priority="162" operator="equal">
      <formula>"."</formula>
    </cfRule>
    <cfRule type="cellIs" dxfId="347" priority="163" operator="between">
      <formula>$AA$1</formula>
      <formula>$AB$1</formula>
    </cfRule>
    <cfRule type="cellIs" dxfId="346" priority="164" operator="equal">
      <formula>"."</formula>
    </cfRule>
    <cfRule type="cellIs" dxfId="345" priority="165" operator="between">
      <formula>$AA$1</formula>
      <formula>$AB$1</formula>
    </cfRule>
    <cfRule type="cellIs" dxfId="344" priority="166" operator="equal">
      <formula>"."</formula>
    </cfRule>
    <cfRule type="cellIs" dxfId="343" priority="167" operator="between">
      <formula>$AA$1</formula>
      <formula>$AB$1</formula>
    </cfRule>
    <cfRule type="cellIs" dxfId="342" priority="168" operator="equal">
      <formula>"."</formula>
    </cfRule>
    <cfRule type="cellIs" dxfId="341" priority="169" operator="between">
      <formula>$AA$1</formula>
      <formula>$AB$1</formula>
    </cfRule>
    <cfRule type="cellIs" dxfId="340" priority="170" operator="equal">
      <formula>"."</formula>
    </cfRule>
    <cfRule type="cellIs" dxfId="339" priority="171" operator="between">
      <formula>$AA$1</formula>
      <formula>$AB$1</formula>
    </cfRule>
    <cfRule type="cellIs" dxfId="338" priority="172" operator="equal">
      <formula>"."</formula>
    </cfRule>
    <cfRule type="cellIs" dxfId="337" priority="173" operator="between">
      <formula>$AA$1</formula>
      <formula>$AB$1</formula>
    </cfRule>
    <cfRule type="cellIs" dxfId="336" priority="174" operator="equal">
      <formula>"."</formula>
    </cfRule>
    <cfRule type="cellIs" dxfId="335" priority="175" operator="between">
      <formula>$AA$1</formula>
      <formula>$AB$1</formula>
    </cfRule>
    <cfRule type="cellIs" dxfId="334" priority="176" operator="equal">
      <formula>"."</formula>
    </cfRule>
    <cfRule type="cellIs" dxfId="333" priority="177" operator="between">
      <formula>$AA$1</formula>
      <formula>$AB$1</formula>
    </cfRule>
    <cfRule type="cellIs" dxfId="332" priority="178" operator="equal">
      <formula>"."</formula>
    </cfRule>
    <cfRule type="cellIs" dxfId="331" priority="179" operator="between">
      <formula>$AA$1</formula>
      <formula>$AB$1</formula>
    </cfRule>
    <cfRule type="cellIs" dxfId="330" priority="180" operator="equal">
      <formula>"."</formula>
    </cfRule>
    <cfRule type="cellIs" dxfId="329" priority="181" operator="between">
      <formula>$AA$1</formula>
      <formula>$AB$1</formula>
    </cfRule>
    <cfRule type="cellIs" dxfId="328" priority="182" operator="equal">
      <formula>"."</formula>
    </cfRule>
    <cfRule type="cellIs" dxfId="327" priority="183" operator="between">
      <formula>$AA$1</formula>
      <formula>$AB$1</formula>
    </cfRule>
    <cfRule type="cellIs" dxfId="326" priority="184" operator="equal">
      <formula>"."</formula>
    </cfRule>
    <cfRule type="cellIs" dxfId="325" priority="185" operator="between">
      <formula>$AA$1</formula>
      <formula>$AB$1</formula>
    </cfRule>
    <cfRule type="cellIs" dxfId="324" priority="186" operator="equal">
      <formula>"."</formula>
    </cfRule>
    <cfRule type="cellIs" dxfId="323" priority="187" operator="between">
      <formula>$AA$1</formula>
      <formula>$AB$1</formula>
    </cfRule>
    <cfRule type="cellIs" dxfId="322" priority="188" operator="equal">
      <formula>"."</formula>
    </cfRule>
    <cfRule type="cellIs" dxfId="321" priority="189" operator="between">
      <formula>$AA$1</formula>
      <formula>$AB$1</formula>
    </cfRule>
    <cfRule type="cellIs" dxfId="320" priority="190" operator="equal">
      <formula>"."</formula>
    </cfRule>
    <cfRule type="cellIs" dxfId="319" priority="191" operator="between">
      <formula>$AA$1</formula>
      <formula>$AB$1</formula>
    </cfRule>
    <cfRule type="cellIs" dxfId="318" priority="192" operator="equal">
      <formula>"."</formula>
    </cfRule>
    <cfRule type="cellIs" dxfId="317" priority="193" operator="between">
      <formula>$AA$1</formula>
      <formula>$AB$1</formula>
    </cfRule>
    <cfRule type="cellIs" dxfId="316" priority="194" operator="equal">
      <formula>"."</formula>
    </cfRule>
    <cfRule type="cellIs" dxfId="315" priority="195" operator="between">
      <formula>$AA$1</formula>
      <formula>$AB$1</formula>
    </cfRule>
    <cfRule type="cellIs" dxfId="314" priority="196" operator="equal">
      <formula>"."</formula>
    </cfRule>
    <cfRule type="cellIs" dxfId="313" priority="197" operator="between">
      <formula>$AA$1</formula>
      <formula>$AB$1</formula>
    </cfRule>
    <cfRule type="cellIs" dxfId="312" priority="198" operator="equal">
      <formula>"."</formula>
    </cfRule>
    <cfRule type="cellIs" dxfId="311" priority="199" operator="between">
      <formula>$AA$1</formula>
      <formula>$AB$1</formula>
    </cfRule>
    <cfRule type="cellIs" dxfId="310" priority="200" operator="equal">
      <formula>"."</formula>
    </cfRule>
    <cfRule type="cellIs" dxfId="309" priority="201" operator="between">
      <formula>$AA$1</formula>
      <formula>$AB$1</formula>
    </cfRule>
    <cfRule type="cellIs" dxfId="308" priority="202" operator="equal">
      <formula>"."</formula>
    </cfRule>
    <cfRule type="cellIs" dxfId="307" priority="203" operator="between">
      <formula>$AA$1</formula>
      <formula>$AB$1</formula>
    </cfRule>
    <cfRule type="cellIs" dxfId="306" priority="204" operator="equal">
      <formula>"."</formula>
    </cfRule>
    <cfRule type="cellIs" dxfId="305" priority="205" operator="between">
      <formula>$AA$1</formula>
      <formula>$AB$1</formula>
    </cfRule>
    <cfRule type="cellIs" dxfId="304" priority="206" operator="equal">
      <formula>"."</formula>
    </cfRule>
    <cfRule type="cellIs" dxfId="303" priority="207" operator="between">
      <formula>$AA$1</formula>
      <formula>$AB$1</formula>
    </cfRule>
    <cfRule type="cellIs" dxfId="302" priority="208" operator="equal">
      <formula>"."</formula>
    </cfRule>
    <cfRule type="cellIs" dxfId="301" priority="209" operator="between">
      <formula>$AA$1</formula>
      <formula>$AB$1</formula>
    </cfRule>
    <cfRule type="cellIs" dxfId="300" priority="210" operator="equal">
      <formula>"."</formula>
    </cfRule>
    <cfRule type="cellIs" dxfId="299" priority="211" operator="between">
      <formula>$AA$1</formula>
      <formula>$AB$1</formula>
    </cfRule>
    <cfRule type="cellIs" dxfId="298" priority="212" operator="equal">
      <formula>"."</formula>
    </cfRule>
    <cfRule type="cellIs" dxfId="297" priority="213" operator="between">
      <formula>$AA$1</formula>
      <formula>$AB$1</formula>
    </cfRule>
    <cfRule type="cellIs" dxfId="296" priority="214" operator="equal">
      <formula>"."</formula>
    </cfRule>
    <cfRule type="cellIs" dxfId="295" priority="215" operator="between">
      <formula>$AA$1</formula>
      <formula>$AB$1</formula>
    </cfRule>
    <cfRule type="cellIs" dxfId="294" priority="216" operator="equal">
      <formula>"."</formula>
    </cfRule>
    <cfRule type="cellIs" dxfId="293" priority="217" operator="between">
      <formula>$AA$1</formula>
      <formula>$AB$1</formula>
    </cfRule>
    <cfRule type="cellIs" dxfId="292" priority="219" operator="between">
      <formula>$AA$1</formula>
      <formula>$AB$1</formula>
    </cfRule>
  </conditionalFormatting>
  <conditionalFormatting sqref="C3:Y3">
    <cfRule type="cellIs" dxfId="291" priority="296" operator="lessThan">
      <formula>0.8</formula>
    </cfRule>
  </conditionalFormatting>
  <conditionalFormatting sqref="C15:K15 M15:Q15 S15:U15 W15:Y15">
    <cfRule type="cellIs" dxfId="290" priority="305" operator="lessThan">
      <formula>0.8</formula>
    </cfRule>
  </conditionalFormatting>
  <conditionalFormatting sqref="A51:W51 Y51:XFD51 A52:XFD53 C19:W49 C50:X50 Y20:Y49">
    <cfRule type="cellIs" dxfId="289" priority="307" operator="equal">
      <formula>"."</formula>
    </cfRule>
  </conditionalFormatting>
  <conditionalFormatting sqref="L15 C19:W49 C50:X50 Y20:Y49">
    <cfRule type="cellIs" dxfId="288" priority="308" operator="between">
      <formula>$AA$1</formula>
      <formula>$AB$1</formula>
    </cfRule>
  </conditionalFormatting>
  <conditionalFormatting sqref="C19:W49 C50:X50 Y20:Y49">
    <cfRule type="cellIs" dxfId="287" priority="290" operator="equal">
      <formula>"."</formula>
    </cfRule>
  </conditionalFormatting>
  <conditionalFormatting sqref="C19:W49 C50:X50 Y20:Y49">
    <cfRule type="cellIs" dxfId="286" priority="272" operator="equal">
      <formula>"."</formula>
    </cfRule>
    <cfRule type="cellIs" dxfId="285" priority="273" operator="between">
      <formula>$AA$1</formula>
      <formula>$AB$1</formula>
    </cfRule>
    <cfRule type="cellIs" dxfId="284" priority="274" operator="equal">
      <formula>"."</formula>
    </cfRule>
    <cfRule type="cellIs" dxfId="283" priority="275" operator="between">
      <formula>$AA$1</formula>
      <formula>$AB$1</formula>
    </cfRule>
  </conditionalFormatting>
  <conditionalFormatting sqref="C19:W49 C50:X50 Y20:Y49">
    <cfRule type="cellIs" dxfId="282" priority="276" operator="equal">
      <formula>"."</formula>
    </cfRule>
  </conditionalFormatting>
  <conditionalFormatting sqref="C19:W49 C50:X50 Y20:Y49">
    <cfRule type="cellIs" dxfId="281" priority="229" operator="between">
      <formula>$AA$1</formula>
      <formula>$AB$1</formula>
    </cfRule>
    <cfRule type="cellIs" dxfId="280" priority="230" operator="equal">
      <formula>"."</formula>
    </cfRule>
    <cfRule type="cellIs" dxfId="279" priority="233" operator="equal">
      <formula>"."</formula>
    </cfRule>
    <cfRule type="cellIs" dxfId="278" priority="234" operator="between">
      <formula>$AA$1</formula>
      <formula>$AB$1</formula>
    </cfRule>
    <cfRule type="cellIs" dxfId="277" priority="235" operator="equal">
      <formula>"."</formula>
    </cfRule>
    <cfRule type="cellIs" dxfId="276" priority="236" operator="between">
      <formula>$AA$1</formula>
      <formula>$AB$1</formula>
    </cfRule>
    <cfRule type="cellIs" dxfId="275" priority="237" operator="equal">
      <formula>"."</formula>
    </cfRule>
    <cfRule type="cellIs" dxfId="274" priority="238" operator="between">
      <formula>$AA$1</formula>
      <formula>$AB$1</formula>
    </cfRule>
    <cfRule type="cellIs" dxfId="273" priority="239" operator="equal">
      <formula>"."</formula>
    </cfRule>
    <cfRule type="cellIs" dxfId="272" priority="240" operator="between">
      <formula>$AA$1</formula>
      <formula>$AB$1</formula>
    </cfRule>
    <cfRule type="cellIs" dxfId="271" priority="241" operator="equal">
      <formula>"."</formula>
    </cfRule>
    <cfRule type="cellIs" dxfId="270" priority="242" operator="between">
      <formula>$AA$1</formula>
      <formula>$AB$1</formula>
    </cfRule>
    <cfRule type="cellIs" dxfId="269" priority="246" operator="equal">
      <formula>"."</formula>
    </cfRule>
    <cfRule type="cellIs" dxfId="268" priority="247" operator="between">
      <formula>$AA$1</formula>
      <formula>$AB$1</formula>
    </cfRule>
    <cfRule type="cellIs" dxfId="267" priority="248" operator="equal">
      <formula>"."</formula>
    </cfRule>
    <cfRule type="cellIs" dxfId="266" priority="249" operator="between">
      <formula>$AA$1</formula>
      <formula>$AB$1</formula>
    </cfRule>
    <cfRule type="cellIs" dxfId="265" priority="250" operator="equal">
      <formula>"."</formula>
    </cfRule>
    <cfRule type="cellIs" dxfId="264" priority="251" operator="between">
      <formula>$AA$1</formula>
      <formula>$AB$1</formula>
    </cfRule>
    <cfRule type="cellIs" dxfId="263" priority="252" operator="equal">
      <formula>"."</formula>
    </cfRule>
    <cfRule type="cellIs" dxfId="262" priority="253" operator="between">
      <formula>$AA$1</formula>
      <formula>$AB$1</formula>
    </cfRule>
    <cfRule type="cellIs" dxfId="261" priority="254" operator="equal">
      <formula>"."</formula>
    </cfRule>
    <cfRule type="cellIs" dxfId="260" priority="255" operator="between">
      <formula>$AA$1</formula>
      <formula>$AB$1</formula>
    </cfRule>
    <cfRule type="cellIs" dxfId="259" priority="256" operator="equal">
      <formula>"."</formula>
    </cfRule>
    <cfRule type="cellIs" dxfId="258" priority="257" operator="between">
      <formula>$AA$1</formula>
      <formula>$AB$1</formula>
    </cfRule>
    <cfRule type="cellIs" dxfId="257" priority="258" operator="equal">
      <formula>"."</formula>
    </cfRule>
    <cfRule type="cellIs" dxfId="256" priority="259" operator="between">
      <formula>$AA$1</formula>
      <formula>$AB$1</formula>
    </cfRule>
    <cfRule type="cellIs" dxfId="255" priority="260" operator="equal">
      <formula>"."</formula>
    </cfRule>
    <cfRule type="cellIs" dxfId="254" priority="261" operator="between">
      <formula>$AA$1</formula>
      <formula>$AB$1</formula>
    </cfRule>
    <cfRule type="cellIs" dxfId="253" priority="262" operator="equal">
      <formula>"."</formula>
    </cfRule>
    <cfRule type="cellIs" dxfId="252" priority="263" operator="between">
      <formula>$AA$1</formula>
      <formula>$AB$1</formula>
    </cfRule>
    <cfRule type="cellIs" dxfId="251" priority="264" operator="equal">
      <formula>"."</formula>
    </cfRule>
    <cfRule type="cellIs" dxfId="250" priority="265" operator="between">
      <formula>$AA$1</formula>
      <formula>$AB$1</formula>
    </cfRule>
    <cfRule type="cellIs" dxfId="249" priority="266" operator="equal">
      <formula>"."</formula>
    </cfRule>
    <cfRule type="cellIs" dxfId="248" priority="267" operator="between">
      <formula>$AA$1</formula>
      <formula>$AB$1</formula>
    </cfRule>
    <cfRule type="cellIs" dxfId="247" priority="268" operator="equal">
      <formula>"."</formula>
    </cfRule>
    <cfRule type="cellIs" dxfId="246" priority="269" operator="between">
      <formula>$AA$1</formula>
      <formula>$AB$1</formula>
    </cfRule>
    <cfRule type="cellIs" dxfId="245" priority="270" operator="equal">
      <formula>"."</formula>
    </cfRule>
    <cfRule type="cellIs" dxfId="244" priority="271" operator="between">
      <formula>$AA$1</formula>
      <formula>$AB$1</formula>
    </cfRule>
    <cfRule type="cellIs" dxfId="243" priority="277" operator="between">
      <formula>$AA$1</formula>
      <formula>$AB$1</formula>
    </cfRule>
    <cfRule type="cellIs" dxfId="242" priority="278" operator="equal">
      <formula>"."</formula>
    </cfRule>
    <cfRule type="cellIs" dxfId="241" priority="279" operator="between">
      <formula>$AA$1</formula>
      <formula>$AB$1</formula>
    </cfRule>
    <cfRule type="cellIs" dxfId="240" priority="280" operator="equal">
      <formula>"."</formula>
    </cfRule>
    <cfRule type="cellIs" dxfId="239" priority="281" operator="between">
      <formula>$AA$1</formula>
      <formula>$AB$1</formula>
    </cfRule>
    <cfRule type="cellIs" dxfId="238" priority="282" operator="equal">
      <formula>"."</formula>
    </cfRule>
    <cfRule type="cellIs" dxfId="237" priority="283" operator="between">
      <formula>$AA$1</formula>
      <formula>$AB$1</formula>
    </cfRule>
    <cfRule type="cellIs" dxfId="236" priority="284" operator="equal">
      <formula>"."</formula>
    </cfRule>
    <cfRule type="cellIs" dxfId="235" priority="285" operator="between">
      <formula>$AA$1</formula>
      <formula>$AB$1</formula>
    </cfRule>
    <cfRule type="cellIs" dxfId="234" priority="286" operator="equal">
      <formula>"."</formula>
    </cfRule>
    <cfRule type="cellIs" dxfId="233" priority="287" operator="between">
      <formula>$AA$1</formula>
      <formula>$AB$1</formula>
    </cfRule>
    <cfRule type="cellIs" dxfId="232" priority="288" operator="equal">
      <formula>"."</formula>
    </cfRule>
    <cfRule type="cellIs" dxfId="231" priority="289" operator="between">
      <formula>$AA$1</formula>
      <formula>$AB$1</formula>
    </cfRule>
    <cfRule type="cellIs" dxfId="230" priority="291" operator="between">
      <formula>$AA$1</formula>
      <formula>$AB$1</formula>
    </cfRule>
    <cfRule type="cellIs" dxfId="229" priority="292" operator="equal">
      <formula>"."</formula>
    </cfRule>
    <cfRule type="cellIs" dxfId="228" priority="293" operator="between">
      <formula>$AA$1</formula>
      <formula>$AB$1</formula>
    </cfRule>
  </conditionalFormatting>
  <conditionalFormatting sqref="C19:W49 C50:X50 Y20:Y49">
    <cfRule type="cellIs" dxfId="227" priority="228" operator="equal">
      <formula>"."</formula>
    </cfRule>
  </conditionalFormatting>
  <conditionalFormatting sqref="C19:W49 C50:X50 Y20:Y49">
    <cfRule type="cellIs" dxfId="226" priority="227" operator="between">
      <formula>$AA$1</formula>
      <formula>$AB$1</formula>
    </cfRule>
  </conditionalFormatting>
  <conditionalFormatting sqref="C19:W49 C50:X50 Y20:Y49">
    <cfRule type="cellIs" dxfId="225" priority="295" operator="equal">
      <formula>"."</formula>
    </cfRule>
  </conditionalFormatting>
  <conditionalFormatting sqref="C19:W49 C50:X50 Y20:Y49">
    <cfRule type="cellIs" dxfId="224" priority="243" operator="equal">
      <formula>"."</formula>
    </cfRule>
  </conditionalFormatting>
  <conditionalFormatting sqref="X19:X49">
    <cfRule type="cellIs" dxfId="223" priority="151" operator="equal">
      <formula>"."</formula>
    </cfRule>
    <cfRule type="cellIs" dxfId="222" priority="157" operator="between">
      <formula>$AA$1</formula>
      <formula>$AB$1</formula>
    </cfRule>
  </conditionalFormatting>
  <conditionalFormatting sqref="X19:X49">
    <cfRule type="cellIs" dxfId="221" priority="220" operator="equal">
      <formula>"."</formula>
    </cfRule>
    <cfRule type="cellIs" dxfId="220" priority="221" operator="between">
      <formula>$AA$1</formula>
      <formula>$AB$1</formula>
    </cfRule>
  </conditionalFormatting>
  <conditionalFormatting sqref="X19:X49">
    <cfRule type="cellIs" dxfId="219" priority="156" operator="equal">
      <formula>"."</formula>
    </cfRule>
  </conditionalFormatting>
  <conditionalFormatting sqref="C19:W49 C50:X50 Y20:Y49">
    <cfRule type="cellIs" dxfId="218" priority="232" operator="between">
      <formula>$AA$1</formula>
      <formula>$AB$1</formula>
    </cfRule>
    <cfRule type="cellIs" dxfId="217" priority="245" operator="between">
      <formula>$AA$1</formula>
      <formula>$AB$1</formula>
    </cfRule>
  </conditionalFormatting>
  <conditionalFormatting sqref="C19:W49 C50:X50 Y20:Y49">
    <cfRule type="cellIs" dxfId="216" priority="226" operator="equal">
      <formula>"."</formula>
    </cfRule>
  </conditionalFormatting>
  <conditionalFormatting sqref="C19:W49 C50:X50 Y20:Y49">
    <cfRule type="cellIs" dxfId="215" priority="231" operator="equal">
      <formula>"."</formula>
    </cfRule>
  </conditionalFormatting>
  <conditionalFormatting sqref="C56 C19:W49 C50:X50 Y20:Y49">
    <cfRule type="cellIs" dxfId="214" priority="301" operator="between">
      <formula>$AA$1</formula>
      <formula>$AB$1</formula>
    </cfRule>
  </conditionalFormatting>
  <conditionalFormatting sqref="R15 L15">
    <cfRule type="cellIs" dxfId="213" priority="298" operator="equal">
      <formula>"."</formula>
    </cfRule>
  </conditionalFormatting>
  <conditionalFormatting sqref="R15">
    <cfRule type="cellIs" dxfId="212" priority="297" operator="between">
      <formula>$AA$1</formula>
      <formula>$AB$1</formula>
    </cfRule>
    <cfRule type="cellIs" dxfId="211" priority="299" operator="between">
      <formula>$AA$1</formula>
      <formula>$AB$1</formula>
    </cfRule>
  </conditionalFormatting>
  <conditionalFormatting sqref="V15">
    <cfRule type="cellIs" dxfId="210" priority="148" operator="between">
      <formula>$AA$1</formula>
      <formula>$AB$1</formula>
    </cfRule>
    <cfRule type="cellIs" dxfId="209" priority="149" operator="equal">
      <formula>"."</formula>
    </cfRule>
    <cfRule type="cellIs" dxfId="208" priority="150" operator="between">
      <formula>$AA$1</formula>
      <formula>$AB$1</formula>
    </cfRule>
  </conditionalFormatting>
  <conditionalFormatting sqref="C56 Y20:Y49">
    <cfRule type="cellIs" dxfId="207" priority="300" operator="equal">
      <formula>"."</formula>
    </cfRule>
  </conditionalFormatting>
  <conditionalFormatting sqref="Y20:Y49">
    <cfRule type="cellIs" dxfId="206" priority="222" operator="equal">
      <formula>"."</formula>
    </cfRule>
    <cfRule type="cellIs" dxfId="205" priority="223" operator="between">
      <formula>$AA$1</formula>
      <formula>$AB$1</formula>
    </cfRule>
    <cfRule type="cellIs" dxfId="204" priority="224" operator="equal">
      <formula>"."</formula>
    </cfRule>
    <cfRule type="cellIs" dxfId="203" priority="225" operator="between">
      <formula>$AA$1</formula>
      <formula>$AB$1</formula>
    </cfRule>
    <cfRule type="cellIs" dxfId="202" priority="244" operator="equal">
      <formula>"."</formula>
    </cfRule>
  </conditionalFormatting>
  <conditionalFormatting sqref="Z48:XFD49 A48:A49">
    <cfRule type="cellIs" dxfId="201" priority="147" operator="equal">
      <formula>"."</formula>
    </cfRule>
  </conditionalFormatting>
  <conditionalFormatting sqref="Y19">
    <cfRule type="cellIs" dxfId="200" priority="143" operator="equal">
      <formula>"."</formula>
    </cfRule>
  </conditionalFormatting>
  <conditionalFormatting sqref="Y19">
    <cfRule type="cellIs" dxfId="199" priority="74" operator="between">
      <formula>$AA$1</formula>
      <formula>$AB$1</formula>
    </cfRule>
    <cfRule type="cellIs" dxfId="198" priority="75" operator="equal">
      <formula>"."</formula>
    </cfRule>
    <cfRule type="cellIs" dxfId="197" priority="76" operator="between">
      <formula>$AA$1</formula>
      <formula>$AB$1</formula>
    </cfRule>
    <cfRule type="cellIs" dxfId="196" priority="77" operator="equal">
      <formula>"."</formula>
    </cfRule>
    <cfRule type="cellIs" dxfId="195" priority="83" operator="equal">
      <formula>"."</formula>
    </cfRule>
    <cfRule type="cellIs" dxfId="194" priority="84" operator="between">
      <formula>$AA$1</formula>
      <formula>$AB$1</formula>
    </cfRule>
    <cfRule type="cellIs" dxfId="193" priority="85" operator="equal">
      <formula>"."</formula>
    </cfRule>
    <cfRule type="cellIs" dxfId="192" priority="86" operator="between">
      <formula>$AA$1</formula>
      <formula>$AB$1</formula>
    </cfRule>
    <cfRule type="cellIs" dxfId="191" priority="87" operator="equal">
      <formula>"."</formula>
    </cfRule>
    <cfRule type="cellIs" dxfId="190" priority="88" operator="between">
      <formula>$AA$1</formula>
      <formula>$AB$1</formula>
    </cfRule>
    <cfRule type="cellIs" dxfId="189" priority="89" operator="equal">
      <formula>"."</formula>
    </cfRule>
    <cfRule type="cellIs" dxfId="188" priority="90" operator="between">
      <formula>$AA$1</formula>
      <formula>$AB$1</formula>
    </cfRule>
    <cfRule type="cellIs" dxfId="187" priority="91" operator="equal">
      <formula>"."</formula>
    </cfRule>
    <cfRule type="cellIs" dxfId="186" priority="92" operator="between">
      <formula>$AA$1</formula>
      <formula>$AB$1</formula>
    </cfRule>
    <cfRule type="cellIs" dxfId="185" priority="93" operator="equal">
      <formula>"."</formula>
    </cfRule>
    <cfRule type="cellIs" dxfId="184" priority="94" operator="between">
      <formula>$AA$1</formula>
      <formula>$AB$1</formula>
    </cfRule>
    <cfRule type="cellIs" dxfId="183" priority="95" operator="equal">
      <formula>"."</formula>
    </cfRule>
    <cfRule type="cellIs" dxfId="182" priority="96" operator="between">
      <formula>$AA$1</formula>
      <formula>$AB$1</formula>
    </cfRule>
    <cfRule type="cellIs" dxfId="181" priority="97" operator="equal">
      <formula>"."</formula>
    </cfRule>
    <cfRule type="cellIs" dxfId="180" priority="98" operator="between">
      <formula>$AA$1</formula>
      <formula>$AB$1</formula>
    </cfRule>
    <cfRule type="cellIs" dxfId="179" priority="99" operator="equal">
      <formula>"."</formula>
    </cfRule>
    <cfRule type="cellIs" dxfId="178" priority="100" operator="between">
      <formula>$AA$1</formula>
      <formula>$AB$1</formula>
    </cfRule>
    <cfRule type="cellIs" dxfId="177" priority="101" operator="equal">
      <formula>"."</formula>
    </cfRule>
    <cfRule type="cellIs" dxfId="176" priority="102" operator="between">
      <formula>$AA$1</formula>
      <formula>$AB$1</formula>
    </cfRule>
    <cfRule type="cellIs" dxfId="175" priority="103" operator="equal">
      <formula>"."</formula>
    </cfRule>
    <cfRule type="cellIs" dxfId="174" priority="104" operator="between">
      <formula>$AA$1</formula>
      <formula>$AB$1</formula>
    </cfRule>
    <cfRule type="cellIs" dxfId="173" priority="105" operator="equal">
      <formula>"."</formula>
    </cfRule>
    <cfRule type="cellIs" dxfId="172" priority="106" operator="between">
      <formula>$AA$1</formula>
      <formula>$AB$1</formula>
    </cfRule>
    <cfRule type="cellIs" dxfId="171" priority="107" operator="equal">
      <formula>"."</formula>
    </cfRule>
    <cfRule type="cellIs" dxfId="170" priority="108" operator="between">
      <formula>$AA$1</formula>
      <formula>$AB$1</formula>
    </cfRule>
    <cfRule type="cellIs" dxfId="169" priority="109" operator="equal">
      <formula>"."</formula>
    </cfRule>
    <cfRule type="cellIs" dxfId="168" priority="110" operator="between">
      <formula>$AA$1</formula>
      <formula>$AB$1</formula>
    </cfRule>
    <cfRule type="cellIs" dxfId="167" priority="111" operator="equal">
      <formula>"."</formula>
    </cfRule>
    <cfRule type="cellIs" dxfId="166" priority="112" operator="between">
      <formula>$AA$1</formula>
      <formula>$AB$1</formula>
    </cfRule>
    <cfRule type="cellIs" dxfId="165" priority="113" operator="equal">
      <formula>"."</formula>
    </cfRule>
    <cfRule type="cellIs" dxfId="164" priority="114" operator="between">
      <formula>$AA$1</formula>
      <formula>$AB$1</formula>
    </cfRule>
    <cfRule type="cellIs" dxfId="163" priority="115" operator="equal">
      <formula>"."</formula>
    </cfRule>
    <cfRule type="cellIs" dxfId="162" priority="116" operator="between">
      <formula>$AA$1</formula>
      <formula>$AB$1</formula>
    </cfRule>
    <cfRule type="cellIs" dxfId="161" priority="117" operator="equal">
      <formula>"."</formula>
    </cfRule>
    <cfRule type="cellIs" dxfId="160" priority="118" operator="between">
      <formula>$AA$1</formula>
      <formula>$AB$1</formula>
    </cfRule>
    <cfRule type="cellIs" dxfId="159" priority="119" operator="equal">
      <formula>"."</formula>
    </cfRule>
    <cfRule type="cellIs" dxfId="158" priority="120" operator="between">
      <formula>$AA$1</formula>
      <formula>$AB$1</formula>
    </cfRule>
    <cfRule type="cellIs" dxfId="157" priority="121" operator="equal">
      <formula>"."</formula>
    </cfRule>
    <cfRule type="cellIs" dxfId="156" priority="122" operator="between">
      <formula>$AA$1</formula>
      <formula>$AB$1</formula>
    </cfRule>
    <cfRule type="cellIs" dxfId="155" priority="123" operator="equal">
      <formula>"."</formula>
    </cfRule>
    <cfRule type="cellIs" dxfId="154" priority="124" operator="between">
      <formula>$AA$1</formula>
      <formula>$AB$1</formula>
    </cfRule>
    <cfRule type="cellIs" dxfId="153" priority="125" operator="equal">
      <formula>"."</formula>
    </cfRule>
    <cfRule type="cellIs" dxfId="152" priority="126" operator="between">
      <formula>$AA$1</formula>
      <formula>$AB$1</formula>
    </cfRule>
    <cfRule type="cellIs" dxfId="151" priority="127" operator="equal">
      <formula>"."</formula>
    </cfRule>
    <cfRule type="cellIs" dxfId="150" priority="128" operator="between">
      <formula>$AA$1</formula>
      <formula>$AB$1</formula>
    </cfRule>
    <cfRule type="cellIs" dxfId="149" priority="129" operator="equal">
      <formula>"."</formula>
    </cfRule>
    <cfRule type="cellIs" dxfId="148" priority="130" operator="between">
      <formula>$AA$1</formula>
      <formula>$AB$1</formula>
    </cfRule>
    <cfRule type="cellIs" dxfId="147" priority="131" operator="equal">
      <formula>"."</formula>
    </cfRule>
    <cfRule type="cellIs" dxfId="146" priority="132" operator="between">
      <formula>$AA$1</formula>
      <formula>$AB$1</formula>
    </cfRule>
    <cfRule type="cellIs" dxfId="145" priority="133" operator="equal">
      <formula>"."</formula>
    </cfRule>
    <cfRule type="cellIs" dxfId="144" priority="134" operator="between">
      <formula>$AA$1</formula>
      <formula>$AB$1</formula>
    </cfRule>
    <cfRule type="cellIs" dxfId="143" priority="135" operator="equal">
      <formula>"."</formula>
    </cfRule>
    <cfRule type="cellIs" dxfId="142" priority="136" operator="between">
      <formula>$AA$1</formula>
      <formula>$AB$1</formula>
    </cfRule>
    <cfRule type="cellIs" dxfId="141" priority="137" operator="equal">
      <formula>"."</formula>
    </cfRule>
    <cfRule type="cellIs" dxfId="140" priority="138" operator="between">
      <formula>$AA$1</formula>
      <formula>$AB$1</formula>
    </cfRule>
    <cfRule type="cellIs" dxfId="139" priority="139" operator="equal">
      <formula>"."</formula>
    </cfRule>
    <cfRule type="cellIs" dxfId="138" priority="140" operator="between">
      <formula>$AA$1</formula>
      <formula>$AB$1</formula>
    </cfRule>
    <cfRule type="cellIs" dxfId="137" priority="141" operator="equal">
      <formula>"."</formula>
    </cfRule>
    <cfRule type="cellIs" dxfId="136" priority="142" operator="between">
      <formula>$AA$1</formula>
      <formula>$AB$1</formula>
    </cfRule>
    <cfRule type="cellIs" dxfId="135" priority="144" operator="between">
      <formula>$AA$1</formula>
      <formula>$AB$1</formula>
    </cfRule>
  </conditionalFormatting>
  <conditionalFormatting sqref="Y19">
    <cfRule type="cellIs" dxfId="134" priority="73" operator="equal">
      <formula>"."</formula>
    </cfRule>
    <cfRule type="cellIs" dxfId="133" priority="82" operator="between">
      <formula>$AA$1</formula>
      <formula>$AB$1</formula>
    </cfRule>
  </conditionalFormatting>
  <conditionalFormatting sqref="Y19">
    <cfRule type="cellIs" dxfId="132" priority="145" operator="equal">
      <formula>"."</formula>
    </cfRule>
    <cfRule type="cellIs" dxfId="131" priority="146" operator="between">
      <formula>$AA$1</formula>
      <formula>$AB$1</formula>
    </cfRule>
  </conditionalFormatting>
  <conditionalFormatting sqref="Y19">
    <cfRule type="cellIs" dxfId="130" priority="81" operator="equal">
      <formula>"."</formula>
    </cfRule>
  </conditionalFormatting>
  <conditionalFormatting sqref="Y19">
    <cfRule type="cellIs" dxfId="129" priority="78" operator="between">
      <formula>$AA$1</formula>
      <formula>$AB$1</formula>
    </cfRule>
    <cfRule type="cellIs" dxfId="128" priority="79" operator="equal">
      <formula>"."</formula>
    </cfRule>
    <cfRule type="cellIs" dxfId="127" priority="80" operator="between">
      <formula>$AA$1</formula>
      <formula>$AB$1</formula>
    </cfRule>
  </conditionalFormatting>
  <conditionalFormatting sqref="C4:Y14">
    <cfRule type="cellIs" dxfId="126" priority="70" operator="between">
      <formula>$AA$1</formula>
      <formula>$AB$1</formula>
    </cfRule>
  </conditionalFormatting>
  <conditionalFormatting sqref="C4:Y14">
    <cfRule type="cellIs" dxfId="125" priority="71" operator="equal">
      <formula>"."</formula>
    </cfRule>
  </conditionalFormatting>
  <conditionalFormatting sqref="C4:Y14">
    <cfRule type="cellIs" dxfId="124" priority="72" operator="between">
      <formula>$AA$1</formula>
      <formula>$AB$1</formula>
    </cfRule>
  </conditionalFormatting>
  <conditionalFormatting sqref="C4:Y14">
    <cfRule type="cellIs" dxfId="123" priority="64" operator="equal">
      <formula>"."</formula>
    </cfRule>
  </conditionalFormatting>
  <conditionalFormatting sqref="C4:Y14">
    <cfRule type="cellIs" dxfId="122" priority="46" operator="equal">
      <formula>"."</formula>
    </cfRule>
    <cfRule type="cellIs" dxfId="121" priority="47" operator="between">
      <formula>$AA$1</formula>
      <formula>$AB$1</formula>
    </cfRule>
    <cfRule type="cellIs" dxfId="120" priority="48" operator="equal">
      <formula>"."</formula>
    </cfRule>
    <cfRule type="cellIs" dxfId="119" priority="49" operator="between">
      <formula>$AA$1</formula>
      <formula>$AB$1</formula>
    </cfRule>
  </conditionalFormatting>
  <conditionalFormatting sqref="C4:Y14">
    <cfRule type="cellIs" dxfId="118" priority="50" operator="equal">
      <formula>"."</formula>
    </cfRule>
  </conditionalFormatting>
  <conditionalFormatting sqref="C4:Y14">
    <cfRule type="cellIs" dxfId="117" priority="4" operator="between">
      <formula>$AA$1</formula>
      <formula>$AB$1</formula>
    </cfRule>
    <cfRule type="cellIs" dxfId="116" priority="5" operator="equal">
      <formula>"."</formula>
    </cfRule>
    <cfRule type="cellIs" dxfId="115" priority="8" operator="equal">
      <formula>"."</formula>
    </cfRule>
    <cfRule type="cellIs" dxfId="114" priority="9" operator="between">
      <formula>$AA$1</formula>
      <formula>$AB$1</formula>
    </cfRule>
    <cfRule type="cellIs" dxfId="113" priority="10" operator="equal">
      <formula>"."</formula>
    </cfRule>
    <cfRule type="cellIs" dxfId="112" priority="11" operator="between">
      <formula>$AA$1</formula>
      <formula>$AB$1</formula>
    </cfRule>
    <cfRule type="cellIs" dxfId="111" priority="12" operator="equal">
      <formula>"."</formula>
    </cfRule>
    <cfRule type="cellIs" dxfId="110" priority="13" operator="between">
      <formula>$AA$1</formula>
      <formula>$AB$1</formula>
    </cfRule>
    <cfRule type="cellIs" dxfId="109" priority="14" operator="equal">
      <formula>"."</formula>
    </cfRule>
    <cfRule type="cellIs" dxfId="108" priority="15" operator="between">
      <formula>$AA$1</formula>
      <formula>$AB$1</formula>
    </cfRule>
    <cfRule type="cellIs" dxfId="107" priority="16" operator="equal">
      <formula>"."</formula>
    </cfRule>
    <cfRule type="cellIs" dxfId="106" priority="17" operator="between">
      <formula>$AA$1</formula>
      <formula>$AB$1</formula>
    </cfRule>
    <cfRule type="cellIs" dxfId="105" priority="20" operator="equal">
      <formula>"."</formula>
    </cfRule>
    <cfRule type="cellIs" dxfId="104" priority="21" operator="between">
      <formula>$AA$1</formula>
      <formula>$AB$1</formula>
    </cfRule>
    <cfRule type="cellIs" dxfId="103" priority="22" operator="equal">
      <formula>"."</formula>
    </cfRule>
    <cfRule type="cellIs" dxfId="102" priority="23" operator="between">
      <formula>$AA$1</formula>
      <formula>$AB$1</formula>
    </cfRule>
    <cfRule type="cellIs" dxfId="101" priority="24" operator="equal">
      <formula>"."</formula>
    </cfRule>
    <cfRule type="cellIs" dxfId="100" priority="25" operator="between">
      <formula>$AA$1</formula>
      <formula>$AB$1</formula>
    </cfRule>
    <cfRule type="cellIs" dxfId="99" priority="26" operator="equal">
      <formula>"."</formula>
    </cfRule>
    <cfRule type="cellIs" dxfId="98" priority="27" operator="between">
      <formula>$AA$1</formula>
      <formula>$AB$1</formula>
    </cfRule>
    <cfRule type="cellIs" dxfId="97" priority="28" operator="equal">
      <formula>"."</formula>
    </cfRule>
    <cfRule type="cellIs" dxfId="96" priority="29" operator="between">
      <formula>$AA$1</formula>
      <formula>$AB$1</formula>
    </cfRule>
    <cfRule type="cellIs" dxfId="95" priority="30" operator="equal">
      <formula>"."</formula>
    </cfRule>
    <cfRule type="cellIs" dxfId="94" priority="31" operator="between">
      <formula>$AA$1</formula>
      <formula>$AB$1</formula>
    </cfRule>
    <cfRule type="cellIs" dxfId="93" priority="32" operator="equal">
      <formula>"."</formula>
    </cfRule>
    <cfRule type="cellIs" dxfId="92" priority="33" operator="between">
      <formula>$AA$1</formula>
      <formula>$AB$1</formula>
    </cfRule>
    <cfRule type="cellIs" dxfId="91" priority="34" operator="equal">
      <formula>"."</formula>
    </cfRule>
    <cfRule type="cellIs" dxfId="90" priority="35" operator="between">
      <formula>$AA$1</formula>
      <formula>$AB$1</formula>
    </cfRule>
    <cfRule type="cellIs" dxfId="89" priority="36" operator="equal">
      <formula>"."</formula>
    </cfRule>
    <cfRule type="cellIs" dxfId="88" priority="37" operator="between">
      <formula>$AA$1</formula>
      <formula>$AB$1</formula>
    </cfRule>
    <cfRule type="cellIs" dxfId="87" priority="38" operator="equal">
      <formula>"."</formula>
    </cfRule>
    <cfRule type="cellIs" dxfId="86" priority="39" operator="between">
      <formula>$AA$1</formula>
      <formula>$AB$1</formula>
    </cfRule>
    <cfRule type="cellIs" dxfId="85" priority="40" operator="equal">
      <formula>"."</formula>
    </cfRule>
    <cfRule type="cellIs" dxfId="84" priority="41" operator="between">
      <formula>$AA$1</formula>
      <formula>$AB$1</formula>
    </cfRule>
    <cfRule type="cellIs" dxfId="83" priority="42" operator="equal">
      <formula>"."</formula>
    </cfRule>
    <cfRule type="cellIs" dxfId="82" priority="43" operator="between">
      <formula>$AA$1</formula>
      <formula>$AB$1</formula>
    </cfRule>
    <cfRule type="cellIs" dxfId="81" priority="44" operator="equal">
      <formula>"."</formula>
    </cfRule>
    <cfRule type="cellIs" dxfId="80" priority="45" operator="between">
      <formula>$AA$1</formula>
      <formula>$AB$1</formula>
    </cfRule>
    <cfRule type="cellIs" dxfId="79" priority="51" operator="between">
      <formula>$AA$1</formula>
      <formula>$AB$1</formula>
    </cfRule>
    <cfRule type="cellIs" dxfId="78" priority="52" operator="equal">
      <formula>"."</formula>
    </cfRule>
    <cfRule type="cellIs" dxfId="77" priority="53" operator="between">
      <formula>$AA$1</formula>
      <formula>$AB$1</formula>
    </cfRule>
    <cfRule type="cellIs" dxfId="76" priority="54" operator="equal">
      <formula>"."</formula>
    </cfRule>
    <cfRule type="cellIs" dxfId="75" priority="55" operator="between">
      <formula>$AA$1</formula>
      <formula>$AB$1</formula>
    </cfRule>
    <cfRule type="cellIs" dxfId="74" priority="56" operator="equal">
      <formula>"."</formula>
    </cfRule>
    <cfRule type="cellIs" dxfId="73" priority="57" operator="between">
      <formula>$AA$1</formula>
      <formula>$AB$1</formula>
    </cfRule>
    <cfRule type="cellIs" dxfId="72" priority="58" operator="equal">
      <formula>"."</formula>
    </cfRule>
    <cfRule type="cellIs" dxfId="71" priority="59" operator="between">
      <formula>$AA$1</formula>
      <formula>$AB$1</formula>
    </cfRule>
    <cfRule type="cellIs" dxfId="70" priority="60" operator="equal">
      <formula>"."</formula>
    </cfRule>
    <cfRule type="cellIs" dxfId="69" priority="61" operator="between">
      <formula>$AA$1</formula>
      <formula>$AB$1</formula>
    </cfRule>
    <cfRule type="cellIs" dxfId="68" priority="62" operator="equal">
      <formula>"."</formula>
    </cfRule>
    <cfRule type="cellIs" dxfId="67" priority="63" operator="between">
      <formula>$AA$1</formula>
      <formula>$AB$1</formula>
    </cfRule>
    <cfRule type="cellIs" dxfId="66" priority="65" operator="between">
      <formula>$AA$1</formula>
      <formula>$AB$1</formula>
    </cfRule>
    <cfRule type="cellIs" dxfId="65" priority="66" operator="equal">
      <formula>"."</formula>
    </cfRule>
    <cfRule type="cellIs" dxfId="64" priority="67" operator="between">
      <formula>$AA$1</formula>
      <formula>$AB$1</formula>
    </cfRule>
  </conditionalFormatting>
  <conditionalFormatting sqref="C4:Y14">
    <cfRule type="cellIs" dxfId="63" priority="3" operator="equal">
      <formula>"."</formula>
    </cfRule>
  </conditionalFormatting>
  <conditionalFormatting sqref="C4:Y14">
    <cfRule type="cellIs" dxfId="62" priority="2" operator="between">
      <formula>$AA$1</formula>
      <formula>$AB$1</formula>
    </cfRule>
  </conditionalFormatting>
  <conditionalFormatting sqref="C4:Y14">
    <cfRule type="cellIs" dxfId="61" priority="68" operator="equal">
      <formula>"."</formula>
    </cfRule>
  </conditionalFormatting>
  <conditionalFormatting sqref="C4:Y14">
    <cfRule type="cellIs" dxfId="60" priority="18" operator="equal">
      <formula>"."</formula>
    </cfRule>
  </conditionalFormatting>
  <conditionalFormatting sqref="C4:Y14">
    <cfRule type="cellIs" dxfId="59" priority="7" operator="between">
      <formula>$AA$1</formula>
      <formula>$AB$1</formula>
    </cfRule>
    <cfRule type="cellIs" dxfId="58" priority="19" operator="between">
      <formula>$AA$1</formula>
      <formula>$AB$1</formula>
    </cfRule>
  </conditionalFormatting>
  <conditionalFormatting sqref="C4:Y14">
    <cfRule type="cellIs" dxfId="57" priority="1" operator="equal">
      <formula>"."</formula>
    </cfRule>
  </conditionalFormatting>
  <conditionalFormatting sqref="C4:Y14">
    <cfRule type="cellIs" dxfId="56" priority="6" operator="equal">
      <formula>"."</formula>
    </cfRule>
  </conditionalFormatting>
  <conditionalFormatting sqref="C4:Y14">
    <cfRule type="cellIs" dxfId="55" priority="69" operator="between">
      <formula>$AA$1</formula>
      <formula>$AB$1</formula>
    </cfRule>
  </conditionalFormatting>
  <printOptions horizontalCentered="1" verticalCentered="1"/>
  <pageMargins left="0" right="0" top="0" bottom="0" header="0" footer="0"/>
  <pageSetup paperSize="9" scale="39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zoomScaleNormal="100" zoomScaleSheetLayoutView="100" workbookViewId="0">
      <selection activeCell="N16" sqref="N16"/>
    </sheetView>
  </sheetViews>
  <sheetFormatPr defaultColWidth="9.140625" defaultRowHeight="27.75" customHeight="1" x14ac:dyDescent="0.25"/>
  <cols>
    <col min="1" max="1" width="1.28515625" style="429" customWidth="1"/>
    <col min="2" max="2" width="11.85546875" style="432" customWidth="1"/>
    <col min="3" max="3" width="11" style="432" customWidth="1"/>
    <col min="4" max="4" width="4.140625" style="432" customWidth="1"/>
    <col min="5" max="5" width="21.140625" style="429" customWidth="1"/>
    <col min="6" max="6" width="12.85546875" style="429" customWidth="1"/>
    <col min="7" max="7" width="1.5703125" style="503" customWidth="1"/>
    <col min="8" max="8" width="11.28515625" style="429" customWidth="1"/>
    <col min="9" max="9" width="13.28515625" style="499" customWidth="1"/>
    <col min="10" max="10" width="11" style="429" customWidth="1"/>
    <col min="11" max="11" width="11" style="489" customWidth="1"/>
    <col min="12" max="12" width="1.5703125" style="429" customWidth="1"/>
    <col min="13" max="13" width="11.28515625" style="429" customWidth="1"/>
    <col min="14" max="14" width="13.28515625" style="499" customWidth="1"/>
    <col min="15" max="15" width="11" style="499" customWidth="1"/>
    <col min="16" max="16" width="11" style="429" customWidth="1"/>
    <col min="17" max="17" width="0.85546875" style="456" customWidth="1"/>
    <col min="18" max="18" width="0" style="429" hidden="1" customWidth="1"/>
    <col min="19" max="16384" width="9.140625" style="429"/>
  </cols>
  <sheetData>
    <row r="1" spans="1:18" ht="27.75" customHeight="1" x14ac:dyDescent="0.25">
      <c r="B1" s="432" t="s">
        <v>21</v>
      </c>
      <c r="O1" s="543" t="s">
        <v>461</v>
      </c>
      <c r="P1" s="543"/>
    </row>
    <row r="2" spans="1:18" ht="27.75" customHeight="1" x14ac:dyDescent="0.25">
      <c r="A2" s="507"/>
      <c r="B2" s="507"/>
      <c r="C2" s="507"/>
      <c r="D2" s="507"/>
    </row>
    <row r="3" spans="1:18" s="427" customFormat="1" ht="36" customHeight="1" x14ac:dyDescent="0.25">
      <c r="B3" s="558" t="s">
        <v>511</v>
      </c>
      <c r="C3" s="561" t="s">
        <v>509</v>
      </c>
      <c r="D3" s="431"/>
      <c r="E3" s="548" t="s">
        <v>351</v>
      </c>
      <c r="F3" s="556" t="s">
        <v>510</v>
      </c>
      <c r="G3" s="503"/>
      <c r="H3" s="551" t="s">
        <v>500</v>
      </c>
      <c r="I3" s="551"/>
      <c r="J3" s="551"/>
      <c r="K3" s="551"/>
      <c r="M3" s="544" t="s">
        <v>503</v>
      </c>
      <c r="N3" s="545"/>
      <c r="O3" s="545"/>
      <c r="P3" s="546"/>
      <c r="Q3" s="457"/>
    </row>
    <row r="4" spans="1:18" s="427" customFormat="1" ht="36" customHeight="1" x14ac:dyDescent="0.25">
      <c r="B4" s="559"/>
      <c r="C4" s="562"/>
      <c r="D4" s="431"/>
      <c r="E4" s="549"/>
      <c r="F4" s="564"/>
      <c r="G4" s="503"/>
      <c r="H4" s="554" t="s">
        <v>505</v>
      </c>
      <c r="I4" s="556" t="s">
        <v>506</v>
      </c>
      <c r="J4" s="552" t="s">
        <v>504</v>
      </c>
      <c r="K4" s="553"/>
      <c r="M4" s="554" t="s">
        <v>505</v>
      </c>
      <c r="N4" s="554" t="s">
        <v>506</v>
      </c>
      <c r="O4" s="552" t="s">
        <v>504</v>
      </c>
      <c r="P4" s="553"/>
      <c r="Q4" s="457"/>
    </row>
    <row r="5" spans="1:18" s="427" customFormat="1" ht="57" customHeight="1" x14ac:dyDescent="0.25">
      <c r="B5" s="560"/>
      <c r="C5" s="563"/>
      <c r="D5" s="431"/>
      <c r="E5" s="550"/>
      <c r="F5" s="557"/>
      <c r="G5" s="503"/>
      <c r="H5" s="555"/>
      <c r="I5" s="557"/>
      <c r="J5" s="501" t="s">
        <v>501</v>
      </c>
      <c r="K5" s="500" t="s">
        <v>502</v>
      </c>
      <c r="M5" s="555"/>
      <c r="N5" s="555"/>
      <c r="O5" s="501" t="s">
        <v>501</v>
      </c>
      <c r="P5" s="500" t="s">
        <v>502</v>
      </c>
      <c r="Q5" s="457"/>
    </row>
    <row r="6" spans="1:18" ht="27.75" customHeight="1" x14ac:dyDescent="0.25">
      <c r="B6" s="445">
        <f t="shared" ref="B6:C13" ca="1" si="0">+SUMIF(INDIRECT("'" &amp; $O$1 &amp; "'!$G1:$G110"),E6,INDIRECT("'" &amp; $O$1 &amp; "'!$AQ1:$AQ110"))</f>
        <v>-1342.875</v>
      </c>
      <c r="C6" s="445">
        <f ca="1">+F6+B6</f>
        <v>450</v>
      </c>
      <c r="D6" s="443"/>
      <c r="E6" s="446" t="s">
        <v>494</v>
      </c>
      <c r="F6" s="428">
        <f t="shared" ref="F6:F13" ca="1" si="1">-B6+SUMIFS(INDIRECT("'" &amp; $O$1 &amp; "'!$X$6:$X$90"),INDIRECT("'" &amp; $O$1 &amp; "'!$g$6:$g$90"),E6,INDIRECT("'" &amp; $O$1 &amp; "'!$l$6:$l$90"),$B$1)</f>
        <v>1792.875</v>
      </c>
      <c r="H6" s="446">
        <v>3312</v>
      </c>
      <c r="I6" s="469"/>
      <c r="J6" s="428">
        <f ca="1">+H6-F6</f>
        <v>1519.125</v>
      </c>
      <c r="K6" s="502">
        <f ca="1">+I6-F6</f>
        <v>-1792.875</v>
      </c>
      <c r="M6" s="446">
        <v>3462</v>
      </c>
      <c r="N6" s="446">
        <v>3004</v>
      </c>
      <c r="O6" s="428">
        <f ca="1">+M6-F6</f>
        <v>1669.125</v>
      </c>
      <c r="P6" s="428">
        <f ca="1">+N6-F6</f>
        <v>1211.125</v>
      </c>
      <c r="R6" s="430">
        <f t="shared" ref="R6" ca="1" si="2">+F6+B6</f>
        <v>450</v>
      </c>
    </row>
    <row r="7" spans="1:18" ht="27.75" customHeight="1" x14ac:dyDescent="0.25">
      <c r="B7" s="445">
        <f t="shared" ca="1" si="0"/>
        <v>-1193.375</v>
      </c>
      <c r="C7" s="445">
        <f t="shared" ref="C7:C13" ca="1" si="3">+F7+B7</f>
        <v>840</v>
      </c>
      <c r="E7" s="446" t="s">
        <v>481</v>
      </c>
      <c r="F7" s="428">
        <f t="shared" ca="1" si="1"/>
        <v>2033.375</v>
      </c>
      <c r="H7" s="446">
        <v>5424</v>
      </c>
      <c r="I7" s="469">
        <v>360</v>
      </c>
      <c r="J7" s="428">
        <f t="shared" ref="J7:J13" ca="1" si="4">+H7-F7</f>
        <v>3390.625</v>
      </c>
      <c r="K7" s="502">
        <f t="shared" ref="K7:K13" ca="1" si="5">+I7-F7</f>
        <v>-1673.375</v>
      </c>
      <c r="M7" s="446">
        <v>5064</v>
      </c>
      <c r="N7" s="446">
        <v>3660</v>
      </c>
      <c r="O7" s="428">
        <f t="shared" ref="O7:O9" ca="1" si="6">+M7-F7</f>
        <v>3030.625</v>
      </c>
      <c r="P7" s="428">
        <f t="shared" ref="P7:P9" ca="1" si="7">+N7-F7</f>
        <v>1626.625</v>
      </c>
    </row>
    <row r="8" spans="1:18" ht="27.75" customHeight="1" x14ac:dyDescent="0.25">
      <c r="B8" s="445">
        <f t="shared" ca="1" si="0"/>
        <v>-218</v>
      </c>
      <c r="C8" s="445">
        <f t="shared" ca="1" si="3"/>
        <v>382</v>
      </c>
      <c r="E8" s="446" t="s">
        <v>489</v>
      </c>
      <c r="F8" s="428">
        <f t="shared" ca="1" si="1"/>
        <v>600</v>
      </c>
      <c r="H8" s="446">
        <v>669</v>
      </c>
      <c r="I8" s="469">
        <v>644</v>
      </c>
      <c r="J8" s="428">
        <f t="shared" ca="1" si="4"/>
        <v>69</v>
      </c>
      <c r="K8" s="502">
        <f t="shared" ca="1" si="5"/>
        <v>44</v>
      </c>
      <c r="M8" s="446"/>
      <c r="N8" s="446"/>
      <c r="O8" s="428" t="s">
        <v>482</v>
      </c>
      <c r="P8" s="428" t="s">
        <v>482</v>
      </c>
    </row>
    <row r="9" spans="1:18" ht="27.75" customHeight="1" x14ac:dyDescent="0.25">
      <c r="B9" s="445">
        <f t="shared" ca="1" si="0"/>
        <v>0</v>
      </c>
      <c r="C9" s="445">
        <f t="shared" ca="1" si="3"/>
        <v>0</v>
      </c>
      <c r="E9" s="446" t="s">
        <v>442</v>
      </c>
      <c r="F9" s="428">
        <f t="shared" ca="1" si="1"/>
        <v>0</v>
      </c>
      <c r="H9" s="446">
        <v>1349</v>
      </c>
      <c r="I9" s="469">
        <v>676</v>
      </c>
      <c r="J9" s="428">
        <f t="shared" ca="1" si="4"/>
        <v>1349</v>
      </c>
      <c r="K9" s="502">
        <f t="shared" ca="1" si="5"/>
        <v>676</v>
      </c>
      <c r="M9" s="446">
        <v>1349</v>
      </c>
      <c r="N9" s="446">
        <v>1071</v>
      </c>
      <c r="O9" s="428">
        <f t="shared" ca="1" si="6"/>
        <v>1349</v>
      </c>
      <c r="P9" s="428">
        <f t="shared" ca="1" si="7"/>
        <v>1071</v>
      </c>
    </row>
    <row r="10" spans="1:18" ht="27.75" customHeight="1" x14ac:dyDescent="0.25">
      <c r="B10" s="445">
        <f t="shared" ca="1" si="0"/>
        <v>-1050</v>
      </c>
      <c r="C10" s="445">
        <f t="shared" ca="1" si="3"/>
        <v>250</v>
      </c>
      <c r="E10" s="446" t="s">
        <v>497</v>
      </c>
      <c r="F10" s="428">
        <f t="shared" ca="1" si="1"/>
        <v>1300</v>
      </c>
      <c r="H10" s="446">
        <v>2922</v>
      </c>
      <c r="I10" s="469"/>
      <c r="J10" s="428">
        <f t="shared" ca="1" si="4"/>
        <v>1622</v>
      </c>
      <c r="K10" s="502">
        <f t="shared" ca="1" si="5"/>
        <v>-1300</v>
      </c>
      <c r="M10" s="446"/>
      <c r="N10" s="446"/>
      <c r="O10" s="428" t="s">
        <v>482</v>
      </c>
      <c r="P10" s="428" t="s">
        <v>482</v>
      </c>
    </row>
    <row r="11" spans="1:18" ht="27.75" customHeight="1" x14ac:dyDescent="0.25">
      <c r="B11" s="445">
        <f t="shared" ca="1" si="0"/>
        <v>0</v>
      </c>
      <c r="C11" s="445">
        <f t="shared" ca="1" si="3"/>
        <v>0</v>
      </c>
      <c r="E11" s="446" t="s">
        <v>486</v>
      </c>
      <c r="F11" s="428">
        <f t="shared" ca="1" si="1"/>
        <v>0</v>
      </c>
      <c r="H11" s="446"/>
      <c r="I11" s="469"/>
      <c r="J11" s="428">
        <f t="shared" ca="1" si="4"/>
        <v>0</v>
      </c>
      <c r="K11" s="502">
        <f t="shared" ca="1" si="5"/>
        <v>0</v>
      </c>
      <c r="M11" s="446"/>
      <c r="N11" s="446"/>
      <c r="O11" s="428" t="s">
        <v>482</v>
      </c>
      <c r="P11" s="428" t="s">
        <v>482</v>
      </c>
    </row>
    <row r="12" spans="1:18" s="506" customFormat="1" ht="27.75" customHeight="1" x14ac:dyDescent="0.25">
      <c r="B12" s="445">
        <f t="shared" ca="1" si="0"/>
        <v>-327</v>
      </c>
      <c r="C12" s="445">
        <f t="shared" ca="1" si="3"/>
        <v>273</v>
      </c>
      <c r="D12" s="432"/>
      <c r="E12" s="446" t="s">
        <v>508</v>
      </c>
      <c r="F12" s="428">
        <f t="shared" ca="1" si="1"/>
        <v>600</v>
      </c>
      <c r="H12" s="446"/>
      <c r="I12" s="469"/>
      <c r="J12" s="428">
        <f t="shared" ca="1" si="4"/>
        <v>-600</v>
      </c>
      <c r="K12" s="502">
        <f t="shared" ca="1" si="5"/>
        <v>-600</v>
      </c>
      <c r="M12" s="446"/>
      <c r="N12" s="446"/>
      <c r="O12" s="428" t="s">
        <v>482</v>
      </c>
      <c r="P12" s="428" t="s">
        <v>482</v>
      </c>
      <c r="Q12" s="456"/>
    </row>
    <row r="13" spans="1:18" ht="27.75" customHeight="1" x14ac:dyDescent="0.25">
      <c r="B13" s="445">
        <f t="shared" ca="1" si="0"/>
        <v>-259</v>
      </c>
      <c r="C13" s="445">
        <f t="shared" ca="1" si="3"/>
        <v>141</v>
      </c>
      <c r="E13" s="446" t="s">
        <v>499</v>
      </c>
      <c r="F13" s="428">
        <f t="shared" ca="1" si="1"/>
        <v>400</v>
      </c>
      <c r="H13" s="446">
        <v>151</v>
      </c>
      <c r="I13" s="469"/>
      <c r="J13" s="428">
        <f t="shared" ca="1" si="4"/>
        <v>-249</v>
      </c>
      <c r="K13" s="502">
        <f t="shared" ca="1" si="5"/>
        <v>-400</v>
      </c>
      <c r="M13" s="446"/>
      <c r="N13" s="446"/>
      <c r="O13" s="428" t="s">
        <v>482</v>
      </c>
      <c r="P13" s="428" t="s">
        <v>482</v>
      </c>
    </row>
    <row r="14" spans="1:18" ht="27.75" customHeight="1" x14ac:dyDescent="0.25">
      <c r="B14" s="475"/>
      <c r="E14" s="476"/>
      <c r="F14" s="477"/>
      <c r="H14" s="476"/>
      <c r="I14" s="477"/>
      <c r="J14" s="477"/>
      <c r="K14" s="477"/>
      <c r="M14" s="476"/>
      <c r="N14" s="476"/>
      <c r="O14" s="476"/>
      <c r="P14" s="477"/>
    </row>
    <row r="15" spans="1:18" ht="27.75" customHeight="1" x14ac:dyDescent="0.25">
      <c r="B15" s="443">
        <f ca="1">+SUM(B6:B13)</f>
        <v>-4390.25</v>
      </c>
      <c r="C15" s="443">
        <f t="shared" ref="C15:D15" ca="1" si="8">+SUM(C6:C13)</f>
        <v>2336</v>
      </c>
      <c r="D15" s="443">
        <f t="shared" si="8"/>
        <v>0</v>
      </c>
      <c r="E15" s="446" t="s">
        <v>13</v>
      </c>
      <c r="F15" s="428">
        <f ca="1">+SUM(F6:F13)</f>
        <v>6726.25</v>
      </c>
      <c r="H15" s="432"/>
      <c r="I15" s="432"/>
      <c r="J15" s="432"/>
      <c r="K15" s="432"/>
      <c r="L15" s="432"/>
      <c r="M15" s="432"/>
      <c r="N15" s="432"/>
      <c r="O15" s="432"/>
      <c r="P15" s="432"/>
    </row>
    <row r="16" spans="1:18" ht="27.75" customHeight="1" x14ac:dyDescent="0.25">
      <c r="E16" s="456"/>
      <c r="J16" s="547"/>
    </row>
    <row r="17" spans="5:10" ht="27.75" customHeight="1" x14ac:dyDescent="0.25">
      <c r="E17" s="430"/>
      <c r="J17" s="547"/>
    </row>
    <row r="18" spans="5:10" ht="27.75" customHeight="1" x14ac:dyDescent="0.25">
      <c r="J18" s="547"/>
    </row>
    <row r="19" spans="5:10" ht="27.75" customHeight="1" x14ac:dyDescent="0.25">
      <c r="J19" s="547"/>
    </row>
  </sheetData>
  <mergeCells count="14">
    <mergeCell ref="O1:P1"/>
    <mergeCell ref="B3:B5"/>
    <mergeCell ref="M3:P3"/>
    <mergeCell ref="J16:J19"/>
    <mergeCell ref="E3:E5"/>
    <mergeCell ref="F3:F5"/>
    <mergeCell ref="H3:K3"/>
    <mergeCell ref="J4:K4"/>
    <mergeCell ref="H4:H5"/>
    <mergeCell ref="I4:I5"/>
    <mergeCell ref="M4:M5"/>
    <mergeCell ref="N4:N5"/>
    <mergeCell ref="O4:P4"/>
    <mergeCell ref="C3:C5"/>
  </mergeCells>
  <conditionalFormatting sqref="J14:K14 P6:P14 J6:J13">
    <cfRule type="cellIs" dxfId="30" priority="26" operator="lessThan">
      <formula>0</formula>
    </cfRule>
  </conditionalFormatting>
  <conditionalFormatting sqref="A5:A13 A18:H1048576 D5 J1:N1 I4 A1:H1 L5 N4 L3:M4 H2:H3 H6:H17 G2:G17 Q1:XFD1 L17:XFD19 J14:XFD16 J20:XFD1048576 J2:XFD2 Q3:XFD5 L6:XFD13 D6:F13 J5:J13 A2:F4 A14:F17">
    <cfRule type="cellIs" dxfId="29" priority="25" operator="equal">
      <formula>0</formula>
    </cfRule>
  </conditionalFormatting>
  <conditionalFormatting sqref="O1">
    <cfRule type="cellIs" dxfId="28" priority="23" operator="equal">
      <formula>0</formula>
    </cfRule>
  </conditionalFormatting>
  <conditionalFormatting sqref="B6:C13">
    <cfRule type="cellIs" dxfId="27" priority="22" operator="equal">
      <formula>0</formula>
    </cfRule>
  </conditionalFormatting>
  <conditionalFormatting sqref="K5">
    <cfRule type="cellIs" dxfId="26" priority="14" operator="equal">
      <formula>0</formula>
    </cfRule>
  </conditionalFormatting>
  <conditionalFormatting sqref="I14">
    <cfRule type="cellIs" dxfId="25" priority="9" operator="lessThan">
      <formula>0</formula>
    </cfRule>
  </conditionalFormatting>
  <conditionalFormatting sqref="I14:I16 I20:I1048576 I1:I2">
    <cfRule type="cellIs" dxfId="24" priority="8" operator="equal">
      <formula>0</formula>
    </cfRule>
  </conditionalFormatting>
  <conditionalFormatting sqref="K6:K13">
    <cfRule type="cellIs" dxfId="23" priority="6" operator="lessThan">
      <formula>0</formula>
    </cfRule>
  </conditionalFormatting>
  <conditionalFormatting sqref="O5">
    <cfRule type="cellIs" dxfId="22" priority="5" operator="equal">
      <formula>0</formula>
    </cfRule>
  </conditionalFormatting>
  <conditionalFormatting sqref="P5">
    <cfRule type="cellIs" dxfId="21" priority="4" operator="equal">
      <formula>0</formula>
    </cfRule>
  </conditionalFormatting>
  <conditionalFormatting sqref="H4">
    <cfRule type="cellIs" dxfId="20" priority="3" operator="equal">
      <formula>0</formula>
    </cfRule>
  </conditionalFormatting>
  <conditionalFormatting sqref="O6:O13">
    <cfRule type="cellIs" dxfId="19" priority="2" operator="lessThan">
      <formula>0</formula>
    </cfRule>
  </conditionalFormatting>
  <conditionalFormatting sqref="B6:B13">
    <cfRule type="cellIs" dxfId="4" priority="1" operator="greaterThan">
      <formula>0</formula>
    </cfRule>
  </conditionalFormatting>
  <pageMargins left="0.17" right="0.15748031496062992" top="0.74803149606299213" bottom="0.15748031496062992" header="0.31496062992125984" footer="0.31496062992125984"/>
  <pageSetup paperSize="9" scale="90" orientation="landscape" r:id="rId1"/>
  <ignoredErrors>
    <ignoredError sqref="L13 L6:L11 J6:K13" emptyCellReferenc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/>
  <dimension ref="G2:K16"/>
  <sheetViews>
    <sheetView workbookViewId="0">
      <selection activeCell="G26" sqref="G26"/>
    </sheetView>
  </sheetViews>
  <sheetFormatPr defaultColWidth="9.140625" defaultRowHeight="15" x14ac:dyDescent="0.25"/>
  <cols>
    <col min="7" max="7" width="13.42578125" bestFit="1" customWidth="1"/>
    <col min="8" max="8" width="9.140625" style="290"/>
    <col min="11" max="11" width="12.5703125" bestFit="1" customWidth="1"/>
  </cols>
  <sheetData>
    <row r="2" spans="7:11" x14ac:dyDescent="0.25">
      <c r="G2" t="s">
        <v>384</v>
      </c>
      <c r="H2" s="338">
        <v>55.450021643395544</v>
      </c>
    </row>
    <row r="3" spans="7:11" x14ac:dyDescent="0.25">
      <c r="G3" t="s">
        <v>389</v>
      </c>
      <c r="H3" s="338">
        <v>112.43567591250618</v>
      </c>
    </row>
    <row r="4" spans="7:11" x14ac:dyDescent="0.25">
      <c r="G4" t="s">
        <v>387</v>
      </c>
      <c r="H4" s="338">
        <v>83.89870233065183</v>
      </c>
    </row>
    <row r="5" spans="7:11" x14ac:dyDescent="0.25">
      <c r="G5" t="s">
        <v>385</v>
      </c>
      <c r="H5" s="338">
        <v>46.317525161995547</v>
      </c>
    </row>
    <row r="6" spans="7:11" x14ac:dyDescent="0.25">
      <c r="G6" t="s">
        <v>381</v>
      </c>
      <c r="H6" s="338">
        <v>49.762839936380608</v>
      </c>
      <c r="K6" s="337"/>
    </row>
    <row r="7" spans="7:11" x14ac:dyDescent="0.25">
      <c r="G7" t="s">
        <v>390</v>
      </c>
      <c r="H7" s="338">
        <v>60.753701007676575</v>
      </c>
    </row>
    <row r="8" spans="7:11" x14ac:dyDescent="0.25">
      <c r="G8" t="s">
        <v>382</v>
      </c>
      <c r="H8" s="338">
        <v>55.396959421727232</v>
      </c>
    </row>
    <row r="9" spans="7:11" x14ac:dyDescent="0.25">
      <c r="G9" t="s">
        <v>391</v>
      </c>
      <c r="H9" s="338">
        <v>98.339646104163876</v>
      </c>
    </row>
    <row r="10" spans="7:11" x14ac:dyDescent="0.25">
      <c r="G10" t="s">
        <v>386</v>
      </c>
      <c r="H10" s="338">
        <v>52.721034638400042</v>
      </c>
    </row>
    <row r="11" spans="7:11" x14ac:dyDescent="0.25">
      <c r="G11" t="s">
        <v>388</v>
      </c>
      <c r="H11" s="338">
        <v>91.822468661880066</v>
      </c>
    </row>
    <row r="12" spans="7:11" x14ac:dyDescent="0.25">
      <c r="G12" t="s">
        <v>383</v>
      </c>
      <c r="H12" s="338">
        <v>49.62318395154216</v>
      </c>
    </row>
    <row r="13" spans="7:11" x14ac:dyDescent="0.25">
      <c r="G13" t="s">
        <v>393</v>
      </c>
      <c r="H13" s="338">
        <v>93.549462769577104</v>
      </c>
    </row>
    <row r="14" spans="7:11" x14ac:dyDescent="0.25">
      <c r="G14" t="s">
        <v>392</v>
      </c>
      <c r="H14" s="338">
        <v>75.227563379222147</v>
      </c>
    </row>
    <row r="15" spans="7:11" x14ac:dyDescent="0.25">
      <c r="G15" t="s">
        <v>395</v>
      </c>
      <c r="H15" s="290">
        <v>56</v>
      </c>
    </row>
    <row r="16" spans="7:11" x14ac:dyDescent="0.25">
      <c r="G16" t="s">
        <v>394</v>
      </c>
      <c r="H16" s="290">
        <v>99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/>
  <dimension ref="B2:E6"/>
  <sheetViews>
    <sheetView workbookViewId="0">
      <selection activeCell="C6" sqref="C6"/>
    </sheetView>
  </sheetViews>
  <sheetFormatPr defaultColWidth="11.42578125" defaultRowHeight="15" x14ac:dyDescent="0.25"/>
  <sheetData>
    <row r="2" spans="2:5" x14ac:dyDescent="0.25">
      <c r="B2">
        <v>1</v>
      </c>
      <c r="C2">
        <v>0.12025</v>
      </c>
      <c r="D2">
        <v>12025</v>
      </c>
    </row>
    <row r="3" spans="2:5" x14ac:dyDescent="0.25">
      <c r="B3">
        <v>2</v>
      </c>
      <c r="C3" s="336">
        <v>2.2499999999999999E-2</v>
      </c>
    </row>
    <row r="4" spans="2:5" x14ac:dyDescent="0.25">
      <c r="B4">
        <v>3</v>
      </c>
      <c r="C4">
        <v>3.2500000000000001E-2</v>
      </c>
    </row>
    <row r="5" spans="2:5" x14ac:dyDescent="0.25">
      <c r="B5">
        <v>4</v>
      </c>
      <c r="C5">
        <v>4.2500000000000003E-2</v>
      </c>
    </row>
    <row r="6" spans="2:5" x14ac:dyDescent="0.25">
      <c r="E6" s="335"/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D3:J1095"/>
  <sheetViews>
    <sheetView workbookViewId="0">
      <selection activeCell="I13" sqref="I13"/>
    </sheetView>
  </sheetViews>
  <sheetFormatPr defaultColWidth="9.140625" defaultRowHeight="19.5" customHeight="1" outlineLevelCol="1" x14ac:dyDescent="0.2"/>
  <cols>
    <col min="1" max="3" width="11.42578125" style="328" customWidth="1"/>
    <col min="4" max="4" width="30.140625" style="331" hidden="1" customWidth="1"/>
    <col min="5" max="5" width="16.28515625" style="328" hidden="1" customWidth="1"/>
    <col min="6" max="6" width="9.140625" style="328"/>
    <col min="7" max="7" width="21.5703125" style="328" customWidth="1"/>
    <col min="8" max="8" width="21.28515625" style="331" customWidth="1" outlineLevel="1"/>
    <col min="9" max="16384" width="9.140625" style="328"/>
  </cols>
  <sheetData>
    <row r="3" spans="4:10" s="321" customFormat="1" ht="23.25" customHeight="1" x14ac:dyDescent="0.25">
      <c r="D3" s="320" t="s">
        <v>114</v>
      </c>
      <c r="E3" s="320" t="s">
        <v>115</v>
      </c>
      <c r="G3" s="320" t="s">
        <v>114</v>
      </c>
      <c r="H3" s="320" t="s">
        <v>115</v>
      </c>
    </row>
    <row r="4" spans="4:10" s="322" customFormat="1" ht="24" customHeight="1" x14ac:dyDescent="0.25">
      <c r="G4" s="323" t="s">
        <v>374</v>
      </c>
      <c r="H4" s="323">
        <v>70</v>
      </c>
      <c r="I4" s="322">
        <v>48</v>
      </c>
      <c r="J4" s="324"/>
    </row>
    <row r="5" spans="4:10" s="322" customFormat="1" ht="24" customHeight="1" x14ac:dyDescent="0.25">
      <c r="D5" s="325" t="s">
        <v>122</v>
      </c>
      <c r="E5" s="326">
        <v>54</v>
      </c>
      <c r="G5" s="323" t="s">
        <v>375</v>
      </c>
      <c r="H5" s="323">
        <v>55</v>
      </c>
      <c r="I5" s="322">
        <v>48</v>
      </c>
      <c r="J5" s="324"/>
    </row>
    <row r="6" spans="4:10" s="322" customFormat="1" ht="24" customHeight="1" x14ac:dyDescent="0.25">
      <c r="D6" s="325" t="s">
        <v>117</v>
      </c>
      <c r="E6" s="326">
        <v>51</v>
      </c>
      <c r="G6" s="323" t="s">
        <v>365</v>
      </c>
      <c r="H6" s="323">
        <v>40</v>
      </c>
      <c r="I6" s="322">
        <v>38</v>
      </c>
      <c r="J6" s="324"/>
    </row>
    <row r="7" spans="4:10" s="322" customFormat="1" ht="24" customHeight="1" x14ac:dyDescent="0.25">
      <c r="D7" s="325" t="s">
        <v>123</v>
      </c>
      <c r="E7" s="326">
        <v>50</v>
      </c>
      <c r="G7" s="323" t="s">
        <v>368</v>
      </c>
      <c r="H7" s="323">
        <v>50</v>
      </c>
      <c r="I7" s="322">
        <v>47</v>
      </c>
      <c r="J7" s="324"/>
    </row>
    <row r="8" spans="4:10" s="322" customFormat="1" ht="24" customHeight="1" x14ac:dyDescent="0.25">
      <c r="D8" s="325" t="s">
        <v>120</v>
      </c>
      <c r="E8" s="326">
        <v>41</v>
      </c>
      <c r="G8" s="323" t="s">
        <v>376</v>
      </c>
      <c r="H8" s="323">
        <v>40</v>
      </c>
      <c r="I8" s="322">
        <v>36</v>
      </c>
      <c r="J8" s="324"/>
    </row>
    <row r="9" spans="4:10" s="322" customFormat="1" ht="24" customHeight="1" x14ac:dyDescent="0.25">
      <c r="D9" s="325" t="s">
        <v>119</v>
      </c>
      <c r="E9" s="326">
        <v>80</v>
      </c>
      <c r="G9" s="323" t="s">
        <v>367</v>
      </c>
      <c r="H9" s="323">
        <v>63</v>
      </c>
      <c r="J9" s="324"/>
    </row>
    <row r="10" spans="4:10" s="322" customFormat="1" ht="24" customHeight="1" x14ac:dyDescent="0.25">
      <c r="D10" s="325" t="s">
        <v>118</v>
      </c>
      <c r="E10" s="326">
        <v>104</v>
      </c>
      <c r="G10" s="323" t="s">
        <v>371</v>
      </c>
      <c r="H10" s="323">
        <v>131</v>
      </c>
      <c r="J10" s="324"/>
    </row>
    <row r="11" spans="4:10" s="322" customFormat="1" ht="24" customHeight="1" x14ac:dyDescent="0.25">
      <c r="D11" s="325" t="s">
        <v>121</v>
      </c>
      <c r="E11" s="326">
        <v>104</v>
      </c>
      <c r="G11" s="323" t="s">
        <v>369</v>
      </c>
      <c r="H11" s="323">
        <v>47</v>
      </c>
      <c r="J11" s="324"/>
    </row>
    <row r="12" spans="4:10" s="322" customFormat="1" ht="24" customHeight="1" x14ac:dyDescent="0.25">
      <c r="D12" s="325" t="s">
        <v>116</v>
      </c>
      <c r="E12" s="326">
        <v>110</v>
      </c>
      <c r="G12" s="323" t="s">
        <v>372</v>
      </c>
      <c r="H12" s="323">
        <v>45</v>
      </c>
      <c r="I12" s="322">
        <v>43</v>
      </c>
      <c r="J12" s="324"/>
    </row>
    <row r="13" spans="4:10" s="322" customFormat="1" ht="24" customHeight="1" x14ac:dyDescent="0.25">
      <c r="D13" s="325" t="s">
        <v>126</v>
      </c>
      <c r="E13" s="326">
        <v>79</v>
      </c>
      <c r="G13" s="323" t="s">
        <v>370</v>
      </c>
      <c r="H13" s="323">
        <v>46</v>
      </c>
      <c r="J13" s="324"/>
    </row>
    <row r="14" spans="4:10" ht="24" customHeight="1" x14ac:dyDescent="0.2">
      <c r="D14" s="325" t="s">
        <v>124</v>
      </c>
      <c r="E14" s="327">
        <v>69</v>
      </c>
      <c r="G14" s="323"/>
      <c r="H14" s="323"/>
      <c r="J14" s="329"/>
    </row>
    <row r="15" spans="4:10" ht="24" customHeight="1" x14ac:dyDescent="0.2">
      <c r="D15" s="325" t="s">
        <v>125</v>
      </c>
      <c r="E15" s="327">
        <v>83</v>
      </c>
      <c r="G15" s="323"/>
      <c r="H15" s="323"/>
      <c r="J15" s="329"/>
    </row>
    <row r="16" spans="4:10" ht="24" customHeight="1" x14ac:dyDescent="0.2">
      <c r="D16" s="325" t="s">
        <v>127</v>
      </c>
      <c r="E16" s="327">
        <v>48</v>
      </c>
      <c r="G16" s="323"/>
      <c r="H16" s="323"/>
      <c r="J16" s="329"/>
    </row>
    <row r="17" spans="4:8" ht="24" customHeight="1" x14ac:dyDescent="0.2">
      <c r="D17" s="325" t="s">
        <v>129</v>
      </c>
      <c r="E17" s="327">
        <v>44.152566544540662</v>
      </c>
      <c r="G17" s="323"/>
      <c r="H17" s="323"/>
    </row>
    <row r="18" spans="4:8" ht="24" customHeight="1" x14ac:dyDescent="0.2">
      <c r="D18" s="325" t="s">
        <v>131</v>
      </c>
      <c r="E18" s="330"/>
      <c r="G18" s="323"/>
      <c r="H18" s="323"/>
    </row>
    <row r="19" spans="4:8" ht="24" customHeight="1" x14ac:dyDescent="0.2">
      <c r="D19" s="325" t="s">
        <v>173</v>
      </c>
      <c r="E19" s="330"/>
      <c r="G19" s="323"/>
      <c r="H19" s="323"/>
    </row>
    <row r="20" spans="4:8" ht="24" customHeight="1" x14ac:dyDescent="0.2">
      <c r="G20" s="323"/>
      <c r="H20" s="323"/>
    </row>
    <row r="21" spans="4:8" ht="24" customHeight="1" x14ac:dyDescent="0.2">
      <c r="G21" s="323"/>
      <c r="H21" s="323"/>
    </row>
    <row r="22" spans="4:8" ht="24.75" customHeight="1" x14ac:dyDescent="0.2">
      <c r="G22" s="333"/>
      <c r="H22" s="330"/>
    </row>
    <row r="23" spans="4:8" ht="24.75" customHeight="1" x14ac:dyDescent="0.2">
      <c r="G23" s="333"/>
      <c r="H23" s="330"/>
    </row>
    <row r="24" spans="4:8" ht="24.75" customHeight="1" x14ac:dyDescent="0.2">
      <c r="G24" s="333"/>
      <c r="H24" s="330"/>
    </row>
    <row r="25" spans="4:8" ht="24.75" customHeight="1" x14ac:dyDescent="0.2">
      <c r="G25" s="333"/>
      <c r="H25" s="330"/>
    </row>
    <row r="26" spans="4:8" ht="24.75" customHeight="1" x14ac:dyDescent="0.2">
      <c r="G26" s="333"/>
      <c r="H26" s="330"/>
    </row>
    <row r="27" spans="4:8" ht="24.75" customHeight="1" x14ac:dyDescent="0.2">
      <c r="G27" s="333"/>
      <c r="H27" s="330"/>
    </row>
    <row r="28" spans="4:8" ht="24.75" customHeight="1" x14ac:dyDescent="0.2">
      <c r="G28" s="333"/>
      <c r="H28" s="330"/>
    </row>
    <row r="29" spans="4:8" ht="24.75" customHeight="1" x14ac:dyDescent="0.2">
      <c r="G29" s="333"/>
      <c r="H29" s="330"/>
    </row>
    <row r="30" spans="4:8" ht="24.75" customHeight="1" x14ac:dyDescent="0.2">
      <c r="G30" s="333"/>
      <c r="H30" s="330"/>
    </row>
    <row r="31" spans="4:8" ht="24.75" customHeight="1" x14ac:dyDescent="0.2">
      <c r="G31" s="333"/>
      <c r="H31" s="330"/>
    </row>
    <row r="32" spans="4:8" ht="24.75" customHeight="1" x14ac:dyDescent="0.2">
      <c r="G32" s="333"/>
      <c r="H32" s="330"/>
    </row>
    <row r="33" spans="8:8" ht="19.5" customHeight="1" x14ac:dyDescent="0.2">
      <c r="H33" s="328"/>
    </row>
    <row r="34" spans="8:8" ht="19.5" customHeight="1" x14ac:dyDescent="0.2">
      <c r="H34" s="328"/>
    </row>
    <row r="35" spans="8:8" ht="19.5" customHeight="1" x14ac:dyDescent="0.2">
      <c r="H35" s="328"/>
    </row>
    <row r="36" spans="8:8" ht="19.5" customHeight="1" x14ac:dyDescent="0.2">
      <c r="H36" s="328"/>
    </row>
    <row r="37" spans="8:8" ht="19.5" customHeight="1" x14ac:dyDescent="0.2">
      <c r="H37" s="328"/>
    </row>
    <row r="38" spans="8:8" ht="19.5" customHeight="1" x14ac:dyDescent="0.2">
      <c r="H38" s="328"/>
    </row>
    <row r="39" spans="8:8" ht="19.5" customHeight="1" x14ac:dyDescent="0.2">
      <c r="H39" s="328"/>
    </row>
    <row r="40" spans="8:8" ht="19.5" customHeight="1" x14ac:dyDescent="0.2">
      <c r="H40" s="328"/>
    </row>
    <row r="41" spans="8:8" ht="19.5" customHeight="1" x14ac:dyDescent="0.2">
      <c r="H41" s="328"/>
    </row>
    <row r="42" spans="8:8" ht="19.5" customHeight="1" x14ac:dyDescent="0.2">
      <c r="H42" s="328"/>
    </row>
    <row r="43" spans="8:8" ht="19.5" customHeight="1" x14ac:dyDescent="0.2">
      <c r="H43" s="328"/>
    </row>
    <row r="44" spans="8:8" ht="19.5" customHeight="1" x14ac:dyDescent="0.2">
      <c r="H44" s="328"/>
    </row>
    <row r="45" spans="8:8" ht="19.5" customHeight="1" x14ac:dyDescent="0.2">
      <c r="H45" s="328"/>
    </row>
    <row r="46" spans="8:8" ht="19.5" customHeight="1" x14ac:dyDescent="0.2">
      <c r="H46" s="328"/>
    </row>
    <row r="47" spans="8:8" ht="19.5" customHeight="1" x14ac:dyDescent="0.2">
      <c r="H47" s="328"/>
    </row>
    <row r="48" spans="8:8" ht="19.5" customHeight="1" x14ac:dyDescent="0.2">
      <c r="H48" s="328"/>
    </row>
    <row r="49" spans="8:8" ht="19.5" customHeight="1" x14ac:dyDescent="0.2">
      <c r="H49" s="328"/>
    </row>
    <row r="50" spans="8:8" ht="19.5" customHeight="1" x14ac:dyDescent="0.2">
      <c r="H50" s="328"/>
    </row>
    <row r="51" spans="8:8" ht="19.5" customHeight="1" x14ac:dyDescent="0.2">
      <c r="H51" s="328"/>
    </row>
    <row r="52" spans="8:8" ht="19.5" customHeight="1" x14ac:dyDescent="0.2">
      <c r="H52" s="328"/>
    </row>
    <row r="53" spans="8:8" ht="19.5" customHeight="1" x14ac:dyDescent="0.2">
      <c r="H53" s="328"/>
    </row>
    <row r="54" spans="8:8" ht="19.5" customHeight="1" x14ac:dyDescent="0.2">
      <c r="H54" s="328"/>
    </row>
    <row r="55" spans="8:8" ht="19.5" customHeight="1" x14ac:dyDescent="0.2">
      <c r="H55" s="328"/>
    </row>
    <row r="56" spans="8:8" ht="19.5" customHeight="1" x14ac:dyDescent="0.2">
      <c r="H56" s="328"/>
    </row>
    <row r="57" spans="8:8" ht="19.5" customHeight="1" x14ac:dyDescent="0.2">
      <c r="H57" s="328"/>
    </row>
    <row r="58" spans="8:8" ht="19.5" customHeight="1" x14ac:dyDescent="0.2">
      <c r="H58" s="328"/>
    </row>
    <row r="59" spans="8:8" ht="19.5" customHeight="1" x14ac:dyDescent="0.2">
      <c r="H59" s="328"/>
    </row>
    <row r="60" spans="8:8" ht="19.5" customHeight="1" x14ac:dyDescent="0.2">
      <c r="H60" s="328"/>
    </row>
    <row r="61" spans="8:8" ht="19.5" customHeight="1" x14ac:dyDescent="0.2">
      <c r="H61" s="328"/>
    </row>
    <row r="62" spans="8:8" ht="19.5" customHeight="1" x14ac:dyDescent="0.2">
      <c r="H62" s="328"/>
    </row>
    <row r="63" spans="8:8" ht="19.5" customHeight="1" x14ac:dyDescent="0.2">
      <c r="H63" s="328"/>
    </row>
    <row r="64" spans="8:8" ht="19.5" customHeight="1" x14ac:dyDescent="0.2">
      <c r="H64" s="328"/>
    </row>
    <row r="65" spans="8:8" ht="19.5" customHeight="1" x14ac:dyDescent="0.2">
      <c r="H65" s="328"/>
    </row>
    <row r="66" spans="8:8" ht="19.5" customHeight="1" x14ac:dyDescent="0.2">
      <c r="H66" s="328"/>
    </row>
    <row r="67" spans="8:8" ht="19.5" customHeight="1" x14ac:dyDescent="0.2">
      <c r="H67" s="328"/>
    </row>
    <row r="68" spans="8:8" ht="19.5" customHeight="1" x14ac:dyDescent="0.2">
      <c r="H68" s="328"/>
    </row>
    <row r="69" spans="8:8" ht="19.5" customHeight="1" x14ac:dyDescent="0.2">
      <c r="H69" s="328"/>
    </row>
    <row r="70" spans="8:8" ht="19.5" customHeight="1" x14ac:dyDescent="0.2">
      <c r="H70" s="328"/>
    </row>
    <row r="71" spans="8:8" ht="19.5" customHeight="1" x14ac:dyDescent="0.2">
      <c r="H71" s="328"/>
    </row>
    <row r="72" spans="8:8" ht="19.5" customHeight="1" x14ac:dyDescent="0.2">
      <c r="H72" s="328"/>
    </row>
    <row r="73" spans="8:8" ht="19.5" customHeight="1" x14ac:dyDescent="0.2">
      <c r="H73" s="328"/>
    </row>
    <row r="74" spans="8:8" ht="19.5" customHeight="1" x14ac:dyDescent="0.2">
      <c r="H74" s="328"/>
    </row>
    <row r="75" spans="8:8" ht="19.5" customHeight="1" x14ac:dyDescent="0.2">
      <c r="H75" s="328"/>
    </row>
    <row r="76" spans="8:8" ht="19.5" customHeight="1" x14ac:dyDescent="0.2">
      <c r="H76" s="328"/>
    </row>
    <row r="77" spans="8:8" ht="19.5" customHeight="1" x14ac:dyDescent="0.2">
      <c r="H77" s="328"/>
    </row>
    <row r="78" spans="8:8" ht="19.5" customHeight="1" x14ac:dyDescent="0.2">
      <c r="H78" s="328"/>
    </row>
    <row r="79" spans="8:8" ht="19.5" customHeight="1" x14ac:dyDescent="0.2">
      <c r="H79" s="328"/>
    </row>
    <row r="80" spans="8:8" ht="19.5" customHeight="1" x14ac:dyDescent="0.2">
      <c r="H80" s="328"/>
    </row>
    <row r="81" spans="8:8" ht="19.5" customHeight="1" x14ac:dyDescent="0.2">
      <c r="H81" s="328"/>
    </row>
    <row r="82" spans="8:8" ht="19.5" customHeight="1" x14ac:dyDescent="0.2">
      <c r="H82" s="328"/>
    </row>
    <row r="83" spans="8:8" ht="19.5" customHeight="1" x14ac:dyDescent="0.2">
      <c r="H83" s="328"/>
    </row>
    <row r="84" spans="8:8" ht="19.5" customHeight="1" x14ac:dyDescent="0.2">
      <c r="H84" s="328"/>
    </row>
    <row r="85" spans="8:8" ht="19.5" customHeight="1" x14ac:dyDescent="0.2">
      <c r="H85" s="328"/>
    </row>
    <row r="86" spans="8:8" ht="19.5" customHeight="1" x14ac:dyDescent="0.2">
      <c r="H86" s="328"/>
    </row>
    <row r="87" spans="8:8" ht="19.5" customHeight="1" x14ac:dyDescent="0.2">
      <c r="H87" s="328"/>
    </row>
    <row r="88" spans="8:8" ht="19.5" customHeight="1" x14ac:dyDescent="0.2">
      <c r="H88" s="328"/>
    </row>
    <row r="89" spans="8:8" ht="19.5" customHeight="1" x14ac:dyDescent="0.2">
      <c r="H89" s="328"/>
    </row>
    <row r="90" spans="8:8" ht="19.5" customHeight="1" x14ac:dyDescent="0.2">
      <c r="H90" s="328"/>
    </row>
    <row r="91" spans="8:8" ht="19.5" customHeight="1" x14ac:dyDescent="0.2">
      <c r="H91" s="328"/>
    </row>
    <row r="92" spans="8:8" ht="19.5" customHeight="1" x14ac:dyDescent="0.2">
      <c r="H92" s="328"/>
    </row>
    <row r="93" spans="8:8" ht="19.5" customHeight="1" x14ac:dyDescent="0.2">
      <c r="H93" s="328"/>
    </row>
    <row r="94" spans="8:8" ht="19.5" customHeight="1" x14ac:dyDescent="0.2">
      <c r="H94" s="328"/>
    </row>
    <row r="95" spans="8:8" ht="19.5" customHeight="1" x14ac:dyDescent="0.2">
      <c r="H95" s="328"/>
    </row>
    <row r="96" spans="8:8" ht="19.5" customHeight="1" x14ac:dyDescent="0.2">
      <c r="H96" s="328"/>
    </row>
    <row r="97" spans="8:8" ht="19.5" customHeight="1" x14ac:dyDescent="0.2">
      <c r="H97" s="328"/>
    </row>
    <row r="98" spans="8:8" ht="19.5" customHeight="1" x14ac:dyDescent="0.2">
      <c r="H98" s="328"/>
    </row>
    <row r="99" spans="8:8" ht="19.5" customHeight="1" x14ac:dyDescent="0.2">
      <c r="H99" s="328"/>
    </row>
    <row r="100" spans="8:8" ht="19.5" customHeight="1" x14ac:dyDescent="0.2">
      <c r="H100" s="328"/>
    </row>
    <row r="101" spans="8:8" ht="19.5" customHeight="1" x14ac:dyDescent="0.2">
      <c r="H101" s="328"/>
    </row>
    <row r="102" spans="8:8" ht="19.5" customHeight="1" x14ac:dyDescent="0.2">
      <c r="H102" s="328"/>
    </row>
    <row r="103" spans="8:8" ht="19.5" customHeight="1" x14ac:dyDescent="0.2">
      <c r="H103" s="328"/>
    </row>
    <row r="104" spans="8:8" ht="19.5" customHeight="1" x14ac:dyDescent="0.2">
      <c r="H104" s="328"/>
    </row>
    <row r="105" spans="8:8" ht="19.5" customHeight="1" x14ac:dyDescent="0.2">
      <c r="H105" s="328"/>
    </row>
    <row r="106" spans="8:8" ht="19.5" customHeight="1" x14ac:dyDescent="0.2">
      <c r="H106" s="328"/>
    </row>
    <row r="107" spans="8:8" ht="19.5" customHeight="1" x14ac:dyDescent="0.2">
      <c r="H107" s="328"/>
    </row>
    <row r="108" spans="8:8" ht="19.5" customHeight="1" x14ac:dyDescent="0.2">
      <c r="H108" s="328"/>
    </row>
    <row r="109" spans="8:8" ht="19.5" customHeight="1" x14ac:dyDescent="0.2">
      <c r="H109" s="328"/>
    </row>
    <row r="110" spans="8:8" ht="19.5" customHeight="1" x14ac:dyDescent="0.2">
      <c r="H110" s="328"/>
    </row>
    <row r="111" spans="8:8" ht="19.5" customHeight="1" x14ac:dyDescent="0.2">
      <c r="H111" s="328"/>
    </row>
    <row r="112" spans="8:8" ht="19.5" customHeight="1" x14ac:dyDescent="0.2">
      <c r="H112" s="328"/>
    </row>
    <row r="113" spans="8:8" ht="19.5" customHeight="1" x14ac:dyDescent="0.2">
      <c r="H113" s="328"/>
    </row>
    <row r="114" spans="8:8" ht="19.5" customHeight="1" x14ac:dyDescent="0.2">
      <c r="H114" s="328"/>
    </row>
    <row r="115" spans="8:8" ht="19.5" customHeight="1" x14ac:dyDescent="0.2">
      <c r="H115" s="328"/>
    </row>
    <row r="116" spans="8:8" ht="19.5" customHeight="1" x14ac:dyDescent="0.2">
      <c r="H116" s="328"/>
    </row>
    <row r="117" spans="8:8" ht="19.5" customHeight="1" x14ac:dyDescent="0.2">
      <c r="H117" s="328"/>
    </row>
    <row r="118" spans="8:8" ht="19.5" customHeight="1" x14ac:dyDescent="0.2">
      <c r="H118" s="328"/>
    </row>
    <row r="119" spans="8:8" ht="19.5" customHeight="1" x14ac:dyDescent="0.2">
      <c r="H119" s="328"/>
    </row>
    <row r="120" spans="8:8" ht="19.5" customHeight="1" x14ac:dyDescent="0.2">
      <c r="H120" s="328"/>
    </row>
    <row r="121" spans="8:8" ht="19.5" customHeight="1" x14ac:dyDescent="0.2">
      <c r="H121" s="328"/>
    </row>
    <row r="122" spans="8:8" ht="19.5" customHeight="1" x14ac:dyDescent="0.2">
      <c r="H122" s="328"/>
    </row>
    <row r="123" spans="8:8" ht="19.5" customHeight="1" x14ac:dyDescent="0.2">
      <c r="H123" s="328"/>
    </row>
    <row r="124" spans="8:8" ht="19.5" customHeight="1" x14ac:dyDescent="0.2">
      <c r="H124" s="328"/>
    </row>
    <row r="125" spans="8:8" ht="19.5" customHeight="1" x14ac:dyDescent="0.2">
      <c r="H125" s="328"/>
    </row>
    <row r="126" spans="8:8" ht="19.5" customHeight="1" x14ac:dyDescent="0.2">
      <c r="H126" s="328"/>
    </row>
    <row r="127" spans="8:8" ht="19.5" customHeight="1" x14ac:dyDescent="0.2">
      <c r="H127" s="328"/>
    </row>
    <row r="128" spans="8:8" ht="19.5" customHeight="1" x14ac:dyDescent="0.2">
      <c r="H128" s="328"/>
    </row>
    <row r="129" spans="8:8" ht="19.5" customHeight="1" x14ac:dyDescent="0.2">
      <c r="H129" s="328"/>
    </row>
    <row r="130" spans="8:8" ht="19.5" customHeight="1" x14ac:dyDescent="0.2">
      <c r="H130" s="328"/>
    </row>
    <row r="131" spans="8:8" ht="19.5" customHeight="1" x14ac:dyDescent="0.2">
      <c r="H131" s="328"/>
    </row>
    <row r="132" spans="8:8" ht="19.5" customHeight="1" x14ac:dyDescent="0.2">
      <c r="H132" s="328"/>
    </row>
    <row r="133" spans="8:8" ht="19.5" customHeight="1" x14ac:dyDescent="0.2">
      <c r="H133" s="328"/>
    </row>
    <row r="134" spans="8:8" ht="19.5" customHeight="1" x14ac:dyDescent="0.2">
      <c r="H134" s="328"/>
    </row>
    <row r="135" spans="8:8" ht="19.5" customHeight="1" x14ac:dyDescent="0.2">
      <c r="H135" s="328"/>
    </row>
    <row r="136" spans="8:8" ht="19.5" customHeight="1" x14ac:dyDescent="0.2">
      <c r="H136" s="328"/>
    </row>
    <row r="137" spans="8:8" ht="19.5" customHeight="1" x14ac:dyDescent="0.2">
      <c r="H137" s="328"/>
    </row>
    <row r="138" spans="8:8" ht="19.5" customHeight="1" x14ac:dyDescent="0.2">
      <c r="H138" s="328"/>
    </row>
    <row r="139" spans="8:8" ht="19.5" customHeight="1" x14ac:dyDescent="0.2">
      <c r="H139" s="328"/>
    </row>
    <row r="140" spans="8:8" ht="19.5" customHeight="1" x14ac:dyDescent="0.2">
      <c r="H140" s="328"/>
    </row>
    <row r="141" spans="8:8" ht="19.5" customHeight="1" x14ac:dyDescent="0.2">
      <c r="H141" s="328"/>
    </row>
    <row r="142" spans="8:8" ht="19.5" customHeight="1" x14ac:dyDescent="0.2">
      <c r="H142" s="328"/>
    </row>
    <row r="143" spans="8:8" ht="19.5" customHeight="1" x14ac:dyDescent="0.2">
      <c r="H143" s="328"/>
    </row>
    <row r="144" spans="8:8" ht="19.5" customHeight="1" x14ac:dyDescent="0.2">
      <c r="H144" s="328"/>
    </row>
    <row r="145" spans="8:8" ht="19.5" customHeight="1" x14ac:dyDescent="0.2">
      <c r="H145" s="328"/>
    </row>
    <row r="146" spans="8:8" ht="19.5" customHeight="1" x14ac:dyDescent="0.2">
      <c r="H146" s="328"/>
    </row>
    <row r="147" spans="8:8" ht="19.5" customHeight="1" x14ac:dyDescent="0.2">
      <c r="H147" s="328"/>
    </row>
    <row r="148" spans="8:8" ht="19.5" customHeight="1" x14ac:dyDescent="0.2">
      <c r="H148" s="328"/>
    </row>
    <row r="149" spans="8:8" ht="19.5" customHeight="1" x14ac:dyDescent="0.2">
      <c r="H149" s="328"/>
    </row>
    <row r="150" spans="8:8" ht="19.5" customHeight="1" x14ac:dyDescent="0.2">
      <c r="H150" s="328"/>
    </row>
    <row r="151" spans="8:8" ht="19.5" customHeight="1" x14ac:dyDescent="0.2">
      <c r="H151" s="328"/>
    </row>
    <row r="152" spans="8:8" ht="19.5" customHeight="1" x14ac:dyDescent="0.2">
      <c r="H152" s="328"/>
    </row>
    <row r="153" spans="8:8" ht="19.5" customHeight="1" x14ac:dyDescent="0.2">
      <c r="H153" s="328"/>
    </row>
    <row r="154" spans="8:8" ht="19.5" customHeight="1" x14ac:dyDescent="0.2">
      <c r="H154" s="328"/>
    </row>
    <row r="155" spans="8:8" ht="19.5" customHeight="1" x14ac:dyDescent="0.2">
      <c r="H155" s="328"/>
    </row>
    <row r="156" spans="8:8" ht="19.5" customHeight="1" x14ac:dyDescent="0.2">
      <c r="H156" s="328"/>
    </row>
    <row r="157" spans="8:8" ht="19.5" customHeight="1" x14ac:dyDescent="0.2">
      <c r="H157" s="328"/>
    </row>
    <row r="158" spans="8:8" ht="19.5" customHeight="1" x14ac:dyDescent="0.2">
      <c r="H158" s="328"/>
    </row>
    <row r="159" spans="8:8" ht="19.5" customHeight="1" x14ac:dyDescent="0.2">
      <c r="H159" s="328"/>
    </row>
    <row r="160" spans="8:8" ht="19.5" customHeight="1" x14ac:dyDescent="0.2">
      <c r="H160" s="328"/>
    </row>
    <row r="161" spans="8:8" ht="19.5" customHeight="1" x14ac:dyDescent="0.2">
      <c r="H161" s="328"/>
    </row>
    <row r="162" spans="8:8" ht="19.5" customHeight="1" x14ac:dyDescent="0.2">
      <c r="H162" s="328"/>
    </row>
    <row r="163" spans="8:8" ht="19.5" customHeight="1" x14ac:dyDescent="0.2">
      <c r="H163" s="328"/>
    </row>
    <row r="164" spans="8:8" ht="19.5" customHeight="1" x14ac:dyDescent="0.2">
      <c r="H164" s="328"/>
    </row>
    <row r="165" spans="8:8" ht="19.5" customHeight="1" x14ac:dyDescent="0.2">
      <c r="H165" s="328"/>
    </row>
    <row r="166" spans="8:8" ht="19.5" customHeight="1" x14ac:dyDescent="0.2">
      <c r="H166" s="328"/>
    </row>
    <row r="167" spans="8:8" ht="19.5" customHeight="1" x14ac:dyDescent="0.2">
      <c r="H167" s="328"/>
    </row>
    <row r="168" spans="8:8" ht="19.5" customHeight="1" x14ac:dyDescent="0.2">
      <c r="H168" s="328"/>
    </row>
    <row r="169" spans="8:8" ht="19.5" customHeight="1" x14ac:dyDescent="0.2">
      <c r="H169" s="328"/>
    </row>
    <row r="170" spans="8:8" ht="19.5" customHeight="1" x14ac:dyDescent="0.2">
      <c r="H170" s="328"/>
    </row>
    <row r="171" spans="8:8" ht="19.5" customHeight="1" x14ac:dyDescent="0.2">
      <c r="H171" s="328"/>
    </row>
    <row r="172" spans="8:8" ht="19.5" customHeight="1" x14ac:dyDescent="0.2">
      <c r="H172" s="328"/>
    </row>
    <row r="173" spans="8:8" ht="19.5" customHeight="1" x14ac:dyDescent="0.2">
      <c r="H173" s="328"/>
    </row>
    <row r="174" spans="8:8" ht="19.5" customHeight="1" x14ac:dyDescent="0.2">
      <c r="H174" s="328"/>
    </row>
    <row r="175" spans="8:8" ht="19.5" customHeight="1" x14ac:dyDescent="0.2">
      <c r="H175" s="328"/>
    </row>
    <row r="176" spans="8:8" ht="19.5" customHeight="1" x14ac:dyDescent="0.2">
      <c r="H176" s="328"/>
    </row>
    <row r="177" spans="8:8" ht="19.5" customHeight="1" x14ac:dyDescent="0.2">
      <c r="H177" s="328"/>
    </row>
    <row r="178" spans="8:8" ht="19.5" customHeight="1" x14ac:dyDescent="0.2">
      <c r="H178" s="328"/>
    </row>
    <row r="179" spans="8:8" ht="19.5" customHeight="1" x14ac:dyDescent="0.2">
      <c r="H179" s="328"/>
    </row>
    <row r="180" spans="8:8" ht="19.5" customHeight="1" x14ac:dyDescent="0.2">
      <c r="H180" s="328"/>
    </row>
    <row r="181" spans="8:8" ht="19.5" customHeight="1" x14ac:dyDescent="0.2">
      <c r="H181" s="328"/>
    </row>
    <row r="182" spans="8:8" ht="19.5" customHeight="1" x14ac:dyDescent="0.2">
      <c r="H182" s="328"/>
    </row>
    <row r="183" spans="8:8" ht="19.5" customHeight="1" x14ac:dyDescent="0.2">
      <c r="H183" s="328"/>
    </row>
    <row r="184" spans="8:8" ht="19.5" customHeight="1" x14ac:dyDescent="0.2">
      <c r="H184" s="328"/>
    </row>
    <row r="185" spans="8:8" ht="19.5" customHeight="1" x14ac:dyDescent="0.2">
      <c r="H185" s="328"/>
    </row>
    <row r="186" spans="8:8" ht="19.5" customHeight="1" x14ac:dyDescent="0.2">
      <c r="H186" s="328"/>
    </row>
    <row r="187" spans="8:8" ht="19.5" customHeight="1" x14ac:dyDescent="0.2">
      <c r="H187" s="328"/>
    </row>
    <row r="188" spans="8:8" ht="19.5" customHeight="1" x14ac:dyDescent="0.2">
      <c r="H188" s="328"/>
    </row>
    <row r="189" spans="8:8" ht="19.5" customHeight="1" x14ac:dyDescent="0.2">
      <c r="H189" s="328"/>
    </row>
    <row r="190" spans="8:8" ht="19.5" customHeight="1" x14ac:dyDescent="0.2">
      <c r="H190" s="328"/>
    </row>
    <row r="191" spans="8:8" ht="19.5" customHeight="1" x14ac:dyDescent="0.2">
      <c r="H191" s="328"/>
    </row>
    <row r="192" spans="8:8" ht="19.5" customHeight="1" x14ac:dyDescent="0.2">
      <c r="H192" s="328"/>
    </row>
    <row r="193" spans="8:8" ht="19.5" customHeight="1" x14ac:dyDescent="0.2">
      <c r="H193" s="328"/>
    </row>
    <row r="194" spans="8:8" ht="19.5" customHeight="1" x14ac:dyDescent="0.2">
      <c r="H194" s="328"/>
    </row>
    <row r="195" spans="8:8" ht="19.5" customHeight="1" x14ac:dyDescent="0.2">
      <c r="H195" s="328"/>
    </row>
    <row r="196" spans="8:8" ht="19.5" customHeight="1" x14ac:dyDescent="0.2">
      <c r="H196" s="328"/>
    </row>
    <row r="197" spans="8:8" ht="19.5" customHeight="1" x14ac:dyDescent="0.2">
      <c r="H197" s="328"/>
    </row>
    <row r="198" spans="8:8" ht="19.5" customHeight="1" x14ac:dyDescent="0.2">
      <c r="H198" s="328"/>
    </row>
    <row r="199" spans="8:8" ht="19.5" customHeight="1" x14ac:dyDescent="0.2">
      <c r="H199" s="328"/>
    </row>
    <row r="200" spans="8:8" ht="19.5" customHeight="1" x14ac:dyDescent="0.2">
      <c r="H200" s="328"/>
    </row>
    <row r="201" spans="8:8" ht="19.5" customHeight="1" x14ac:dyDescent="0.2">
      <c r="H201" s="328"/>
    </row>
    <row r="202" spans="8:8" ht="19.5" customHeight="1" x14ac:dyDescent="0.2">
      <c r="H202" s="328"/>
    </row>
    <row r="203" spans="8:8" ht="19.5" customHeight="1" x14ac:dyDescent="0.2">
      <c r="H203" s="328"/>
    </row>
    <row r="204" spans="8:8" ht="19.5" customHeight="1" x14ac:dyDescent="0.2">
      <c r="H204" s="328"/>
    </row>
    <row r="205" spans="8:8" ht="19.5" customHeight="1" x14ac:dyDescent="0.2">
      <c r="H205" s="328"/>
    </row>
    <row r="206" spans="8:8" ht="19.5" customHeight="1" x14ac:dyDescent="0.2">
      <c r="H206" s="328"/>
    </row>
    <row r="207" spans="8:8" ht="19.5" customHeight="1" x14ac:dyDescent="0.2">
      <c r="H207" s="328"/>
    </row>
    <row r="208" spans="8:8" ht="19.5" customHeight="1" x14ac:dyDescent="0.2">
      <c r="H208" s="328"/>
    </row>
    <row r="209" spans="8:8" ht="19.5" customHeight="1" x14ac:dyDescent="0.2">
      <c r="H209" s="328"/>
    </row>
    <row r="210" spans="8:8" ht="19.5" customHeight="1" x14ac:dyDescent="0.2">
      <c r="H210" s="328"/>
    </row>
    <row r="211" spans="8:8" ht="19.5" customHeight="1" x14ac:dyDescent="0.2">
      <c r="H211" s="328"/>
    </row>
    <row r="212" spans="8:8" ht="19.5" customHeight="1" x14ac:dyDescent="0.2">
      <c r="H212" s="328"/>
    </row>
    <row r="213" spans="8:8" ht="19.5" customHeight="1" x14ac:dyDescent="0.2">
      <c r="H213" s="328"/>
    </row>
    <row r="214" spans="8:8" ht="19.5" customHeight="1" x14ac:dyDescent="0.2">
      <c r="H214" s="328"/>
    </row>
    <row r="215" spans="8:8" ht="19.5" customHeight="1" x14ac:dyDescent="0.2">
      <c r="H215" s="328"/>
    </row>
    <row r="216" spans="8:8" ht="19.5" customHeight="1" x14ac:dyDescent="0.2">
      <c r="H216" s="328"/>
    </row>
    <row r="217" spans="8:8" ht="19.5" customHeight="1" x14ac:dyDescent="0.2">
      <c r="H217" s="328"/>
    </row>
    <row r="218" spans="8:8" ht="19.5" customHeight="1" x14ac:dyDescent="0.2">
      <c r="H218" s="328"/>
    </row>
    <row r="219" spans="8:8" ht="19.5" customHeight="1" x14ac:dyDescent="0.2">
      <c r="H219" s="328"/>
    </row>
    <row r="220" spans="8:8" ht="19.5" customHeight="1" x14ac:dyDescent="0.2">
      <c r="H220" s="328"/>
    </row>
    <row r="221" spans="8:8" ht="19.5" customHeight="1" x14ac:dyDescent="0.2">
      <c r="H221" s="328"/>
    </row>
    <row r="222" spans="8:8" ht="19.5" customHeight="1" x14ac:dyDescent="0.2">
      <c r="H222" s="328"/>
    </row>
    <row r="223" spans="8:8" ht="19.5" customHeight="1" x14ac:dyDescent="0.2">
      <c r="H223" s="328"/>
    </row>
    <row r="224" spans="8:8" ht="19.5" customHeight="1" x14ac:dyDescent="0.2">
      <c r="H224" s="328"/>
    </row>
    <row r="225" spans="8:8" ht="19.5" customHeight="1" x14ac:dyDescent="0.2">
      <c r="H225" s="328"/>
    </row>
    <row r="226" spans="8:8" ht="19.5" customHeight="1" x14ac:dyDescent="0.2">
      <c r="H226" s="328"/>
    </row>
    <row r="227" spans="8:8" ht="19.5" customHeight="1" x14ac:dyDescent="0.2">
      <c r="H227" s="328"/>
    </row>
    <row r="228" spans="8:8" ht="19.5" customHeight="1" x14ac:dyDescent="0.2">
      <c r="H228" s="328"/>
    </row>
    <row r="229" spans="8:8" ht="19.5" customHeight="1" x14ac:dyDescent="0.2">
      <c r="H229" s="328"/>
    </row>
    <row r="230" spans="8:8" ht="19.5" customHeight="1" x14ac:dyDescent="0.2">
      <c r="H230" s="328"/>
    </row>
    <row r="231" spans="8:8" ht="19.5" customHeight="1" x14ac:dyDescent="0.2">
      <c r="H231" s="328"/>
    </row>
    <row r="232" spans="8:8" ht="19.5" customHeight="1" x14ac:dyDescent="0.2">
      <c r="H232" s="328"/>
    </row>
    <row r="233" spans="8:8" ht="19.5" customHeight="1" x14ac:dyDescent="0.2">
      <c r="H233" s="328"/>
    </row>
    <row r="234" spans="8:8" ht="19.5" customHeight="1" x14ac:dyDescent="0.2">
      <c r="H234" s="328"/>
    </row>
    <row r="235" spans="8:8" ht="19.5" customHeight="1" x14ac:dyDescent="0.2">
      <c r="H235" s="328"/>
    </row>
    <row r="236" spans="8:8" ht="19.5" customHeight="1" x14ac:dyDescent="0.2">
      <c r="H236" s="328"/>
    </row>
    <row r="237" spans="8:8" ht="19.5" customHeight="1" x14ac:dyDescent="0.2">
      <c r="H237" s="328"/>
    </row>
    <row r="238" spans="8:8" ht="19.5" customHeight="1" x14ac:dyDescent="0.2">
      <c r="H238" s="328"/>
    </row>
    <row r="239" spans="8:8" ht="19.5" customHeight="1" x14ac:dyDescent="0.2">
      <c r="H239" s="328"/>
    </row>
    <row r="240" spans="8:8" ht="19.5" customHeight="1" x14ac:dyDescent="0.2">
      <c r="H240" s="328"/>
    </row>
    <row r="241" spans="8:8" ht="19.5" customHeight="1" x14ac:dyDescent="0.2">
      <c r="H241" s="328"/>
    </row>
    <row r="242" spans="8:8" ht="19.5" customHeight="1" x14ac:dyDescent="0.2">
      <c r="H242" s="328"/>
    </row>
    <row r="243" spans="8:8" ht="19.5" customHeight="1" x14ac:dyDescent="0.2">
      <c r="H243" s="328"/>
    </row>
    <row r="244" spans="8:8" ht="19.5" customHeight="1" x14ac:dyDescent="0.2">
      <c r="H244" s="328"/>
    </row>
    <row r="245" spans="8:8" ht="19.5" customHeight="1" x14ac:dyDescent="0.2">
      <c r="H245" s="328"/>
    </row>
    <row r="246" spans="8:8" ht="19.5" customHeight="1" x14ac:dyDescent="0.2">
      <c r="H246" s="328"/>
    </row>
    <row r="247" spans="8:8" ht="19.5" customHeight="1" x14ac:dyDescent="0.2">
      <c r="H247" s="328"/>
    </row>
    <row r="248" spans="8:8" ht="19.5" customHeight="1" x14ac:dyDescent="0.2">
      <c r="H248" s="328"/>
    </row>
    <row r="249" spans="8:8" ht="19.5" customHeight="1" x14ac:dyDescent="0.2">
      <c r="H249" s="328"/>
    </row>
    <row r="250" spans="8:8" ht="19.5" customHeight="1" x14ac:dyDescent="0.2">
      <c r="H250" s="328"/>
    </row>
    <row r="251" spans="8:8" ht="19.5" customHeight="1" x14ac:dyDescent="0.2">
      <c r="H251" s="328"/>
    </row>
    <row r="252" spans="8:8" ht="19.5" customHeight="1" x14ac:dyDescent="0.2">
      <c r="H252" s="328"/>
    </row>
    <row r="253" spans="8:8" ht="19.5" customHeight="1" x14ac:dyDescent="0.2">
      <c r="H253" s="328"/>
    </row>
    <row r="254" spans="8:8" ht="19.5" customHeight="1" x14ac:dyDescent="0.2">
      <c r="H254" s="328"/>
    </row>
    <row r="255" spans="8:8" ht="19.5" customHeight="1" x14ac:dyDescent="0.2">
      <c r="H255" s="328"/>
    </row>
    <row r="256" spans="8:8" ht="19.5" customHeight="1" x14ac:dyDescent="0.2">
      <c r="H256" s="328"/>
    </row>
    <row r="257" spans="8:8" ht="19.5" customHeight="1" x14ac:dyDescent="0.2">
      <c r="H257" s="328"/>
    </row>
    <row r="258" spans="8:8" ht="19.5" customHeight="1" x14ac:dyDescent="0.2">
      <c r="H258" s="328"/>
    </row>
    <row r="259" spans="8:8" ht="19.5" customHeight="1" x14ac:dyDescent="0.2">
      <c r="H259" s="328"/>
    </row>
    <row r="260" spans="8:8" ht="19.5" customHeight="1" x14ac:dyDescent="0.2">
      <c r="H260" s="328"/>
    </row>
    <row r="261" spans="8:8" ht="19.5" customHeight="1" x14ac:dyDescent="0.2">
      <c r="H261" s="328"/>
    </row>
    <row r="262" spans="8:8" ht="19.5" customHeight="1" x14ac:dyDescent="0.2">
      <c r="H262" s="328"/>
    </row>
    <row r="263" spans="8:8" ht="19.5" customHeight="1" x14ac:dyDescent="0.2">
      <c r="H263" s="328"/>
    </row>
    <row r="264" spans="8:8" ht="19.5" customHeight="1" x14ac:dyDescent="0.2">
      <c r="H264" s="328"/>
    </row>
    <row r="265" spans="8:8" ht="19.5" customHeight="1" x14ac:dyDescent="0.2">
      <c r="H265" s="328"/>
    </row>
    <row r="266" spans="8:8" ht="19.5" customHeight="1" x14ac:dyDescent="0.2">
      <c r="H266" s="328"/>
    </row>
    <row r="267" spans="8:8" ht="19.5" customHeight="1" x14ac:dyDescent="0.2">
      <c r="H267" s="328"/>
    </row>
    <row r="268" spans="8:8" ht="19.5" customHeight="1" x14ac:dyDescent="0.2">
      <c r="H268" s="328"/>
    </row>
    <row r="269" spans="8:8" ht="19.5" customHeight="1" x14ac:dyDescent="0.2">
      <c r="H269" s="328"/>
    </row>
    <row r="270" spans="8:8" ht="19.5" customHeight="1" x14ac:dyDescent="0.2">
      <c r="H270" s="328"/>
    </row>
    <row r="271" spans="8:8" ht="19.5" customHeight="1" x14ac:dyDescent="0.2">
      <c r="H271" s="328"/>
    </row>
    <row r="272" spans="8:8" ht="19.5" customHeight="1" x14ac:dyDescent="0.2">
      <c r="H272" s="328"/>
    </row>
    <row r="273" spans="8:8" ht="19.5" customHeight="1" x14ac:dyDescent="0.2">
      <c r="H273" s="328"/>
    </row>
    <row r="274" spans="8:8" ht="19.5" customHeight="1" x14ac:dyDescent="0.2">
      <c r="H274" s="328"/>
    </row>
    <row r="275" spans="8:8" ht="19.5" customHeight="1" x14ac:dyDescent="0.2">
      <c r="H275" s="328"/>
    </row>
    <row r="276" spans="8:8" ht="19.5" customHeight="1" x14ac:dyDescent="0.2">
      <c r="H276" s="328"/>
    </row>
    <row r="277" spans="8:8" ht="19.5" customHeight="1" x14ac:dyDescent="0.2">
      <c r="H277" s="328"/>
    </row>
    <row r="278" spans="8:8" ht="19.5" customHeight="1" x14ac:dyDescent="0.2">
      <c r="H278" s="328"/>
    </row>
    <row r="279" spans="8:8" ht="19.5" customHeight="1" x14ac:dyDescent="0.2">
      <c r="H279" s="328"/>
    </row>
    <row r="280" spans="8:8" ht="19.5" customHeight="1" x14ac:dyDescent="0.2">
      <c r="H280" s="328"/>
    </row>
    <row r="281" spans="8:8" ht="19.5" customHeight="1" x14ac:dyDescent="0.2">
      <c r="H281" s="328"/>
    </row>
    <row r="282" spans="8:8" ht="19.5" customHeight="1" x14ac:dyDescent="0.2">
      <c r="H282" s="328"/>
    </row>
    <row r="283" spans="8:8" ht="19.5" customHeight="1" x14ac:dyDescent="0.2">
      <c r="H283" s="328"/>
    </row>
    <row r="284" spans="8:8" ht="19.5" customHeight="1" x14ac:dyDescent="0.2">
      <c r="H284" s="328"/>
    </row>
    <row r="285" spans="8:8" ht="19.5" customHeight="1" x14ac:dyDescent="0.2">
      <c r="H285" s="328"/>
    </row>
    <row r="286" spans="8:8" ht="19.5" customHeight="1" x14ac:dyDescent="0.2">
      <c r="H286" s="328"/>
    </row>
    <row r="287" spans="8:8" ht="19.5" customHeight="1" x14ac:dyDescent="0.2">
      <c r="H287" s="328"/>
    </row>
    <row r="288" spans="8:8" ht="19.5" customHeight="1" x14ac:dyDescent="0.2">
      <c r="H288" s="328"/>
    </row>
    <row r="289" spans="8:8" ht="19.5" customHeight="1" x14ac:dyDescent="0.2">
      <c r="H289" s="328"/>
    </row>
    <row r="290" spans="8:8" ht="19.5" customHeight="1" x14ac:dyDescent="0.2">
      <c r="H290" s="328"/>
    </row>
    <row r="291" spans="8:8" ht="19.5" customHeight="1" x14ac:dyDescent="0.2">
      <c r="H291" s="328"/>
    </row>
    <row r="292" spans="8:8" ht="19.5" customHeight="1" x14ac:dyDescent="0.2">
      <c r="H292" s="328"/>
    </row>
    <row r="293" spans="8:8" ht="19.5" customHeight="1" x14ac:dyDescent="0.2">
      <c r="H293" s="328"/>
    </row>
    <row r="294" spans="8:8" ht="19.5" customHeight="1" x14ac:dyDescent="0.2">
      <c r="H294" s="328"/>
    </row>
    <row r="295" spans="8:8" ht="19.5" customHeight="1" x14ac:dyDescent="0.2">
      <c r="H295" s="328"/>
    </row>
    <row r="296" spans="8:8" ht="19.5" customHeight="1" x14ac:dyDescent="0.2">
      <c r="H296" s="328"/>
    </row>
    <row r="297" spans="8:8" ht="19.5" customHeight="1" x14ac:dyDescent="0.2">
      <c r="H297" s="328"/>
    </row>
    <row r="298" spans="8:8" ht="19.5" customHeight="1" x14ac:dyDescent="0.2">
      <c r="H298" s="328"/>
    </row>
    <row r="299" spans="8:8" ht="19.5" customHeight="1" x14ac:dyDescent="0.2">
      <c r="H299" s="328"/>
    </row>
    <row r="300" spans="8:8" ht="19.5" customHeight="1" x14ac:dyDescent="0.2">
      <c r="H300" s="328"/>
    </row>
    <row r="301" spans="8:8" ht="19.5" customHeight="1" x14ac:dyDescent="0.2">
      <c r="H301" s="328"/>
    </row>
    <row r="302" spans="8:8" ht="19.5" customHeight="1" x14ac:dyDescent="0.2">
      <c r="H302" s="328"/>
    </row>
    <row r="303" spans="8:8" ht="19.5" customHeight="1" x14ac:dyDescent="0.2">
      <c r="H303" s="328"/>
    </row>
    <row r="304" spans="8:8" ht="19.5" customHeight="1" x14ac:dyDescent="0.2">
      <c r="H304" s="328"/>
    </row>
    <row r="305" spans="8:8" ht="19.5" customHeight="1" x14ac:dyDescent="0.2">
      <c r="H305" s="328"/>
    </row>
    <row r="306" spans="8:8" ht="19.5" customHeight="1" x14ac:dyDescent="0.2">
      <c r="H306" s="328"/>
    </row>
    <row r="307" spans="8:8" ht="19.5" customHeight="1" x14ac:dyDescent="0.2">
      <c r="H307" s="328"/>
    </row>
    <row r="308" spans="8:8" ht="19.5" customHeight="1" x14ac:dyDescent="0.2">
      <c r="H308" s="328"/>
    </row>
    <row r="309" spans="8:8" ht="19.5" customHeight="1" x14ac:dyDescent="0.2">
      <c r="H309" s="328"/>
    </row>
    <row r="310" spans="8:8" ht="19.5" customHeight="1" x14ac:dyDescent="0.2">
      <c r="H310" s="328"/>
    </row>
    <row r="311" spans="8:8" ht="19.5" customHeight="1" x14ac:dyDescent="0.2">
      <c r="H311" s="328"/>
    </row>
    <row r="312" spans="8:8" ht="19.5" customHeight="1" x14ac:dyDescent="0.2">
      <c r="H312" s="328"/>
    </row>
    <row r="313" spans="8:8" ht="19.5" customHeight="1" x14ac:dyDescent="0.2">
      <c r="H313" s="328"/>
    </row>
    <row r="314" spans="8:8" ht="19.5" customHeight="1" x14ac:dyDescent="0.2">
      <c r="H314" s="328"/>
    </row>
    <row r="315" spans="8:8" ht="19.5" customHeight="1" x14ac:dyDescent="0.2">
      <c r="H315" s="328"/>
    </row>
    <row r="316" spans="8:8" ht="19.5" customHeight="1" x14ac:dyDescent="0.2">
      <c r="H316" s="328"/>
    </row>
    <row r="317" spans="8:8" ht="19.5" customHeight="1" x14ac:dyDescent="0.2">
      <c r="H317" s="328"/>
    </row>
    <row r="318" spans="8:8" ht="19.5" customHeight="1" x14ac:dyDescent="0.2">
      <c r="H318" s="328"/>
    </row>
    <row r="319" spans="8:8" ht="19.5" customHeight="1" x14ac:dyDescent="0.2">
      <c r="H319" s="328"/>
    </row>
    <row r="320" spans="8:8" ht="19.5" customHeight="1" x14ac:dyDescent="0.2">
      <c r="H320" s="328"/>
    </row>
    <row r="321" spans="8:8" ht="19.5" customHeight="1" x14ac:dyDescent="0.2">
      <c r="H321" s="328"/>
    </row>
    <row r="322" spans="8:8" ht="19.5" customHeight="1" x14ac:dyDescent="0.2">
      <c r="H322" s="328"/>
    </row>
    <row r="323" spans="8:8" ht="19.5" customHeight="1" x14ac:dyDescent="0.2">
      <c r="H323" s="328"/>
    </row>
    <row r="324" spans="8:8" ht="19.5" customHeight="1" x14ac:dyDescent="0.2">
      <c r="H324" s="328"/>
    </row>
    <row r="325" spans="8:8" ht="19.5" customHeight="1" x14ac:dyDescent="0.2">
      <c r="H325" s="328"/>
    </row>
    <row r="326" spans="8:8" ht="19.5" customHeight="1" x14ac:dyDescent="0.2">
      <c r="H326" s="328"/>
    </row>
    <row r="327" spans="8:8" ht="19.5" customHeight="1" x14ac:dyDescent="0.2">
      <c r="H327" s="328"/>
    </row>
    <row r="328" spans="8:8" ht="19.5" customHeight="1" x14ac:dyDescent="0.2">
      <c r="H328" s="328"/>
    </row>
    <row r="329" spans="8:8" ht="19.5" customHeight="1" x14ac:dyDescent="0.2">
      <c r="H329" s="328"/>
    </row>
    <row r="330" spans="8:8" ht="19.5" customHeight="1" x14ac:dyDescent="0.2">
      <c r="H330" s="328"/>
    </row>
    <row r="331" spans="8:8" ht="19.5" customHeight="1" x14ac:dyDescent="0.2">
      <c r="H331" s="328"/>
    </row>
    <row r="332" spans="8:8" ht="19.5" customHeight="1" x14ac:dyDescent="0.2">
      <c r="H332" s="328"/>
    </row>
    <row r="333" spans="8:8" ht="19.5" customHeight="1" x14ac:dyDescent="0.2">
      <c r="H333" s="328"/>
    </row>
    <row r="334" spans="8:8" ht="19.5" customHeight="1" x14ac:dyDescent="0.2">
      <c r="H334" s="328"/>
    </row>
    <row r="335" spans="8:8" ht="19.5" customHeight="1" x14ac:dyDescent="0.2">
      <c r="H335" s="328"/>
    </row>
    <row r="336" spans="8:8" ht="19.5" customHeight="1" x14ac:dyDescent="0.2">
      <c r="H336" s="328"/>
    </row>
    <row r="337" spans="8:8" ht="19.5" customHeight="1" x14ac:dyDescent="0.2">
      <c r="H337" s="328"/>
    </row>
    <row r="338" spans="8:8" ht="19.5" customHeight="1" x14ac:dyDescent="0.2">
      <c r="H338" s="328"/>
    </row>
    <row r="339" spans="8:8" ht="19.5" customHeight="1" x14ac:dyDescent="0.2">
      <c r="H339" s="328"/>
    </row>
    <row r="340" spans="8:8" ht="19.5" customHeight="1" x14ac:dyDescent="0.2">
      <c r="H340" s="328"/>
    </row>
    <row r="341" spans="8:8" ht="19.5" customHeight="1" x14ac:dyDescent="0.2">
      <c r="H341" s="328"/>
    </row>
    <row r="342" spans="8:8" ht="19.5" customHeight="1" x14ac:dyDescent="0.2">
      <c r="H342" s="328"/>
    </row>
    <row r="343" spans="8:8" ht="19.5" customHeight="1" x14ac:dyDescent="0.2">
      <c r="H343" s="328"/>
    </row>
    <row r="344" spans="8:8" ht="19.5" customHeight="1" x14ac:dyDescent="0.2">
      <c r="H344" s="328"/>
    </row>
    <row r="345" spans="8:8" ht="19.5" customHeight="1" x14ac:dyDescent="0.2">
      <c r="H345" s="328"/>
    </row>
    <row r="346" spans="8:8" ht="19.5" customHeight="1" x14ac:dyDescent="0.2">
      <c r="H346" s="328"/>
    </row>
    <row r="347" spans="8:8" ht="19.5" customHeight="1" x14ac:dyDescent="0.2">
      <c r="H347" s="328"/>
    </row>
    <row r="348" spans="8:8" ht="19.5" customHeight="1" x14ac:dyDescent="0.2">
      <c r="H348" s="328"/>
    </row>
    <row r="349" spans="8:8" ht="19.5" customHeight="1" x14ac:dyDescent="0.2">
      <c r="H349" s="328"/>
    </row>
    <row r="350" spans="8:8" ht="19.5" customHeight="1" x14ac:dyDescent="0.2">
      <c r="H350" s="328"/>
    </row>
    <row r="351" spans="8:8" ht="19.5" customHeight="1" x14ac:dyDescent="0.2">
      <c r="H351" s="328"/>
    </row>
    <row r="352" spans="8:8" ht="19.5" customHeight="1" x14ac:dyDescent="0.2">
      <c r="H352" s="328"/>
    </row>
    <row r="353" spans="8:8" ht="19.5" customHeight="1" x14ac:dyDescent="0.2">
      <c r="H353" s="328"/>
    </row>
    <row r="354" spans="8:8" ht="19.5" customHeight="1" x14ac:dyDescent="0.2">
      <c r="H354" s="328"/>
    </row>
    <row r="355" spans="8:8" ht="19.5" customHeight="1" x14ac:dyDescent="0.2">
      <c r="H355" s="328"/>
    </row>
    <row r="356" spans="8:8" ht="19.5" customHeight="1" x14ac:dyDescent="0.2">
      <c r="H356" s="328"/>
    </row>
    <row r="357" spans="8:8" ht="19.5" customHeight="1" x14ac:dyDescent="0.2">
      <c r="H357" s="328"/>
    </row>
    <row r="358" spans="8:8" ht="19.5" customHeight="1" x14ac:dyDescent="0.2">
      <c r="H358" s="328"/>
    </row>
    <row r="359" spans="8:8" ht="19.5" customHeight="1" x14ac:dyDescent="0.2">
      <c r="H359" s="328"/>
    </row>
    <row r="360" spans="8:8" ht="19.5" customHeight="1" x14ac:dyDescent="0.2">
      <c r="H360" s="328"/>
    </row>
    <row r="361" spans="8:8" ht="19.5" customHeight="1" x14ac:dyDescent="0.2">
      <c r="H361" s="328"/>
    </row>
    <row r="362" spans="8:8" ht="19.5" customHeight="1" x14ac:dyDescent="0.2">
      <c r="H362" s="328"/>
    </row>
    <row r="363" spans="8:8" ht="19.5" customHeight="1" x14ac:dyDescent="0.2">
      <c r="H363" s="328"/>
    </row>
    <row r="364" spans="8:8" ht="19.5" customHeight="1" x14ac:dyDescent="0.2">
      <c r="H364" s="328"/>
    </row>
    <row r="365" spans="8:8" ht="19.5" customHeight="1" x14ac:dyDescent="0.2">
      <c r="H365" s="328"/>
    </row>
    <row r="366" spans="8:8" ht="19.5" customHeight="1" x14ac:dyDescent="0.2">
      <c r="H366" s="328"/>
    </row>
    <row r="367" spans="8:8" ht="19.5" customHeight="1" x14ac:dyDescent="0.2">
      <c r="H367" s="328"/>
    </row>
    <row r="368" spans="8:8" ht="19.5" customHeight="1" x14ac:dyDescent="0.2">
      <c r="H368" s="328"/>
    </row>
    <row r="369" spans="8:8" ht="19.5" customHeight="1" x14ac:dyDescent="0.2">
      <c r="H369" s="328"/>
    </row>
    <row r="370" spans="8:8" ht="19.5" customHeight="1" x14ac:dyDescent="0.2">
      <c r="H370" s="328"/>
    </row>
    <row r="371" spans="8:8" ht="19.5" customHeight="1" x14ac:dyDescent="0.2">
      <c r="H371" s="328"/>
    </row>
    <row r="372" spans="8:8" ht="19.5" customHeight="1" x14ac:dyDescent="0.2">
      <c r="H372" s="328"/>
    </row>
    <row r="373" spans="8:8" ht="19.5" customHeight="1" x14ac:dyDescent="0.2">
      <c r="H373" s="328"/>
    </row>
    <row r="374" spans="8:8" ht="19.5" customHeight="1" x14ac:dyDescent="0.2">
      <c r="H374" s="328"/>
    </row>
    <row r="375" spans="8:8" ht="19.5" customHeight="1" x14ac:dyDescent="0.2">
      <c r="H375" s="328"/>
    </row>
    <row r="376" spans="8:8" ht="19.5" customHeight="1" x14ac:dyDescent="0.2">
      <c r="H376" s="328"/>
    </row>
    <row r="377" spans="8:8" ht="19.5" customHeight="1" x14ac:dyDescent="0.2">
      <c r="H377" s="328"/>
    </row>
    <row r="378" spans="8:8" ht="19.5" customHeight="1" x14ac:dyDescent="0.2">
      <c r="H378" s="328"/>
    </row>
    <row r="379" spans="8:8" ht="19.5" customHeight="1" x14ac:dyDescent="0.2">
      <c r="H379" s="328"/>
    </row>
    <row r="380" spans="8:8" ht="19.5" customHeight="1" x14ac:dyDescent="0.2">
      <c r="H380" s="328"/>
    </row>
    <row r="381" spans="8:8" ht="19.5" customHeight="1" x14ac:dyDescent="0.2">
      <c r="H381" s="328"/>
    </row>
    <row r="382" spans="8:8" ht="19.5" customHeight="1" x14ac:dyDescent="0.2">
      <c r="H382" s="328"/>
    </row>
    <row r="383" spans="8:8" ht="19.5" customHeight="1" x14ac:dyDescent="0.2">
      <c r="H383" s="328"/>
    </row>
    <row r="384" spans="8:8" ht="19.5" customHeight="1" x14ac:dyDescent="0.2">
      <c r="H384" s="328"/>
    </row>
    <row r="385" spans="8:8" ht="19.5" customHeight="1" x14ac:dyDescent="0.2">
      <c r="H385" s="328"/>
    </row>
    <row r="386" spans="8:8" ht="19.5" customHeight="1" x14ac:dyDescent="0.2">
      <c r="H386" s="328"/>
    </row>
    <row r="387" spans="8:8" ht="19.5" customHeight="1" x14ac:dyDescent="0.2">
      <c r="H387" s="328"/>
    </row>
    <row r="388" spans="8:8" ht="19.5" customHeight="1" x14ac:dyDescent="0.2">
      <c r="H388" s="328"/>
    </row>
    <row r="389" spans="8:8" ht="19.5" customHeight="1" x14ac:dyDescent="0.2">
      <c r="H389" s="328"/>
    </row>
    <row r="390" spans="8:8" ht="19.5" customHeight="1" x14ac:dyDescent="0.2">
      <c r="H390" s="328"/>
    </row>
    <row r="391" spans="8:8" ht="19.5" customHeight="1" x14ac:dyDescent="0.2">
      <c r="H391" s="328"/>
    </row>
    <row r="392" spans="8:8" ht="19.5" customHeight="1" x14ac:dyDescent="0.2">
      <c r="H392" s="328"/>
    </row>
    <row r="393" spans="8:8" ht="19.5" customHeight="1" x14ac:dyDescent="0.2">
      <c r="H393" s="328"/>
    </row>
    <row r="394" spans="8:8" ht="19.5" customHeight="1" x14ac:dyDescent="0.2">
      <c r="H394" s="328"/>
    </row>
    <row r="395" spans="8:8" ht="19.5" customHeight="1" x14ac:dyDescent="0.2">
      <c r="H395" s="328"/>
    </row>
    <row r="396" spans="8:8" ht="19.5" customHeight="1" x14ac:dyDescent="0.2">
      <c r="H396" s="328"/>
    </row>
    <row r="397" spans="8:8" ht="19.5" customHeight="1" x14ac:dyDescent="0.2">
      <c r="H397" s="328"/>
    </row>
    <row r="398" spans="8:8" ht="19.5" customHeight="1" x14ac:dyDescent="0.2">
      <c r="H398" s="328"/>
    </row>
    <row r="399" spans="8:8" ht="19.5" customHeight="1" x14ac:dyDescent="0.2">
      <c r="H399" s="328"/>
    </row>
    <row r="400" spans="8:8" ht="19.5" customHeight="1" x14ac:dyDescent="0.2">
      <c r="H400" s="328"/>
    </row>
    <row r="401" spans="8:8" ht="19.5" customHeight="1" x14ac:dyDescent="0.2">
      <c r="H401" s="328"/>
    </row>
    <row r="402" spans="8:8" ht="19.5" customHeight="1" x14ac:dyDescent="0.2">
      <c r="H402" s="328"/>
    </row>
    <row r="403" spans="8:8" ht="19.5" customHeight="1" x14ac:dyDescent="0.2">
      <c r="H403" s="328"/>
    </row>
    <row r="404" spans="8:8" ht="19.5" customHeight="1" x14ac:dyDescent="0.2">
      <c r="H404" s="328"/>
    </row>
    <row r="405" spans="8:8" ht="19.5" customHeight="1" x14ac:dyDescent="0.2">
      <c r="H405" s="328"/>
    </row>
    <row r="406" spans="8:8" ht="19.5" customHeight="1" x14ac:dyDescent="0.2">
      <c r="H406" s="328"/>
    </row>
    <row r="407" spans="8:8" ht="19.5" customHeight="1" x14ac:dyDescent="0.2">
      <c r="H407" s="328"/>
    </row>
    <row r="408" spans="8:8" ht="19.5" customHeight="1" x14ac:dyDescent="0.2">
      <c r="H408" s="328"/>
    </row>
    <row r="409" spans="8:8" ht="19.5" customHeight="1" x14ac:dyDescent="0.2">
      <c r="H409" s="328"/>
    </row>
    <row r="410" spans="8:8" ht="19.5" customHeight="1" x14ac:dyDescent="0.2">
      <c r="H410" s="328"/>
    </row>
    <row r="411" spans="8:8" ht="19.5" customHeight="1" x14ac:dyDescent="0.2">
      <c r="H411" s="328"/>
    </row>
    <row r="412" spans="8:8" ht="19.5" customHeight="1" x14ac:dyDescent="0.2">
      <c r="H412" s="328"/>
    </row>
    <row r="413" spans="8:8" ht="19.5" customHeight="1" x14ac:dyDescent="0.2">
      <c r="H413" s="328"/>
    </row>
    <row r="414" spans="8:8" ht="19.5" customHeight="1" x14ac:dyDescent="0.2">
      <c r="H414" s="328"/>
    </row>
    <row r="415" spans="8:8" ht="19.5" customHeight="1" x14ac:dyDescent="0.2">
      <c r="H415" s="328"/>
    </row>
    <row r="416" spans="8:8" ht="19.5" customHeight="1" x14ac:dyDescent="0.2">
      <c r="H416" s="328"/>
    </row>
    <row r="417" spans="8:8" ht="19.5" customHeight="1" x14ac:dyDescent="0.2">
      <c r="H417" s="328"/>
    </row>
    <row r="418" spans="8:8" ht="19.5" customHeight="1" x14ac:dyDescent="0.2">
      <c r="H418" s="328"/>
    </row>
    <row r="419" spans="8:8" ht="19.5" customHeight="1" x14ac:dyDescent="0.2">
      <c r="H419" s="328"/>
    </row>
    <row r="420" spans="8:8" ht="19.5" customHeight="1" x14ac:dyDescent="0.2">
      <c r="H420" s="328"/>
    </row>
    <row r="421" spans="8:8" ht="19.5" customHeight="1" x14ac:dyDescent="0.2">
      <c r="H421" s="328"/>
    </row>
    <row r="422" spans="8:8" ht="19.5" customHeight="1" x14ac:dyDescent="0.2">
      <c r="H422" s="328"/>
    </row>
    <row r="423" spans="8:8" ht="19.5" customHeight="1" x14ac:dyDescent="0.2">
      <c r="H423" s="328"/>
    </row>
    <row r="424" spans="8:8" ht="19.5" customHeight="1" x14ac:dyDescent="0.2">
      <c r="H424" s="328"/>
    </row>
    <row r="425" spans="8:8" ht="19.5" customHeight="1" x14ac:dyDescent="0.2">
      <c r="H425" s="328"/>
    </row>
    <row r="426" spans="8:8" ht="19.5" customHeight="1" x14ac:dyDescent="0.2">
      <c r="H426" s="328"/>
    </row>
    <row r="427" spans="8:8" ht="19.5" customHeight="1" x14ac:dyDescent="0.2">
      <c r="H427" s="328"/>
    </row>
    <row r="428" spans="8:8" ht="19.5" customHeight="1" x14ac:dyDescent="0.2">
      <c r="H428" s="328"/>
    </row>
    <row r="429" spans="8:8" ht="19.5" customHeight="1" x14ac:dyDescent="0.2">
      <c r="H429" s="328"/>
    </row>
    <row r="430" spans="8:8" ht="19.5" customHeight="1" x14ac:dyDescent="0.2">
      <c r="H430" s="328"/>
    </row>
    <row r="431" spans="8:8" ht="19.5" customHeight="1" x14ac:dyDescent="0.2">
      <c r="H431" s="328"/>
    </row>
    <row r="432" spans="8:8" ht="19.5" customHeight="1" x14ac:dyDescent="0.2">
      <c r="H432" s="328"/>
    </row>
    <row r="433" spans="8:8" ht="19.5" customHeight="1" x14ac:dyDescent="0.2">
      <c r="H433" s="328"/>
    </row>
    <row r="434" spans="8:8" ht="19.5" customHeight="1" x14ac:dyDescent="0.2">
      <c r="H434" s="328"/>
    </row>
    <row r="435" spans="8:8" ht="19.5" customHeight="1" x14ac:dyDescent="0.2">
      <c r="H435" s="328"/>
    </row>
    <row r="436" spans="8:8" ht="19.5" customHeight="1" x14ac:dyDescent="0.2">
      <c r="H436" s="328"/>
    </row>
    <row r="437" spans="8:8" ht="19.5" customHeight="1" x14ac:dyDescent="0.2">
      <c r="H437" s="328"/>
    </row>
    <row r="438" spans="8:8" ht="19.5" customHeight="1" x14ac:dyDescent="0.2">
      <c r="H438" s="328"/>
    </row>
    <row r="439" spans="8:8" ht="19.5" customHeight="1" x14ac:dyDescent="0.2">
      <c r="H439" s="328"/>
    </row>
    <row r="440" spans="8:8" ht="19.5" customHeight="1" x14ac:dyDescent="0.2">
      <c r="H440" s="328"/>
    </row>
    <row r="441" spans="8:8" ht="19.5" customHeight="1" x14ac:dyDescent="0.2">
      <c r="H441" s="328"/>
    </row>
    <row r="442" spans="8:8" ht="19.5" customHeight="1" x14ac:dyDescent="0.2">
      <c r="H442" s="328"/>
    </row>
    <row r="443" spans="8:8" ht="19.5" customHeight="1" x14ac:dyDescent="0.2">
      <c r="H443" s="328"/>
    </row>
    <row r="444" spans="8:8" ht="19.5" customHeight="1" x14ac:dyDescent="0.2">
      <c r="H444" s="328"/>
    </row>
    <row r="445" spans="8:8" ht="19.5" customHeight="1" x14ac:dyDescent="0.2">
      <c r="H445" s="328"/>
    </row>
    <row r="446" spans="8:8" ht="19.5" customHeight="1" x14ac:dyDescent="0.2">
      <c r="H446" s="328"/>
    </row>
    <row r="447" spans="8:8" ht="19.5" customHeight="1" x14ac:dyDescent="0.2">
      <c r="H447" s="328"/>
    </row>
    <row r="448" spans="8:8" ht="19.5" customHeight="1" x14ac:dyDescent="0.2">
      <c r="H448" s="328"/>
    </row>
    <row r="449" spans="8:8" ht="19.5" customHeight="1" x14ac:dyDescent="0.2">
      <c r="H449" s="328"/>
    </row>
    <row r="450" spans="8:8" ht="19.5" customHeight="1" x14ac:dyDescent="0.2">
      <c r="H450" s="328"/>
    </row>
    <row r="451" spans="8:8" ht="19.5" customHeight="1" x14ac:dyDescent="0.2">
      <c r="H451" s="328"/>
    </row>
    <row r="452" spans="8:8" ht="19.5" customHeight="1" x14ac:dyDescent="0.2">
      <c r="H452" s="328"/>
    </row>
    <row r="453" spans="8:8" ht="19.5" customHeight="1" x14ac:dyDescent="0.2">
      <c r="H453" s="328"/>
    </row>
    <row r="454" spans="8:8" ht="19.5" customHeight="1" x14ac:dyDescent="0.2">
      <c r="H454" s="328"/>
    </row>
    <row r="455" spans="8:8" ht="19.5" customHeight="1" x14ac:dyDescent="0.2">
      <c r="H455" s="328"/>
    </row>
    <row r="456" spans="8:8" ht="19.5" customHeight="1" x14ac:dyDescent="0.2">
      <c r="H456" s="328"/>
    </row>
    <row r="457" spans="8:8" ht="19.5" customHeight="1" x14ac:dyDescent="0.2">
      <c r="H457" s="328"/>
    </row>
    <row r="458" spans="8:8" ht="19.5" customHeight="1" x14ac:dyDescent="0.2">
      <c r="H458" s="328"/>
    </row>
    <row r="459" spans="8:8" ht="19.5" customHeight="1" x14ac:dyDescent="0.2">
      <c r="H459" s="328"/>
    </row>
    <row r="460" spans="8:8" ht="19.5" customHeight="1" x14ac:dyDescent="0.2">
      <c r="H460" s="328"/>
    </row>
    <row r="461" spans="8:8" ht="19.5" customHeight="1" x14ac:dyDescent="0.2">
      <c r="H461" s="328"/>
    </row>
    <row r="462" spans="8:8" ht="19.5" customHeight="1" x14ac:dyDescent="0.2">
      <c r="H462" s="328"/>
    </row>
    <row r="463" spans="8:8" ht="19.5" customHeight="1" x14ac:dyDescent="0.2">
      <c r="H463" s="328"/>
    </row>
    <row r="464" spans="8:8" ht="19.5" customHeight="1" x14ac:dyDescent="0.2">
      <c r="H464" s="328"/>
    </row>
    <row r="465" spans="8:8" ht="19.5" customHeight="1" x14ac:dyDescent="0.2">
      <c r="H465" s="328"/>
    </row>
    <row r="466" spans="8:8" ht="19.5" customHeight="1" x14ac:dyDescent="0.2">
      <c r="H466" s="328"/>
    </row>
    <row r="467" spans="8:8" ht="19.5" customHeight="1" x14ac:dyDescent="0.2">
      <c r="H467" s="328"/>
    </row>
    <row r="468" spans="8:8" ht="19.5" customHeight="1" x14ac:dyDescent="0.2">
      <c r="H468" s="328"/>
    </row>
    <row r="469" spans="8:8" ht="19.5" customHeight="1" x14ac:dyDescent="0.2">
      <c r="H469" s="328"/>
    </row>
    <row r="470" spans="8:8" ht="19.5" customHeight="1" x14ac:dyDescent="0.2">
      <c r="H470" s="328"/>
    </row>
    <row r="471" spans="8:8" ht="19.5" customHeight="1" x14ac:dyDescent="0.2">
      <c r="H471" s="328"/>
    </row>
    <row r="472" spans="8:8" ht="19.5" customHeight="1" x14ac:dyDescent="0.2">
      <c r="H472" s="328"/>
    </row>
    <row r="473" spans="8:8" ht="19.5" customHeight="1" x14ac:dyDescent="0.2">
      <c r="H473" s="328"/>
    </row>
    <row r="474" spans="8:8" ht="19.5" customHeight="1" x14ac:dyDescent="0.2">
      <c r="H474" s="328"/>
    </row>
    <row r="475" spans="8:8" ht="19.5" customHeight="1" x14ac:dyDescent="0.2">
      <c r="H475" s="328"/>
    </row>
    <row r="476" spans="8:8" ht="19.5" customHeight="1" x14ac:dyDescent="0.2">
      <c r="H476" s="328"/>
    </row>
    <row r="477" spans="8:8" ht="19.5" customHeight="1" x14ac:dyDescent="0.2">
      <c r="H477" s="328"/>
    </row>
    <row r="478" spans="8:8" ht="19.5" customHeight="1" x14ac:dyDescent="0.2">
      <c r="H478" s="328"/>
    </row>
    <row r="479" spans="8:8" ht="19.5" customHeight="1" x14ac:dyDescent="0.2">
      <c r="H479" s="328"/>
    </row>
    <row r="480" spans="8:8" ht="19.5" customHeight="1" x14ac:dyDescent="0.2">
      <c r="H480" s="328"/>
    </row>
    <row r="481" spans="8:8" ht="19.5" customHeight="1" x14ac:dyDescent="0.2">
      <c r="H481" s="328"/>
    </row>
    <row r="482" spans="8:8" ht="19.5" customHeight="1" x14ac:dyDescent="0.2">
      <c r="H482" s="328"/>
    </row>
    <row r="483" spans="8:8" ht="19.5" customHeight="1" x14ac:dyDescent="0.2">
      <c r="H483" s="328"/>
    </row>
    <row r="484" spans="8:8" ht="19.5" customHeight="1" x14ac:dyDescent="0.2">
      <c r="H484" s="328"/>
    </row>
    <row r="485" spans="8:8" ht="19.5" customHeight="1" x14ac:dyDescent="0.2">
      <c r="H485" s="328"/>
    </row>
    <row r="486" spans="8:8" ht="19.5" customHeight="1" x14ac:dyDescent="0.2">
      <c r="H486" s="328"/>
    </row>
    <row r="487" spans="8:8" ht="19.5" customHeight="1" x14ac:dyDescent="0.2">
      <c r="H487" s="328"/>
    </row>
    <row r="488" spans="8:8" ht="19.5" customHeight="1" x14ac:dyDescent="0.2">
      <c r="H488" s="328"/>
    </row>
    <row r="489" spans="8:8" ht="19.5" customHeight="1" x14ac:dyDescent="0.2">
      <c r="H489" s="328"/>
    </row>
    <row r="490" spans="8:8" ht="19.5" customHeight="1" x14ac:dyDescent="0.2">
      <c r="H490" s="328"/>
    </row>
    <row r="491" spans="8:8" ht="19.5" customHeight="1" x14ac:dyDescent="0.2">
      <c r="H491" s="328"/>
    </row>
    <row r="492" spans="8:8" ht="19.5" customHeight="1" x14ac:dyDescent="0.2">
      <c r="H492" s="328"/>
    </row>
    <row r="493" spans="8:8" ht="19.5" customHeight="1" x14ac:dyDescent="0.2">
      <c r="H493" s="328"/>
    </row>
    <row r="494" spans="8:8" ht="19.5" customHeight="1" x14ac:dyDescent="0.2">
      <c r="H494" s="328"/>
    </row>
    <row r="495" spans="8:8" ht="19.5" customHeight="1" x14ac:dyDescent="0.2">
      <c r="H495" s="328"/>
    </row>
    <row r="496" spans="8:8" ht="19.5" customHeight="1" x14ac:dyDescent="0.2">
      <c r="H496" s="328"/>
    </row>
    <row r="497" spans="8:8" ht="19.5" customHeight="1" x14ac:dyDescent="0.2">
      <c r="H497" s="328"/>
    </row>
    <row r="498" spans="8:8" ht="19.5" customHeight="1" x14ac:dyDescent="0.2">
      <c r="H498" s="328"/>
    </row>
    <row r="499" spans="8:8" ht="19.5" customHeight="1" x14ac:dyDescent="0.2">
      <c r="H499" s="328"/>
    </row>
    <row r="500" spans="8:8" ht="19.5" customHeight="1" x14ac:dyDescent="0.2">
      <c r="H500" s="328"/>
    </row>
    <row r="501" spans="8:8" ht="19.5" customHeight="1" x14ac:dyDescent="0.2">
      <c r="H501" s="328"/>
    </row>
    <row r="502" spans="8:8" ht="19.5" customHeight="1" x14ac:dyDescent="0.2">
      <c r="H502" s="328"/>
    </row>
    <row r="503" spans="8:8" ht="19.5" customHeight="1" x14ac:dyDescent="0.2">
      <c r="H503" s="328"/>
    </row>
    <row r="504" spans="8:8" ht="19.5" customHeight="1" x14ac:dyDescent="0.2">
      <c r="H504" s="328"/>
    </row>
    <row r="505" spans="8:8" ht="19.5" customHeight="1" x14ac:dyDescent="0.2">
      <c r="H505" s="328"/>
    </row>
    <row r="506" spans="8:8" ht="19.5" customHeight="1" x14ac:dyDescent="0.2">
      <c r="H506" s="328"/>
    </row>
    <row r="507" spans="8:8" ht="19.5" customHeight="1" x14ac:dyDescent="0.2">
      <c r="H507" s="328"/>
    </row>
    <row r="508" spans="8:8" ht="19.5" customHeight="1" x14ac:dyDescent="0.2">
      <c r="H508" s="328"/>
    </row>
    <row r="509" spans="8:8" ht="19.5" customHeight="1" x14ac:dyDescent="0.2">
      <c r="H509" s="328"/>
    </row>
    <row r="510" spans="8:8" ht="19.5" customHeight="1" x14ac:dyDescent="0.2">
      <c r="H510" s="328"/>
    </row>
    <row r="511" spans="8:8" ht="19.5" customHeight="1" x14ac:dyDescent="0.2">
      <c r="H511" s="328"/>
    </row>
    <row r="512" spans="8:8" ht="19.5" customHeight="1" x14ac:dyDescent="0.2">
      <c r="H512" s="328"/>
    </row>
    <row r="513" spans="8:8" ht="19.5" customHeight="1" x14ac:dyDescent="0.2">
      <c r="H513" s="328"/>
    </row>
    <row r="514" spans="8:8" ht="19.5" customHeight="1" x14ac:dyDescent="0.2">
      <c r="H514" s="328"/>
    </row>
    <row r="515" spans="8:8" ht="19.5" customHeight="1" x14ac:dyDescent="0.2">
      <c r="H515" s="328"/>
    </row>
    <row r="516" spans="8:8" ht="19.5" customHeight="1" x14ac:dyDescent="0.2">
      <c r="H516" s="328"/>
    </row>
    <row r="517" spans="8:8" ht="19.5" customHeight="1" x14ac:dyDescent="0.2">
      <c r="H517" s="328"/>
    </row>
    <row r="518" spans="8:8" ht="19.5" customHeight="1" x14ac:dyDescent="0.2">
      <c r="H518" s="328"/>
    </row>
    <row r="519" spans="8:8" ht="19.5" customHeight="1" x14ac:dyDescent="0.2">
      <c r="H519" s="328"/>
    </row>
    <row r="520" spans="8:8" ht="19.5" customHeight="1" x14ac:dyDescent="0.2">
      <c r="H520" s="328"/>
    </row>
    <row r="521" spans="8:8" ht="19.5" customHeight="1" x14ac:dyDescent="0.2">
      <c r="H521" s="328"/>
    </row>
    <row r="522" spans="8:8" ht="19.5" customHeight="1" x14ac:dyDescent="0.2">
      <c r="H522" s="328"/>
    </row>
    <row r="523" spans="8:8" ht="19.5" customHeight="1" x14ac:dyDescent="0.2">
      <c r="H523" s="328"/>
    </row>
    <row r="524" spans="8:8" ht="19.5" customHeight="1" x14ac:dyDescent="0.2">
      <c r="H524" s="328"/>
    </row>
    <row r="525" spans="8:8" ht="19.5" customHeight="1" x14ac:dyDescent="0.2">
      <c r="H525" s="328"/>
    </row>
    <row r="526" spans="8:8" ht="19.5" customHeight="1" x14ac:dyDescent="0.2">
      <c r="H526" s="328"/>
    </row>
    <row r="527" spans="8:8" ht="19.5" customHeight="1" x14ac:dyDescent="0.2">
      <c r="H527" s="328"/>
    </row>
    <row r="528" spans="8:8" ht="19.5" customHeight="1" x14ac:dyDescent="0.2">
      <c r="H528" s="328"/>
    </row>
    <row r="529" spans="8:8" ht="19.5" customHeight="1" x14ac:dyDescent="0.2">
      <c r="H529" s="328"/>
    </row>
    <row r="530" spans="8:8" ht="19.5" customHeight="1" x14ac:dyDescent="0.2">
      <c r="H530" s="328"/>
    </row>
    <row r="531" spans="8:8" ht="19.5" customHeight="1" x14ac:dyDescent="0.2">
      <c r="H531" s="328"/>
    </row>
    <row r="532" spans="8:8" ht="19.5" customHeight="1" x14ac:dyDescent="0.2">
      <c r="H532" s="328"/>
    </row>
    <row r="533" spans="8:8" ht="19.5" customHeight="1" x14ac:dyDescent="0.2">
      <c r="H533" s="328"/>
    </row>
    <row r="534" spans="8:8" ht="19.5" customHeight="1" x14ac:dyDescent="0.2">
      <c r="H534" s="328"/>
    </row>
    <row r="535" spans="8:8" ht="19.5" customHeight="1" x14ac:dyDescent="0.2">
      <c r="H535" s="328"/>
    </row>
    <row r="536" spans="8:8" ht="19.5" customHeight="1" x14ac:dyDescent="0.2">
      <c r="H536" s="328"/>
    </row>
    <row r="537" spans="8:8" ht="19.5" customHeight="1" x14ac:dyDescent="0.2">
      <c r="H537" s="328"/>
    </row>
    <row r="538" spans="8:8" ht="19.5" customHeight="1" x14ac:dyDescent="0.2">
      <c r="H538" s="328"/>
    </row>
    <row r="539" spans="8:8" ht="19.5" customHeight="1" x14ac:dyDescent="0.2">
      <c r="H539" s="328"/>
    </row>
    <row r="540" spans="8:8" ht="19.5" customHeight="1" x14ac:dyDescent="0.2">
      <c r="H540" s="328"/>
    </row>
    <row r="541" spans="8:8" ht="19.5" customHeight="1" x14ac:dyDescent="0.2">
      <c r="H541" s="328"/>
    </row>
    <row r="542" spans="8:8" ht="19.5" customHeight="1" x14ac:dyDescent="0.2">
      <c r="H542" s="328"/>
    </row>
    <row r="543" spans="8:8" ht="19.5" customHeight="1" x14ac:dyDescent="0.2">
      <c r="H543" s="328"/>
    </row>
    <row r="544" spans="8:8" ht="19.5" customHeight="1" x14ac:dyDescent="0.2">
      <c r="H544" s="328"/>
    </row>
    <row r="545" spans="8:8" ht="19.5" customHeight="1" x14ac:dyDescent="0.2">
      <c r="H545" s="328"/>
    </row>
    <row r="546" spans="8:8" ht="19.5" customHeight="1" x14ac:dyDescent="0.2">
      <c r="H546" s="328"/>
    </row>
    <row r="547" spans="8:8" ht="19.5" customHeight="1" x14ac:dyDescent="0.2">
      <c r="H547" s="328"/>
    </row>
    <row r="548" spans="8:8" ht="19.5" customHeight="1" x14ac:dyDescent="0.2">
      <c r="H548" s="328"/>
    </row>
    <row r="549" spans="8:8" ht="19.5" customHeight="1" x14ac:dyDescent="0.2">
      <c r="H549" s="328"/>
    </row>
    <row r="550" spans="8:8" ht="19.5" customHeight="1" x14ac:dyDescent="0.2">
      <c r="H550" s="328"/>
    </row>
    <row r="551" spans="8:8" ht="19.5" customHeight="1" x14ac:dyDescent="0.2">
      <c r="H551" s="328"/>
    </row>
    <row r="552" spans="8:8" ht="19.5" customHeight="1" x14ac:dyDescent="0.2">
      <c r="H552" s="328"/>
    </row>
    <row r="553" spans="8:8" ht="19.5" customHeight="1" x14ac:dyDescent="0.2">
      <c r="H553" s="328"/>
    </row>
    <row r="554" spans="8:8" ht="19.5" customHeight="1" x14ac:dyDescent="0.2">
      <c r="H554" s="328"/>
    </row>
    <row r="555" spans="8:8" ht="19.5" customHeight="1" x14ac:dyDescent="0.2">
      <c r="H555" s="328"/>
    </row>
    <row r="556" spans="8:8" ht="19.5" customHeight="1" x14ac:dyDescent="0.2">
      <c r="H556" s="328"/>
    </row>
    <row r="557" spans="8:8" ht="19.5" customHeight="1" x14ac:dyDescent="0.2">
      <c r="H557" s="328"/>
    </row>
    <row r="558" spans="8:8" ht="19.5" customHeight="1" x14ac:dyDescent="0.2">
      <c r="H558" s="328"/>
    </row>
    <row r="559" spans="8:8" ht="19.5" customHeight="1" x14ac:dyDescent="0.2">
      <c r="H559" s="328"/>
    </row>
    <row r="560" spans="8:8" ht="19.5" customHeight="1" x14ac:dyDescent="0.2">
      <c r="H560" s="328"/>
    </row>
    <row r="561" spans="8:8" ht="19.5" customHeight="1" x14ac:dyDescent="0.2">
      <c r="H561" s="328"/>
    </row>
    <row r="562" spans="8:8" ht="19.5" customHeight="1" x14ac:dyDescent="0.2">
      <c r="H562" s="328"/>
    </row>
    <row r="563" spans="8:8" ht="19.5" customHeight="1" x14ac:dyDescent="0.2">
      <c r="H563" s="328"/>
    </row>
    <row r="564" spans="8:8" ht="19.5" customHeight="1" x14ac:dyDescent="0.2">
      <c r="H564" s="328"/>
    </row>
    <row r="565" spans="8:8" ht="19.5" customHeight="1" x14ac:dyDescent="0.2">
      <c r="H565" s="328"/>
    </row>
    <row r="566" spans="8:8" ht="19.5" customHeight="1" x14ac:dyDescent="0.2">
      <c r="H566" s="328"/>
    </row>
    <row r="567" spans="8:8" ht="19.5" customHeight="1" x14ac:dyDescent="0.2">
      <c r="H567" s="328"/>
    </row>
    <row r="568" spans="8:8" ht="19.5" customHeight="1" x14ac:dyDescent="0.2">
      <c r="H568" s="328"/>
    </row>
    <row r="569" spans="8:8" ht="19.5" customHeight="1" x14ac:dyDescent="0.2">
      <c r="H569" s="328"/>
    </row>
    <row r="570" spans="8:8" ht="19.5" customHeight="1" x14ac:dyDescent="0.2">
      <c r="H570" s="328"/>
    </row>
    <row r="571" spans="8:8" ht="19.5" customHeight="1" x14ac:dyDescent="0.2">
      <c r="H571" s="328"/>
    </row>
    <row r="572" spans="8:8" ht="19.5" customHeight="1" x14ac:dyDescent="0.2">
      <c r="H572" s="328"/>
    </row>
    <row r="573" spans="8:8" ht="19.5" customHeight="1" x14ac:dyDescent="0.2">
      <c r="H573" s="328"/>
    </row>
    <row r="574" spans="8:8" ht="19.5" customHeight="1" x14ac:dyDescent="0.2">
      <c r="H574" s="328"/>
    </row>
    <row r="575" spans="8:8" ht="19.5" customHeight="1" x14ac:dyDescent="0.2">
      <c r="H575" s="328"/>
    </row>
    <row r="576" spans="8:8" ht="19.5" customHeight="1" x14ac:dyDescent="0.2">
      <c r="H576" s="328"/>
    </row>
    <row r="577" spans="8:8" ht="19.5" customHeight="1" x14ac:dyDescent="0.2">
      <c r="H577" s="328"/>
    </row>
    <row r="578" spans="8:8" ht="19.5" customHeight="1" x14ac:dyDescent="0.2">
      <c r="H578" s="328"/>
    </row>
    <row r="579" spans="8:8" ht="19.5" customHeight="1" x14ac:dyDescent="0.2">
      <c r="H579" s="328"/>
    </row>
    <row r="580" spans="8:8" ht="19.5" customHeight="1" x14ac:dyDescent="0.2">
      <c r="H580" s="328"/>
    </row>
    <row r="581" spans="8:8" ht="19.5" customHeight="1" x14ac:dyDescent="0.2">
      <c r="H581" s="328"/>
    </row>
    <row r="582" spans="8:8" ht="19.5" customHeight="1" x14ac:dyDescent="0.2">
      <c r="H582" s="328"/>
    </row>
    <row r="583" spans="8:8" ht="19.5" customHeight="1" x14ac:dyDescent="0.2">
      <c r="H583" s="328"/>
    </row>
    <row r="584" spans="8:8" ht="19.5" customHeight="1" x14ac:dyDescent="0.2">
      <c r="H584" s="328"/>
    </row>
    <row r="585" spans="8:8" ht="19.5" customHeight="1" x14ac:dyDescent="0.2">
      <c r="H585" s="328"/>
    </row>
    <row r="586" spans="8:8" ht="19.5" customHeight="1" x14ac:dyDescent="0.2">
      <c r="H586" s="328"/>
    </row>
    <row r="587" spans="8:8" ht="19.5" customHeight="1" x14ac:dyDescent="0.2">
      <c r="H587" s="328"/>
    </row>
    <row r="588" spans="8:8" ht="19.5" customHeight="1" x14ac:dyDescent="0.2">
      <c r="H588" s="328"/>
    </row>
    <row r="589" spans="8:8" ht="19.5" customHeight="1" x14ac:dyDescent="0.2">
      <c r="H589" s="328"/>
    </row>
    <row r="590" spans="8:8" ht="19.5" customHeight="1" x14ac:dyDescent="0.2">
      <c r="H590" s="328"/>
    </row>
    <row r="591" spans="8:8" ht="19.5" customHeight="1" x14ac:dyDescent="0.2">
      <c r="H591" s="328"/>
    </row>
    <row r="592" spans="8:8" ht="19.5" customHeight="1" x14ac:dyDescent="0.2">
      <c r="H592" s="328"/>
    </row>
    <row r="593" spans="8:8" ht="19.5" customHeight="1" x14ac:dyDescent="0.2">
      <c r="H593" s="328"/>
    </row>
    <row r="594" spans="8:8" ht="19.5" customHeight="1" x14ac:dyDescent="0.2">
      <c r="H594" s="328"/>
    </row>
    <row r="595" spans="8:8" ht="19.5" customHeight="1" x14ac:dyDescent="0.2">
      <c r="H595" s="328"/>
    </row>
    <row r="596" spans="8:8" ht="19.5" customHeight="1" x14ac:dyDescent="0.2">
      <c r="H596" s="328"/>
    </row>
    <row r="597" spans="8:8" ht="19.5" customHeight="1" x14ac:dyDescent="0.2">
      <c r="H597" s="328"/>
    </row>
    <row r="598" spans="8:8" ht="19.5" customHeight="1" x14ac:dyDescent="0.2">
      <c r="H598" s="328"/>
    </row>
    <row r="599" spans="8:8" ht="19.5" customHeight="1" x14ac:dyDescent="0.2">
      <c r="H599" s="328"/>
    </row>
    <row r="600" spans="8:8" ht="19.5" customHeight="1" x14ac:dyDescent="0.2">
      <c r="H600" s="328"/>
    </row>
    <row r="601" spans="8:8" ht="19.5" customHeight="1" x14ac:dyDescent="0.2">
      <c r="H601" s="328"/>
    </row>
    <row r="602" spans="8:8" ht="19.5" customHeight="1" x14ac:dyDescent="0.2">
      <c r="H602" s="328"/>
    </row>
    <row r="603" spans="8:8" ht="19.5" customHeight="1" x14ac:dyDescent="0.2">
      <c r="H603" s="328"/>
    </row>
    <row r="604" spans="8:8" ht="19.5" customHeight="1" x14ac:dyDescent="0.2">
      <c r="H604" s="328"/>
    </row>
    <row r="605" spans="8:8" ht="19.5" customHeight="1" x14ac:dyDescent="0.2">
      <c r="H605" s="328"/>
    </row>
    <row r="606" spans="8:8" ht="19.5" customHeight="1" x14ac:dyDescent="0.2">
      <c r="H606" s="328"/>
    </row>
    <row r="607" spans="8:8" ht="19.5" customHeight="1" x14ac:dyDescent="0.2">
      <c r="H607" s="328"/>
    </row>
    <row r="608" spans="8:8" ht="19.5" customHeight="1" x14ac:dyDescent="0.2">
      <c r="H608" s="328"/>
    </row>
    <row r="609" spans="8:8" ht="19.5" customHeight="1" x14ac:dyDescent="0.2">
      <c r="H609" s="328"/>
    </row>
    <row r="610" spans="8:8" ht="19.5" customHeight="1" x14ac:dyDescent="0.2">
      <c r="H610" s="328"/>
    </row>
    <row r="611" spans="8:8" ht="19.5" customHeight="1" x14ac:dyDescent="0.2">
      <c r="H611" s="328"/>
    </row>
    <row r="612" spans="8:8" ht="19.5" customHeight="1" x14ac:dyDescent="0.2">
      <c r="H612" s="328"/>
    </row>
    <row r="613" spans="8:8" ht="19.5" customHeight="1" x14ac:dyDescent="0.2">
      <c r="H613" s="328"/>
    </row>
    <row r="614" spans="8:8" ht="19.5" customHeight="1" x14ac:dyDescent="0.2">
      <c r="H614" s="328"/>
    </row>
    <row r="615" spans="8:8" ht="19.5" customHeight="1" x14ac:dyDescent="0.2">
      <c r="H615" s="328"/>
    </row>
    <row r="616" spans="8:8" ht="19.5" customHeight="1" x14ac:dyDescent="0.2">
      <c r="H616" s="328"/>
    </row>
    <row r="617" spans="8:8" ht="19.5" customHeight="1" x14ac:dyDescent="0.2">
      <c r="H617" s="328"/>
    </row>
    <row r="618" spans="8:8" ht="19.5" customHeight="1" x14ac:dyDescent="0.2">
      <c r="H618" s="328"/>
    </row>
    <row r="619" spans="8:8" ht="19.5" customHeight="1" x14ac:dyDescent="0.2">
      <c r="H619" s="328"/>
    </row>
    <row r="620" spans="8:8" ht="19.5" customHeight="1" x14ac:dyDescent="0.2">
      <c r="H620" s="328"/>
    </row>
    <row r="621" spans="8:8" ht="19.5" customHeight="1" x14ac:dyDescent="0.2">
      <c r="H621" s="328"/>
    </row>
    <row r="622" spans="8:8" ht="19.5" customHeight="1" x14ac:dyDescent="0.2">
      <c r="H622" s="328"/>
    </row>
    <row r="623" spans="8:8" ht="19.5" customHeight="1" x14ac:dyDescent="0.2">
      <c r="H623" s="328"/>
    </row>
    <row r="624" spans="8:8" ht="19.5" customHeight="1" x14ac:dyDescent="0.2">
      <c r="H624" s="328"/>
    </row>
    <row r="625" spans="8:8" ht="19.5" customHeight="1" x14ac:dyDescent="0.2">
      <c r="H625" s="328"/>
    </row>
    <row r="626" spans="8:8" ht="19.5" customHeight="1" x14ac:dyDescent="0.2">
      <c r="H626" s="328"/>
    </row>
    <row r="627" spans="8:8" ht="19.5" customHeight="1" x14ac:dyDescent="0.2">
      <c r="H627" s="328"/>
    </row>
    <row r="628" spans="8:8" ht="19.5" customHeight="1" x14ac:dyDescent="0.2">
      <c r="H628" s="328"/>
    </row>
    <row r="629" spans="8:8" ht="19.5" customHeight="1" x14ac:dyDescent="0.2">
      <c r="H629" s="328"/>
    </row>
    <row r="630" spans="8:8" ht="19.5" customHeight="1" x14ac:dyDescent="0.2">
      <c r="H630" s="328"/>
    </row>
    <row r="631" spans="8:8" ht="19.5" customHeight="1" x14ac:dyDescent="0.2">
      <c r="H631" s="328"/>
    </row>
    <row r="632" spans="8:8" ht="19.5" customHeight="1" x14ac:dyDescent="0.2">
      <c r="H632" s="328"/>
    </row>
    <row r="633" spans="8:8" ht="19.5" customHeight="1" x14ac:dyDescent="0.2">
      <c r="H633" s="328"/>
    </row>
    <row r="634" spans="8:8" ht="19.5" customHeight="1" x14ac:dyDescent="0.2">
      <c r="H634" s="328"/>
    </row>
    <row r="635" spans="8:8" ht="19.5" customHeight="1" x14ac:dyDescent="0.2">
      <c r="H635" s="328"/>
    </row>
    <row r="636" spans="8:8" ht="19.5" customHeight="1" x14ac:dyDescent="0.2">
      <c r="H636" s="328"/>
    </row>
    <row r="637" spans="8:8" ht="19.5" customHeight="1" x14ac:dyDescent="0.2">
      <c r="H637" s="328"/>
    </row>
    <row r="638" spans="8:8" ht="19.5" customHeight="1" x14ac:dyDescent="0.2">
      <c r="H638" s="328"/>
    </row>
    <row r="639" spans="8:8" ht="19.5" customHeight="1" x14ac:dyDescent="0.2">
      <c r="H639" s="328"/>
    </row>
    <row r="640" spans="8:8" ht="19.5" customHeight="1" x14ac:dyDescent="0.2">
      <c r="H640" s="328"/>
    </row>
    <row r="641" spans="8:8" ht="19.5" customHeight="1" x14ac:dyDescent="0.2">
      <c r="H641" s="328"/>
    </row>
    <row r="642" spans="8:8" ht="19.5" customHeight="1" x14ac:dyDescent="0.2">
      <c r="H642" s="328"/>
    </row>
    <row r="643" spans="8:8" ht="19.5" customHeight="1" x14ac:dyDescent="0.2">
      <c r="H643" s="328"/>
    </row>
    <row r="644" spans="8:8" ht="19.5" customHeight="1" x14ac:dyDescent="0.2">
      <c r="H644" s="328"/>
    </row>
    <row r="645" spans="8:8" ht="19.5" customHeight="1" x14ac:dyDescent="0.2">
      <c r="H645" s="328"/>
    </row>
    <row r="646" spans="8:8" ht="19.5" customHeight="1" x14ac:dyDescent="0.2">
      <c r="H646" s="328"/>
    </row>
    <row r="647" spans="8:8" ht="19.5" customHeight="1" x14ac:dyDescent="0.2">
      <c r="H647" s="328"/>
    </row>
    <row r="648" spans="8:8" ht="19.5" customHeight="1" x14ac:dyDescent="0.2">
      <c r="H648" s="328"/>
    </row>
    <row r="649" spans="8:8" ht="19.5" customHeight="1" x14ac:dyDescent="0.2">
      <c r="H649" s="328"/>
    </row>
    <row r="650" spans="8:8" ht="19.5" customHeight="1" x14ac:dyDescent="0.2">
      <c r="H650" s="328"/>
    </row>
    <row r="651" spans="8:8" ht="19.5" customHeight="1" x14ac:dyDescent="0.2">
      <c r="H651" s="328"/>
    </row>
    <row r="652" spans="8:8" ht="19.5" customHeight="1" x14ac:dyDescent="0.2">
      <c r="H652" s="328"/>
    </row>
    <row r="653" spans="8:8" ht="19.5" customHeight="1" x14ac:dyDescent="0.2">
      <c r="H653" s="328"/>
    </row>
    <row r="654" spans="8:8" ht="19.5" customHeight="1" x14ac:dyDescent="0.2">
      <c r="H654" s="328"/>
    </row>
    <row r="655" spans="8:8" ht="19.5" customHeight="1" x14ac:dyDescent="0.2">
      <c r="H655" s="328"/>
    </row>
    <row r="656" spans="8:8" ht="19.5" customHeight="1" x14ac:dyDescent="0.2">
      <c r="H656" s="328"/>
    </row>
    <row r="657" spans="8:8" ht="19.5" customHeight="1" x14ac:dyDescent="0.2">
      <c r="H657" s="328"/>
    </row>
    <row r="658" spans="8:8" ht="19.5" customHeight="1" x14ac:dyDescent="0.2">
      <c r="H658" s="328"/>
    </row>
    <row r="659" spans="8:8" ht="19.5" customHeight="1" x14ac:dyDescent="0.2">
      <c r="H659" s="328"/>
    </row>
    <row r="660" spans="8:8" ht="19.5" customHeight="1" x14ac:dyDescent="0.2">
      <c r="H660" s="328"/>
    </row>
    <row r="661" spans="8:8" ht="19.5" customHeight="1" x14ac:dyDescent="0.2">
      <c r="H661" s="328"/>
    </row>
    <row r="662" spans="8:8" ht="19.5" customHeight="1" x14ac:dyDescent="0.2">
      <c r="H662" s="328"/>
    </row>
    <row r="663" spans="8:8" ht="19.5" customHeight="1" x14ac:dyDescent="0.2">
      <c r="H663" s="328"/>
    </row>
    <row r="664" spans="8:8" ht="19.5" customHeight="1" x14ac:dyDescent="0.2">
      <c r="H664" s="328"/>
    </row>
    <row r="665" spans="8:8" ht="19.5" customHeight="1" x14ac:dyDescent="0.2">
      <c r="H665" s="328"/>
    </row>
    <row r="666" spans="8:8" ht="19.5" customHeight="1" x14ac:dyDescent="0.2">
      <c r="H666" s="328"/>
    </row>
    <row r="667" spans="8:8" ht="19.5" customHeight="1" x14ac:dyDescent="0.2">
      <c r="H667" s="328"/>
    </row>
    <row r="668" spans="8:8" ht="19.5" customHeight="1" x14ac:dyDescent="0.2">
      <c r="H668" s="328"/>
    </row>
    <row r="669" spans="8:8" ht="19.5" customHeight="1" x14ac:dyDescent="0.2">
      <c r="H669" s="328"/>
    </row>
    <row r="670" spans="8:8" ht="19.5" customHeight="1" x14ac:dyDescent="0.2">
      <c r="H670" s="328"/>
    </row>
    <row r="671" spans="8:8" ht="19.5" customHeight="1" x14ac:dyDescent="0.2">
      <c r="H671" s="328"/>
    </row>
    <row r="672" spans="8:8" ht="19.5" customHeight="1" x14ac:dyDescent="0.2">
      <c r="H672" s="328"/>
    </row>
    <row r="673" spans="8:8" ht="19.5" customHeight="1" x14ac:dyDescent="0.2">
      <c r="H673" s="328"/>
    </row>
    <row r="674" spans="8:8" ht="19.5" customHeight="1" x14ac:dyDescent="0.2">
      <c r="H674" s="328"/>
    </row>
    <row r="675" spans="8:8" ht="19.5" customHeight="1" x14ac:dyDescent="0.2">
      <c r="H675" s="328"/>
    </row>
    <row r="676" spans="8:8" ht="19.5" customHeight="1" x14ac:dyDescent="0.2">
      <c r="H676" s="328"/>
    </row>
    <row r="677" spans="8:8" ht="19.5" customHeight="1" x14ac:dyDescent="0.2">
      <c r="H677" s="328"/>
    </row>
    <row r="678" spans="8:8" ht="19.5" customHeight="1" x14ac:dyDescent="0.2">
      <c r="H678" s="328"/>
    </row>
    <row r="679" spans="8:8" ht="19.5" customHeight="1" x14ac:dyDescent="0.2">
      <c r="H679" s="328"/>
    </row>
    <row r="680" spans="8:8" ht="19.5" customHeight="1" x14ac:dyDescent="0.2">
      <c r="H680" s="328"/>
    </row>
    <row r="681" spans="8:8" ht="19.5" customHeight="1" x14ac:dyDescent="0.2">
      <c r="H681" s="328"/>
    </row>
    <row r="682" spans="8:8" ht="19.5" customHeight="1" x14ac:dyDescent="0.2">
      <c r="H682" s="328"/>
    </row>
    <row r="683" spans="8:8" ht="19.5" customHeight="1" x14ac:dyDescent="0.2">
      <c r="H683" s="328"/>
    </row>
    <row r="684" spans="8:8" ht="19.5" customHeight="1" x14ac:dyDescent="0.2">
      <c r="H684" s="328"/>
    </row>
    <row r="685" spans="8:8" ht="19.5" customHeight="1" x14ac:dyDescent="0.2">
      <c r="H685" s="328"/>
    </row>
    <row r="686" spans="8:8" ht="19.5" customHeight="1" x14ac:dyDescent="0.2">
      <c r="H686" s="328"/>
    </row>
    <row r="687" spans="8:8" ht="19.5" customHeight="1" x14ac:dyDescent="0.2">
      <c r="H687" s="328"/>
    </row>
    <row r="688" spans="8:8" ht="19.5" customHeight="1" x14ac:dyDescent="0.2">
      <c r="H688" s="328"/>
    </row>
    <row r="689" spans="8:8" ht="19.5" customHeight="1" x14ac:dyDescent="0.2">
      <c r="H689" s="328"/>
    </row>
    <row r="690" spans="8:8" ht="19.5" customHeight="1" x14ac:dyDescent="0.2">
      <c r="H690" s="328"/>
    </row>
    <row r="691" spans="8:8" ht="19.5" customHeight="1" x14ac:dyDescent="0.2">
      <c r="H691" s="328"/>
    </row>
    <row r="692" spans="8:8" ht="19.5" customHeight="1" x14ac:dyDescent="0.2">
      <c r="H692" s="328"/>
    </row>
    <row r="693" spans="8:8" ht="19.5" customHeight="1" x14ac:dyDescent="0.2">
      <c r="H693" s="328"/>
    </row>
    <row r="694" spans="8:8" ht="19.5" customHeight="1" x14ac:dyDescent="0.2">
      <c r="H694" s="328"/>
    </row>
    <row r="695" spans="8:8" ht="19.5" customHeight="1" x14ac:dyDescent="0.2">
      <c r="H695" s="328"/>
    </row>
    <row r="696" spans="8:8" ht="19.5" customHeight="1" x14ac:dyDescent="0.2">
      <c r="H696" s="328"/>
    </row>
    <row r="697" spans="8:8" ht="19.5" customHeight="1" x14ac:dyDescent="0.2">
      <c r="H697" s="328"/>
    </row>
    <row r="698" spans="8:8" ht="19.5" customHeight="1" x14ac:dyDescent="0.2">
      <c r="H698" s="328"/>
    </row>
    <row r="699" spans="8:8" ht="19.5" customHeight="1" x14ac:dyDescent="0.2">
      <c r="H699" s="328"/>
    </row>
    <row r="700" spans="8:8" ht="19.5" customHeight="1" x14ac:dyDescent="0.2">
      <c r="H700" s="328"/>
    </row>
    <row r="701" spans="8:8" ht="19.5" customHeight="1" x14ac:dyDescent="0.2">
      <c r="H701" s="328"/>
    </row>
    <row r="702" spans="8:8" ht="19.5" customHeight="1" x14ac:dyDescent="0.2">
      <c r="H702" s="328"/>
    </row>
    <row r="703" spans="8:8" ht="19.5" customHeight="1" x14ac:dyDescent="0.2">
      <c r="H703" s="328"/>
    </row>
    <row r="704" spans="8:8" ht="19.5" customHeight="1" x14ac:dyDescent="0.2">
      <c r="H704" s="328"/>
    </row>
    <row r="705" spans="8:8" ht="19.5" customHeight="1" x14ac:dyDescent="0.2">
      <c r="H705" s="328"/>
    </row>
    <row r="706" spans="8:8" ht="19.5" customHeight="1" x14ac:dyDescent="0.2">
      <c r="H706" s="328"/>
    </row>
    <row r="707" spans="8:8" ht="19.5" customHeight="1" x14ac:dyDescent="0.2">
      <c r="H707" s="328"/>
    </row>
    <row r="708" spans="8:8" ht="19.5" customHeight="1" x14ac:dyDescent="0.2">
      <c r="H708" s="328"/>
    </row>
    <row r="709" spans="8:8" ht="19.5" customHeight="1" x14ac:dyDescent="0.2">
      <c r="H709" s="328"/>
    </row>
    <row r="710" spans="8:8" ht="19.5" customHeight="1" x14ac:dyDescent="0.2">
      <c r="H710" s="328"/>
    </row>
    <row r="711" spans="8:8" ht="19.5" customHeight="1" x14ac:dyDescent="0.2">
      <c r="H711" s="328"/>
    </row>
    <row r="712" spans="8:8" ht="19.5" customHeight="1" x14ac:dyDescent="0.2">
      <c r="H712" s="328"/>
    </row>
    <row r="713" spans="8:8" ht="19.5" customHeight="1" x14ac:dyDescent="0.2">
      <c r="H713" s="328"/>
    </row>
    <row r="714" spans="8:8" ht="19.5" customHeight="1" x14ac:dyDescent="0.2">
      <c r="H714" s="328"/>
    </row>
    <row r="715" spans="8:8" ht="19.5" customHeight="1" x14ac:dyDescent="0.2">
      <c r="H715" s="328"/>
    </row>
    <row r="716" spans="8:8" ht="19.5" customHeight="1" x14ac:dyDescent="0.2">
      <c r="H716" s="328"/>
    </row>
    <row r="717" spans="8:8" ht="19.5" customHeight="1" x14ac:dyDescent="0.2">
      <c r="H717" s="328"/>
    </row>
    <row r="718" spans="8:8" ht="19.5" customHeight="1" x14ac:dyDescent="0.2">
      <c r="H718" s="328"/>
    </row>
    <row r="719" spans="8:8" ht="19.5" customHeight="1" x14ac:dyDescent="0.2">
      <c r="H719" s="328"/>
    </row>
    <row r="720" spans="8:8" ht="19.5" customHeight="1" x14ac:dyDescent="0.2">
      <c r="H720" s="328"/>
    </row>
    <row r="721" spans="8:8" ht="19.5" customHeight="1" x14ac:dyDescent="0.2">
      <c r="H721" s="328"/>
    </row>
    <row r="722" spans="8:8" ht="19.5" customHeight="1" x14ac:dyDescent="0.2">
      <c r="H722" s="328"/>
    </row>
    <row r="723" spans="8:8" ht="19.5" customHeight="1" x14ac:dyDescent="0.2">
      <c r="H723" s="328"/>
    </row>
    <row r="724" spans="8:8" ht="19.5" customHeight="1" x14ac:dyDescent="0.2">
      <c r="H724" s="328"/>
    </row>
    <row r="725" spans="8:8" ht="19.5" customHeight="1" x14ac:dyDescent="0.2">
      <c r="H725" s="328"/>
    </row>
    <row r="726" spans="8:8" ht="19.5" customHeight="1" x14ac:dyDescent="0.2">
      <c r="H726" s="328"/>
    </row>
    <row r="727" spans="8:8" ht="19.5" customHeight="1" x14ac:dyDescent="0.2">
      <c r="H727" s="328"/>
    </row>
    <row r="728" spans="8:8" ht="19.5" customHeight="1" x14ac:dyDescent="0.2">
      <c r="H728" s="328"/>
    </row>
    <row r="729" spans="8:8" ht="19.5" customHeight="1" x14ac:dyDescent="0.2">
      <c r="H729" s="328"/>
    </row>
    <row r="730" spans="8:8" ht="19.5" customHeight="1" x14ac:dyDescent="0.2">
      <c r="H730" s="328"/>
    </row>
    <row r="731" spans="8:8" ht="19.5" customHeight="1" x14ac:dyDescent="0.2">
      <c r="H731" s="328"/>
    </row>
    <row r="732" spans="8:8" ht="19.5" customHeight="1" x14ac:dyDescent="0.2">
      <c r="H732" s="328"/>
    </row>
    <row r="733" spans="8:8" ht="19.5" customHeight="1" x14ac:dyDescent="0.2">
      <c r="H733" s="328"/>
    </row>
    <row r="734" spans="8:8" ht="19.5" customHeight="1" x14ac:dyDescent="0.2">
      <c r="H734" s="328"/>
    </row>
    <row r="735" spans="8:8" ht="19.5" customHeight="1" x14ac:dyDescent="0.2">
      <c r="H735" s="328"/>
    </row>
    <row r="736" spans="8:8" ht="19.5" customHeight="1" x14ac:dyDescent="0.2">
      <c r="H736" s="328"/>
    </row>
    <row r="737" spans="8:8" ht="19.5" customHeight="1" x14ac:dyDescent="0.2">
      <c r="H737" s="328"/>
    </row>
    <row r="738" spans="8:8" ht="19.5" customHeight="1" x14ac:dyDescent="0.2">
      <c r="H738" s="328"/>
    </row>
    <row r="739" spans="8:8" ht="19.5" customHeight="1" x14ac:dyDescent="0.2">
      <c r="H739" s="328"/>
    </row>
    <row r="740" spans="8:8" ht="19.5" customHeight="1" x14ac:dyDescent="0.2">
      <c r="H740" s="328"/>
    </row>
    <row r="741" spans="8:8" ht="19.5" customHeight="1" x14ac:dyDescent="0.2">
      <c r="H741" s="328"/>
    </row>
    <row r="742" spans="8:8" ht="19.5" customHeight="1" x14ac:dyDescent="0.2">
      <c r="H742" s="328"/>
    </row>
    <row r="743" spans="8:8" ht="19.5" customHeight="1" x14ac:dyDescent="0.2">
      <c r="H743" s="328"/>
    </row>
    <row r="744" spans="8:8" ht="19.5" customHeight="1" x14ac:dyDescent="0.2">
      <c r="H744" s="328"/>
    </row>
    <row r="745" spans="8:8" ht="19.5" customHeight="1" x14ac:dyDescent="0.2">
      <c r="H745" s="328"/>
    </row>
    <row r="746" spans="8:8" ht="19.5" customHeight="1" x14ac:dyDescent="0.2">
      <c r="H746" s="328"/>
    </row>
    <row r="747" spans="8:8" ht="19.5" customHeight="1" x14ac:dyDescent="0.2">
      <c r="H747" s="328"/>
    </row>
    <row r="748" spans="8:8" ht="19.5" customHeight="1" x14ac:dyDescent="0.2">
      <c r="H748" s="328"/>
    </row>
    <row r="749" spans="8:8" ht="19.5" customHeight="1" x14ac:dyDescent="0.2">
      <c r="H749" s="328"/>
    </row>
    <row r="750" spans="8:8" ht="19.5" customHeight="1" x14ac:dyDescent="0.2">
      <c r="H750" s="328"/>
    </row>
    <row r="751" spans="8:8" ht="19.5" customHeight="1" x14ac:dyDescent="0.2">
      <c r="H751" s="328"/>
    </row>
    <row r="752" spans="8:8" ht="19.5" customHeight="1" x14ac:dyDescent="0.2">
      <c r="H752" s="328"/>
    </row>
    <row r="753" spans="8:8" ht="19.5" customHeight="1" x14ac:dyDescent="0.2">
      <c r="H753" s="328"/>
    </row>
    <row r="754" spans="8:8" ht="19.5" customHeight="1" x14ac:dyDescent="0.2">
      <c r="H754" s="328"/>
    </row>
    <row r="755" spans="8:8" ht="19.5" customHeight="1" x14ac:dyDescent="0.2">
      <c r="H755" s="328"/>
    </row>
    <row r="756" spans="8:8" ht="19.5" customHeight="1" x14ac:dyDescent="0.2">
      <c r="H756" s="328"/>
    </row>
    <row r="757" spans="8:8" ht="19.5" customHeight="1" x14ac:dyDescent="0.2">
      <c r="H757" s="328"/>
    </row>
    <row r="758" spans="8:8" ht="19.5" customHeight="1" x14ac:dyDescent="0.2">
      <c r="H758" s="328"/>
    </row>
    <row r="759" spans="8:8" ht="19.5" customHeight="1" x14ac:dyDescent="0.2">
      <c r="H759" s="328"/>
    </row>
    <row r="760" spans="8:8" ht="19.5" customHeight="1" x14ac:dyDescent="0.2">
      <c r="H760" s="328"/>
    </row>
    <row r="761" spans="8:8" ht="19.5" customHeight="1" x14ac:dyDescent="0.2">
      <c r="H761" s="328"/>
    </row>
    <row r="762" spans="8:8" ht="19.5" customHeight="1" x14ac:dyDescent="0.2">
      <c r="H762" s="328"/>
    </row>
    <row r="763" spans="8:8" ht="19.5" customHeight="1" x14ac:dyDescent="0.2">
      <c r="H763" s="328"/>
    </row>
    <row r="764" spans="8:8" ht="19.5" customHeight="1" x14ac:dyDescent="0.2">
      <c r="H764" s="328"/>
    </row>
    <row r="765" spans="8:8" ht="19.5" customHeight="1" x14ac:dyDescent="0.2">
      <c r="H765" s="328"/>
    </row>
    <row r="766" spans="8:8" ht="19.5" customHeight="1" x14ac:dyDescent="0.2">
      <c r="H766" s="328"/>
    </row>
    <row r="767" spans="8:8" ht="19.5" customHeight="1" x14ac:dyDescent="0.2">
      <c r="H767" s="328"/>
    </row>
    <row r="768" spans="8:8" ht="19.5" customHeight="1" x14ac:dyDescent="0.2">
      <c r="H768" s="328"/>
    </row>
    <row r="769" spans="8:8" ht="19.5" customHeight="1" x14ac:dyDescent="0.2">
      <c r="H769" s="328"/>
    </row>
    <row r="770" spans="8:8" ht="19.5" customHeight="1" x14ac:dyDescent="0.2">
      <c r="H770" s="328"/>
    </row>
    <row r="771" spans="8:8" ht="19.5" customHeight="1" x14ac:dyDescent="0.2">
      <c r="H771" s="328"/>
    </row>
    <row r="772" spans="8:8" ht="19.5" customHeight="1" x14ac:dyDescent="0.2">
      <c r="H772" s="328"/>
    </row>
    <row r="773" spans="8:8" ht="19.5" customHeight="1" x14ac:dyDescent="0.2">
      <c r="H773" s="328"/>
    </row>
    <row r="774" spans="8:8" ht="19.5" customHeight="1" x14ac:dyDescent="0.2">
      <c r="H774" s="328"/>
    </row>
    <row r="775" spans="8:8" ht="19.5" customHeight="1" x14ac:dyDescent="0.2">
      <c r="H775" s="328"/>
    </row>
    <row r="776" spans="8:8" ht="19.5" customHeight="1" x14ac:dyDescent="0.2">
      <c r="H776" s="328"/>
    </row>
    <row r="777" spans="8:8" ht="19.5" customHeight="1" x14ac:dyDescent="0.2">
      <c r="H777" s="328"/>
    </row>
    <row r="778" spans="8:8" ht="19.5" customHeight="1" x14ac:dyDescent="0.2">
      <c r="H778" s="328"/>
    </row>
    <row r="779" spans="8:8" ht="19.5" customHeight="1" x14ac:dyDescent="0.2">
      <c r="H779" s="328"/>
    </row>
    <row r="780" spans="8:8" ht="19.5" customHeight="1" x14ac:dyDescent="0.2">
      <c r="H780" s="328"/>
    </row>
    <row r="781" spans="8:8" ht="19.5" customHeight="1" x14ac:dyDescent="0.2">
      <c r="H781" s="328"/>
    </row>
    <row r="782" spans="8:8" ht="19.5" customHeight="1" x14ac:dyDescent="0.2">
      <c r="H782" s="328"/>
    </row>
    <row r="783" spans="8:8" ht="19.5" customHeight="1" x14ac:dyDescent="0.2">
      <c r="H783" s="328"/>
    </row>
    <row r="784" spans="8:8" ht="19.5" customHeight="1" x14ac:dyDescent="0.2">
      <c r="H784" s="328"/>
    </row>
    <row r="785" spans="8:8" ht="19.5" customHeight="1" x14ac:dyDescent="0.2">
      <c r="H785" s="328"/>
    </row>
    <row r="786" spans="8:8" ht="19.5" customHeight="1" x14ac:dyDescent="0.2">
      <c r="H786" s="328"/>
    </row>
    <row r="787" spans="8:8" ht="19.5" customHeight="1" x14ac:dyDescent="0.2">
      <c r="H787" s="328"/>
    </row>
    <row r="788" spans="8:8" ht="19.5" customHeight="1" x14ac:dyDescent="0.2">
      <c r="H788" s="328"/>
    </row>
    <row r="789" spans="8:8" ht="19.5" customHeight="1" x14ac:dyDescent="0.2">
      <c r="H789" s="328"/>
    </row>
    <row r="790" spans="8:8" ht="19.5" customHeight="1" x14ac:dyDescent="0.2">
      <c r="H790" s="328"/>
    </row>
    <row r="791" spans="8:8" ht="19.5" customHeight="1" x14ac:dyDescent="0.2">
      <c r="H791" s="328"/>
    </row>
    <row r="792" spans="8:8" ht="19.5" customHeight="1" x14ac:dyDescent="0.2">
      <c r="H792" s="328"/>
    </row>
    <row r="793" spans="8:8" ht="19.5" customHeight="1" x14ac:dyDescent="0.2">
      <c r="H793" s="328"/>
    </row>
    <row r="794" spans="8:8" ht="19.5" customHeight="1" x14ac:dyDescent="0.2">
      <c r="H794" s="328"/>
    </row>
    <row r="795" spans="8:8" ht="19.5" customHeight="1" x14ac:dyDescent="0.2">
      <c r="H795" s="328"/>
    </row>
    <row r="796" spans="8:8" ht="19.5" customHeight="1" x14ac:dyDescent="0.2">
      <c r="H796" s="328"/>
    </row>
    <row r="797" spans="8:8" ht="19.5" customHeight="1" x14ac:dyDescent="0.2">
      <c r="H797" s="328"/>
    </row>
    <row r="798" spans="8:8" ht="19.5" customHeight="1" x14ac:dyDescent="0.2">
      <c r="H798" s="328"/>
    </row>
    <row r="799" spans="8:8" ht="19.5" customHeight="1" x14ac:dyDescent="0.2">
      <c r="H799" s="328"/>
    </row>
    <row r="800" spans="8:8" ht="19.5" customHeight="1" x14ac:dyDescent="0.2">
      <c r="H800" s="328"/>
    </row>
    <row r="801" spans="8:8" ht="19.5" customHeight="1" x14ac:dyDescent="0.2">
      <c r="H801" s="328"/>
    </row>
    <row r="802" spans="8:8" ht="19.5" customHeight="1" x14ac:dyDescent="0.2">
      <c r="H802" s="328"/>
    </row>
    <row r="803" spans="8:8" ht="19.5" customHeight="1" x14ac:dyDescent="0.2">
      <c r="H803" s="328"/>
    </row>
    <row r="804" spans="8:8" ht="19.5" customHeight="1" x14ac:dyDescent="0.2">
      <c r="H804" s="328"/>
    </row>
    <row r="805" spans="8:8" ht="19.5" customHeight="1" x14ac:dyDescent="0.2">
      <c r="H805" s="328"/>
    </row>
    <row r="806" spans="8:8" ht="19.5" customHeight="1" x14ac:dyDescent="0.2">
      <c r="H806" s="328"/>
    </row>
    <row r="807" spans="8:8" ht="19.5" customHeight="1" x14ac:dyDescent="0.2">
      <c r="H807" s="328"/>
    </row>
    <row r="808" spans="8:8" ht="19.5" customHeight="1" x14ac:dyDescent="0.2">
      <c r="H808" s="328"/>
    </row>
    <row r="809" spans="8:8" ht="19.5" customHeight="1" x14ac:dyDescent="0.2">
      <c r="H809" s="328"/>
    </row>
    <row r="810" spans="8:8" ht="19.5" customHeight="1" x14ac:dyDescent="0.2">
      <c r="H810" s="328"/>
    </row>
    <row r="811" spans="8:8" ht="19.5" customHeight="1" x14ac:dyDescent="0.2">
      <c r="H811" s="328"/>
    </row>
    <row r="812" spans="8:8" ht="19.5" customHeight="1" x14ac:dyDescent="0.2">
      <c r="H812" s="328"/>
    </row>
    <row r="813" spans="8:8" ht="19.5" customHeight="1" x14ac:dyDescent="0.2">
      <c r="H813" s="328"/>
    </row>
    <row r="814" spans="8:8" ht="19.5" customHeight="1" x14ac:dyDescent="0.2">
      <c r="H814" s="328"/>
    </row>
    <row r="815" spans="8:8" ht="19.5" customHeight="1" x14ac:dyDescent="0.2">
      <c r="H815" s="328"/>
    </row>
    <row r="816" spans="8:8" ht="19.5" customHeight="1" x14ac:dyDescent="0.2">
      <c r="H816" s="328"/>
    </row>
    <row r="817" spans="8:8" ht="19.5" customHeight="1" x14ac:dyDescent="0.2">
      <c r="H817" s="328"/>
    </row>
    <row r="818" spans="8:8" ht="19.5" customHeight="1" x14ac:dyDescent="0.2">
      <c r="H818" s="328"/>
    </row>
    <row r="819" spans="8:8" ht="19.5" customHeight="1" x14ac:dyDescent="0.2">
      <c r="H819" s="328"/>
    </row>
    <row r="820" spans="8:8" ht="19.5" customHeight="1" x14ac:dyDescent="0.2">
      <c r="H820" s="328"/>
    </row>
    <row r="821" spans="8:8" ht="19.5" customHeight="1" x14ac:dyDescent="0.2">
      <c r="H821" s="328"/>
    </row>
    <row r="822" spans="8:8" ht="19.5" customHeight="1" x14ac:dyDescent="0.2">
      <c r="H822" s="328"/>
    </row>
    <row r="823" spans="8:8" ht="19.5" customHeight="1" x14ac:dyDescent="0.2">
      <c r="H823" s="328"/>
    </row>
    <row r="824" spans="8:8" ht="19.5" customHeight="1" x14ac:dyDescent="0.2">
      <c r="H824" s="328"/>
    </row>
    <row r="825" spans="8:8" ht="19.5" customHeight="1" x14ac:dyDescent="0.2">
      <c r="H825" s="328"/>
    </row>
    <row r="826" spans="8:8" ht="19.5" customHeight="1" x14ac:dyDescent="0.2">
      <c r="H826" s="328"/>
    </row>
    <row r="827" spans="8:8" ht="19.5" customHeight="1" x14ac:dyDescent="0.2">
      <c r="H827" s="328"/>
    </row>
    <row r="828" spans="8:8" ht="19.5" customHeight="1" x14ac:dyDescent="0.2">
      <c r="H828" s="328"/>
    </row>
    <row r="829" spans="8:8" ht="19.5" customHeight="1" x14ac:dyDescent="0.2">
      <c r="H829" s="328"/>
    </row>
    <row r="830" spans="8:8" ht="19.5" customHeight="1" x14ac:dyDescent="0.2">
      <c r="H830" s="328"/>
    </row>
    <row r="831" spans="8:8" ht="19.5" customHeight="1" x14ac:dyDescent="0.2">
      <c r="H831" s="328"/>
    </row>
    <row r="832" spans="8:8" ht="19.5" customHeight="1" x14ac:dyDescent="0.2">
      <c r="H832" s="328"/>
    </row>
    <row r="833" spans="8:8" ht="19.5" customHeight="1" x14ac:dyDescent="0.2">
      <c r="H833" s="328"/>
    </row>
    <row r="834" spans="8:8" ht="19.5" customHeight="1" x14ac:dyDescent="0.2">
      <c r="H834" s="328"/>
    </row>
    <row r="835" spans="8:8" ht="19.5" customHeight="1" x14ac:dyDescent="0.2">
      <c r="H835" s="328"/>
    </row>
    <row r="836" spans="8:8" ht="19.5" customHeight="1" x14ac:dyDescent="0.2">
      <c r="H836" s="328"/>
    </row>
    <row r="837" spans="8:8" ht="19.5" customHeight="1" x14ac:dyDescent="0.2">
      <c r="H837" s="328"/>
    </row>
    <row r="838" spans="8:8" ht="19.5" customHeight="1" x14ac:dyDescent="0.2">
      <c r="H838" s="328"/>
    </row>
    <row r="839" spans="8:8" ht="19.5" customHeight="1" x14ac:dyDescent="0.2">
      <c r="H839" s="328"/>
    </row>
    <row r="840" spans="8:8" ht="19.5" customHeight="1" x14ac:dyDescent="0.2">
      <c r="H840" s="328"/>
    </row>
    <row r="841" spans="8:8" ht="19.5" customHeight="1" x14ac:dyDescent="0.2">
      <c r="H841" s="328"/>
    </row>
    <row r="842" spans="8:8" ht="19.5" customHeight="1" x14ac:dyDescent="0.2">
      <c r="H842" s="328"/>
    </row>
    <row r="843" spans="8:8" ht="19.5" customHeight="1" x14ac:dyDescent="0.2">
      <c r="H843" s="328"/>
    </row>
    <row r="844" spans="8:8" ht="19.5" customHeight="1" x14ac:dyDescent="0.2">
      <c r="H844" s="328"/>
    </row>
    <row r="845" spans="8:8" ht="19.5" customHeight="1" x14ac:dyDescent="0.2">
      <c r="H845" s="328"/>
    </row>
    <row r="846" spans="8:8" ht="19.5" customHeight="1" x14ac:dyDescent="0.2">
      <c r="H846" s="328"/>
    </row>
    <row r="847" spans="8:8" ht="19.5" customHeight="1" x14ac:dyDescent="0.2">
      <c r="H847" s="328"/>
    </row>
    <row r="848" spans="8:8" ht="19.5" customHeight="1" x14ac:dyDescent="0.2">
      <c r="H848" s="328"/>
    </row>
    <row r="849" spans="8:8" ht="19.5" customHeight="1" x14ac:dyDescent="0.2">
      <c r="H849" s="328"/>
    </row>
    <row r="850" spans="8:8" ht="19.5" customHeight="1" x14ac:dyDescent="0.2">
      <c r="H850" s="328"/>
    </row>
    <row r="851" spans="8:8" ht="19.5" customHeight="1" x14ac:dyDescent="0.2">
      <c r="H851" s="328"/>
    </row>
    <row r="852" spans="8:8" ht="19.5" customHeight="1" x14ac:dyDescent="0.2">
      <c r="H852" s="328"/>
    </row>
    <row r="853" spans="8:8" ht="19.5" customHeight="1" x14ac:dyDescent="0.2">
      <c r="H853" s="328"/>
    </row>
    <row r="854" spans="8:8" ht="19.5" customHeight="1" x14ac:dyDescent="0.2">
      <c r="H854" s="328"/>
    </row>
    <row r="855" spans="8:8" ht="19.5" customHeight="1" x14ac:dyDescent="0.2">
      <c r="H855" s="328"/>
    </row>
    <row r="856" spans="8:8" ht="19.5" customHeight="1" x14ac:dyDescent="0.2">
      <c r="H856" s="328"/>
    </row>
    <row r="857" spans="8:8" ht="19.5" customHeight="1" x14ac:dyDescent="0.2">
      <c r="H857" s="328"/>
    </row>
    <row r="858" spans="8:8" ht="19.5" customHeight="1" x14ac:dyDescent="0.2">
      <c r="H858" s="328"/>
    </row>
    <row r="859" spans="8:8" ht="19.5" customHeight="1" x14ac:dyDescent="0.2">
      <c r="H859" s="328"/>
    </row>
    <row r="860" spans="8:8" ht="19.5" customHeight="1" x14ac:dyDescent="0.2">
      <c r="H860" s="328"/>
    </row>
    <row r="861" spans="8:8" ht="19.5" customHeight="1" x14ac:dyDescent="0.2">
      <c r="H861" s="328"/>
    </row>
    <row r="862" spans="8:8" ht="19.5" customHeight="1" x14ac:dyDescent="0.2">
      <c r="H862" s="328"/>
    </row>
    <row r="863" spans="8:8" ht="19.5" customHeight="1" x14ac:dyDescent="0.2">
      <c r="H863" s="328"/>
    </row>
    <row r="864" spans="8:8" ht="19.5" customHeight="1" x14ac:dyDescent="0.2">
      <c r="H864" s="328"/>
    </row>
    <row r="865" spans="8:8" ht="19.5" customHeight="1" x14ac:dyDescent="0.2">
      <c r="H865" s="328"/>
    </row>
    <row r="866" spans="8:8" ht="19.5" customHeight="1" x14ac:dyDescent="0.2">
      <c r="H866" s="328"/>
    </row>
    <row r="867" spans="8:8" ht="19.5" customHeight="1" x14ac:dyDescent="0.2">
      <c r="H867" s="328"/>
    </row>
    <row r="868" spans="8:8" ht="19.5" customHeight="1" x14ac:dyDescent="0.2">
      <c r="H868" s="328"/>
    </row>
    <row r="869" spans="8:8" ht="19.5" customHeight="1" x14ac:dyDescent="0.2">
      <c r="H869" s="328"/>
    </row>
    <row r="870" spans="8:8" ht="19.5" customHeight="1" x14ac:dyDescent="0.2">
      <c r="H870" s="328"/>
    </row>
    <row r="871" spans="8:8" ht="19.5" customHeight="1" x14ac:dyDescent="0.2">
      <c r="H871" s="328"/>
    </row>
    <row r="872" spans="8:8" ht="19.5" customHeight="1" x14ac:dyDescent="0.2">
      <c r="H872" s="328"/>
    </row>
    <row r="873" spans="8:8" ht="19.5" customHeight="1" x14ac:dyDescent="0.2">
      <c r="H873" s="328"/>
    </row>
    <row r="874" spans="8:8" ht="19.5" customHeight="1" x14ac:dyDescent="0.2">
      <c r="H874" s="328"/>
    </row>
    <row r="875" spans="8:8" ht="19.5" customHeight="1" x14ac:dyDescent="0.2">
      <c r="H875" s="328"/>
    </row>
    <row r="876" spans="8:8" ht="19.5" customHeight="1" x14ac:dyDescent="0.2">
      <c r="H876" s="328"/>
    </row>
    <row r="877" spans="8:8" ht="19.5" customHeight="1" x14ac:dyDescent="0.2">
      <c r="H877" s="328"/>
    </row>
    <row r="878" spans="8:8" ht="19.5" customHeight="1" x14ac:dyDescent="0.2">
      <c r="H878" s="328"/>
    </row>
    <row r="879" spans="8:8" ht="19.5" customHeight="1" x14ac:dyDescent="0.2">
      <c r="H879" s="328"/>
    </row>
    <row r="880" spans="8:8" ht="19.5" customHeight="1" x14ac:dyDescent="0.2">
      <c r="H880" s="328"/>
    </row>
    <row r="881" spans="8:8" ht="19.5" customHeight="1" x14ac:dyDescent="0.2">
      <c r="H881" s="328"/>
    </row>
    <row r="882" spans="8:8" ht="19.5" customHeight="1" x14ac:dyDescent="0.2">
      <c r="H882" s="328"/>
    </row>
    <row r="883" spans="8:8" ht="19.5" customHeight="1" x14ac:dyDescent="0.2">
      <c r="H883" s="328"/>
    </row>
    <row r="884" spans="8:8" ht="19.5" customHeight="1" x14ac:dyDescent="0.2">
      <c r="H884" s="328"/>
    </row>
    <row r="885" spans="8:8" ht="19.5" customHeight="1" x14ac:dyDescent="0.2">
      <c r="H885" s="328"/>
    </row>
    <row r="886" spans="8:8" ht="19.5" customHeight="1" x14ac:dyDescent="0.2">
      <c r="H886" s="328"/>
    </row>
    <row r="887" spans="8:8" ht="19.5" customHeight="1" x14ac:dyDescent="0.2">
      <c r="H887" s="328"/>
    </row>
    <row r="888" spans="8:8" ht="19.5" customHeight="1" x14ac:dyDescent="0.2">
      <c r="H888" s="328"/>
    </row>
    <row r="889" spans="8:8" ht="19.5" customHeight="1" x14ac:dyDescent="0.2">
      <c r="H889" s="328"/>
    </row>
    <row r="890" spans="8:8" ht="19.5" customHeight="1" x14ac:dyDescent="0.2">
      <c r="H890" s="328"/>
    </row>
    <row r="891" spans="8:8" ht="19.5" customHeight="1" x14ac:dyDescent="0.2">
      <c r="H891" s="328"/>
    </row>
    <row r="892" spans="8:8" ht="19.5" customHeight="1" x14ac:dyDescent="0.2">
      <c r="H892" s="328"/>
    </row>
    <row r="893" spans="8:8" ht="19.5" customHeight="1" x14ac:dyDescent="0.2">
      <c r="H893" s="328"/>
    </row>
    <row r="894" spans="8:8" ht="19.5" customHeight="1" x14ac:dyDescent="0.2">
      <c r="H894" s="328"/>
    </row>
    <row r="895" spans="8:8" ht="19.5" customHeight="1" x14ac:dyDescent="0.2">
      <c r="H895" s="328"/>
    </row>
    <row r="896" spans="8:8" ht="19.5" customHeight="1" x14ac:dyDescent="0.2">
      <c r="H896" s="328"/>
    </row>
    <row r="897" spans="8:8" ht="19.5" customHeight="1" x14ac:dyDescent="0.2">
      <c r="H897" s="328"/>
    </row>
    <row r="898" spans="8:8" ht="19.5" customHeight="1" x14ac:dyDescent="0.2">
      <c r="H898" s="328"/>
    </row>
    <row r="899" spans="8:8" ht="19.5" customHeight="1" x14ac:dyDescent="0.2">
      <c r="H899" s="328"/>
    </row>
    <row r="900" spans="8:8" ht="19.5" customHeight="1" x14ac:dyDescent="0.2">
      <c r="H900" s="328"/>
    </row>
    <row r="901" spans="8:8" ht="19.5" customHeight="1" x14ac:dyDescent="0.2">
      <c r="H901" s="328"/>
    </row>
    <row r="902" spans="8:8" ht="19.5" customHeight="1" x14ac:dyDescent="0.2">
      <c r="H902" s="328"/>
    </row>
    <row r="903" spans="8:8" ht="19.5" customHeight="1" x14ac:dyDescent="0.2">
      <c r="H903" s="328"/>
    </row>
    <row r="904" spans="8:8" ht="19.5" customHeight="1" x14ac:dyDescent="0.2">
      <c r="H904" s="328"/>
    </row>
    <row r="905" spans="8:8" ht="19.5" customHeight="1" x14ac:dyDescent="0.2">
      <c r="H905" s="328"/>
    </row>
    <row r="906" spans="8:8" ht="19.5" customHeight="1" x14ac:dyDescent="0.2">
      <c r="H906" s="328"/>
    </row>
    <row r="907" spans="8:8" ht="19.5" customHeight="1" x14ac:dyDescent="0.2">
      <c r="H907" s="328"/>
    </row>
    <row r="908" spans="8:8" ht="19.5" customHeight="1" x14ac:dyDescent="0.2">
      <c r="H908" s="328"/>
    </row>
    <row r="909" spans="8:8" ht="19.5" customHeight="1" x14ac:dyDescent="0.2">
      <c r="H909" s="328"/>
    </row>
    <row r="910" spans="8:8" ht="19.5" customHeight="1" x14ac:dyDescent="0.2">
      <c r="H910" s="328"/>
    </row>
    <row r="911" spans="8:8" ht="19.5" customHeight="1" x14ac:dyDescent="0.2">
      <c r="H911" s="328"/>
    </row>
    <row r="912" spans="8:8" ht="19.5" customHeight="1" x14ac:dyDescent="0.2">
      <c r="H912" s="328"/>
    </row>
    <row r="913" spans="8:8" ht="19.5" customHeight="1" x14ac:dyDescent="0.2">
      <c r="H913" s="328"/>
    </row>
    <row r="914" spans="8:8" ht="19.5" customHeight="1" x14ac:dyDescent="0.2">
      <c r="H914" s="328"/>
    </row>
    <row r="915" spans="8:8" ht="19.5" customHeight="1" x14ac:dyDescent="0.2">
      <c r="H915" s="328"/>
    </row>
    <row r="916" spans="8:8" ht="19.5" customHeight="1" x14ac:dyDescent="0.2">
      <c r="H916" s="328"/>
    </row>
    <row r="917" spans="8:8" ht="19.5" customHeight="1" x14ac:dyDescent="0.2">
      <c r="H917" s="328"/>
    </row>
    <row r="918" spans="8:8" ht="19.5" customHeight="1" x14ac:dyDescent="0.2">
      <c r="H918" s="328"/>
    </row>
    <row r="919" spans="8:8" ht="19.5" customHeight="1" x14ac:dyDescent="0.2">
      <c r="H919" s="328"/>
    </row>
    <row r="920" spans="8:8" ht="19.5" customHeight="1" x14ac:dyDescent="0.2">
      <c r="H920" s="328"/>
    </row>
    <row r="921" spans="8:8" ht="19.5" customHeight="1" x14ac:dyDescent="0.2">
      <c r="H921" s="328"/>
    </row>
    <row r="922" spans="8:8" ht="19.5" customHeight="1" x14ac:dyDescent="0.2">
      <c r="H922" s="328"/>
    </row>
    <row r="923" spans="8:8" ht="19.5" customHeight="1" x14ac:dyDescent="0.2">
      <c r="H923" s="328"/>
    </row>
    <row r="924" spans="8:8" ht="19.5" customHeight="1" x14ac:dyDescent="0.2">
      <c r="H924" s="328"/>
    </row>
    <row r="925" spans="8:8" ht="19.5" customHeight="1" x14ac:dyDescent="0.2">
      <c r="H925" s="328"/>
    </row>
    <row r="926" spans="8:8" ht="19.5" customHeight="1" x14ac:dyDescent="0.2">
      <c r="H926" s="328"/>
    </row>
    <row r="927" spans="8:8" ht="19.5" customHeight="1" x14ac:dyDescent="0.2">
      <c r="H927" s="328"/>
    </row>
    <row r="928" spans="8:8" ht="19.5" customHeight="1" x14ac:dyDescent="0.2">
      <c r="H928" s="328"/>
    </row>
    <row r="929" spans="8:8" ht="19.5" customHeight="1" x14ac:dyDescent="0.2">
      <c r="H929" s="328"/>
    </row>
    <row r="930" spans="8:8" ht="19.5" customHeight="1" x14ac:dyDescent="0.2">
      <c r="H930" s="328"/>
    </row>
    <row r="931" spans="8:8" ht="19.5" customHeight="1" x14ac:dyDescent="0.2">
      <c r="H931" s="328"/>
    </row>
    <row r="932" spans="8:8" ht="19.5" customHeight="1" x14ac:dyDescent="0.2">
      <c r="H932" s="328"/>
    </row>
    <row r="933" spans="8:8" ht="19.5" customHeight="1" x14ac:dyDescent="0.2">
      <c r="H933" s="328"/>
    </row>
    <row r="934" spans="8:8" ht="19.5" customHeight="1" x14ac:dyDescent="0.2">
      <c r="H934" s="328"/>
    </row>
    <row r="935" spans="8:8" ht="19.5" customHeight="1" x14ac:dyDescent="0.2">
      <c r="H935" s="328"/>
    </row>
    <row r="936" spans="8:8" ht="19.5" customHeight="1" x14ac:dyDescent="0.2">
      <c r="H936" s="328"/>
    </row>
    <row r="937" spans="8:8" ht="19.5" customHeight="1" x14ac:dyDescent="0.2">
      <c r="H937" s="328"/>
    </row>
    <row r="938" spans="8:8" ht="19.5" customHeight="1" x14ac:dyDescent="0.2">
      <c r="H938" s="328"/>
    </row>
    <row r="939" spans="8:8" ht="19.5" customHeight="1" x14ac:dyDescent="0.2">
      <c r="H939" s="328"/>
    </row>
    <row r="940" spans="8:8" ht="19.5" customHeight="1" x14ac:dyDescent="0.2">
      <c r="H940" s="328"/>
    </row>
    <row r="941" spans="8:8" ht="19.5" customHeight="1" x14ac:dyDescent="0.2">
      <c r="H941" s="328"/>
    </row>
    <row r="942" spans="8:8" ht="19.5" customHeight="1" x14ac:dyDescent="0.2">
      <c r="H942" s="328"/>
    </row>
    <row r="943" spans="8:8" ht="19.5" customHeight="1" x14ac:dyDescent="0.2">
      <c r="H943" s="328"/>
    </row>
    <row r="944" spans="8:8" ht="19.5" customHeight="1" x14ac:dyDescent="0.2">
      <c r="H944" s="328"/>
    </row>
    <row r="945" spans="8:8" ht="19.5" customHeight="1" x14ac:dyDescent="0.2">
      <c r="H945" s="328"/>
    </row>
    <row r="946" spans="8:8" ht="19.5" customHeight="1" x14ac:dyDescent="0.2">
      <c r="H946" s="328"/>
    </row>
    <row r="947" spans="8:8" ht="19.5" customHeight="1" x14ac:dyDescent="0.2">
      <c r="H947" s="328"/>
    </row>
    <row r="948" spans="8:8" ht="19.5" customHeight="1" x14ac:dyDescent="0.2">
      <c r="H948" s="328"/>
    </row>
    <row r="949" spans="8:8" ht="19.5" customHeight="1" x14ac:dyDescent="0.2">
      <c r="H949" s="328"/>
    </row>
    <row r="950" spans="8:8" ht="19.5" customHeight="1" x14ac:dyDescent="0.2">
      <c r="H950" s="328"/>
    </row>
    <row r="951" spans="8:8" ht="19.5" customHeight="1" x14ac:dyDescent="0.2">
      <c r="H951" s="328"/>
    </row>
    <row r="952" spans="8:8" ht="19.5" customHeight="1" x14ac:dyDescent="0.2">
      <c r="H952" s="328"/>
    </row>
    <row r="953" spans="8:8" ht="19.5" customHeight="1" x14ac:dyDescent="0.2">
      <c r="H953" s="328"/>
    </row>
    <row r="954" spans="8:8" ht="19.5" customHeight="1" x14ac:dyDescent="0.2">
      <c r="H954" s="328"/>
    </row>
    <row r="955" spans="8:8" ht="19.5" customHeight="1" x14ac:dyDescent="0.2">
      <c r="H955" s="328"/>
    </row>
    <row r="956" spans="8:8" ht="19.5" customHeight="1" x14ac:dyDescent="0.2">
      <c r="H956" s="328"/>
    </row>
    <row r="957" spans="8:8" ht="19.5" customHeight="1" x14ac:dyDescent="0.2">
      <c r="H957" s="328"/>
    </row>
    <row r="958" spans="8:8" ht="19.5" customHeight="1" x14ac:dyDescent="0.2">
      <c r="H958" s="328"/>
    </row>
    <row r="959" spans="8:8" ht="19.5" customHeight="1" x14ac:dyDescent="0.2">
      <c r="H959" s="328"/>
    </row>
    <row r="960" spans="8:8" ht="19.5" customHeight="1" x14ac:dyDescent="0.2">
      <c r="H960" s="328"/>
    </row>
    <row r="961" spans="8:8" ht="19.5" customHeight="1" x14ac:dyDescent="0.2">
      <c r="H961" s="328"/>
    </row>
    <row r="962" spans="8:8" ht="19.5" customHeight="1" x14ac:dyDescent="0.2">
      <c r="H962" s="328"/>
    </row>
    <row r="963" spans="8:8" ht="19.5" customHeight="1" x14ac:dyDescent="0.2">
      <c r="H963" s="328"/>
    </row>
    <row r="964" spans="8:8" ht="19.5" customHeight="1" x14ac:dyDescent="0.2">
      <c r="H964" s="328"/>
    </row>
    <row r="965" spans="8:8" ht="19.5" customHeight="1" x14ac:dyDescent="0.2">
      <c r="H965" s="328"/>
    </row>
    <row r="966" spans="8:8" ht="19.5" customHeight="1" x14ac:dyDescent="0.2">
      <c r="H966" s="328"/>
    </row>
    <row r="967" spans="8:8" ht="19.5" customHeight="1" x14ac:dyDescent="0.2">
      <c r="H967" s="328"/>
    </row>
    <row r="968" spans="8:8" ht="19.5" customHeight="1" x14ac:dyDescent="0.2">
      <c r="H968" s="328"/>
    </row>
    <row r="969" spans="8:8" ht="19.5" customHeight="1" x14ac:dyDescent="0.2">
      <c r="H969" s="328"/>
    </row>
    <row r="970" spans="8:8" ht="19.5" customHeight="1" x14ac:dyDescent="0.2">
      <c r="H970" s="328"/>
    </row>
    <row r="971" spans="8:8" ht="19.5" customHeight="1" x14ac:dyDescent="0.2">
      <c r="H971" s="328"/>
    </row>
    <row r="972" spans="8:8" ht="19.5" customHeight="1" x14ac:dyDescent="0.2">
      <c r="H972" s="328"/>
    </row>
    <row r="973" spans="8:8" ht="19.5" customHeight="1" x14ac:dyDescent="0.2">
      <c r="H973" s="328"/>
    </row>
    <row r="974" spans="8:8" ht="19.5" customHeight="1" x14ac:dyDescent="0.2">
      <c r="H974" s="328"/>
    </row>
    <row r="975" spans="8:8" ht="19.5" customHeight="1" x14ac:dyDescent="0.2">
      <c r="H975" s="328"/>
    </row>
    <row r="976" spans="8:8" ht="19.5" customHeight="1" x14ac:dyDescent="0.2">
      <c r="H976" s="328"/>
    </row>
    <row r="977" spans="8:8" ht="19.5" customHeight="1" x14ac:dyDescent="0.2">
      <c r="H977" s="328"/>
    </row>
    <row r="978" spans="8:8" ht="19.5" customHeight="1" x14ac:dyDescent="0.2">
      <c r="H978" s="328"/>
    </row>
    <row r="979" spans="8:8" ht="19.5" customHeight="1" x14ac:dyDescent="0.2">
      <c r="H979" s="328"/>
    </row>
    <row r="980" spans="8:8" ht="19.5" customHeight="1" x14ac:dyDescent="0.2">
      <c r="H980" s="328"/>
    </row>
    <row r="981" spans="8:8" ht="19.5" customHeight="1" x14ac:dyDescent="0.2">
      <c r="H981" s="328"/>
    </row>
    <row r="982" spans="8:8" ht="19.5" customHeight="1" x14ac:dyDescent="0.2">
      <c r="H982" s="328"/>
    </row>
    <row r="983" spans="8:8" ht="19.5" customHeight="1" x14ac:dyDescent="0.2">
      <c r="H983" s="328"/>
    </row>
    <row r="984" spans="8:8" ht="19.5" customHeight="1" x14ac:dyDescent="0.2">
      <c r="H984" s="328"/>
    </row>
    <row r="985" spans="8:8" ht="19.5" customHeight="1" x14ac:dyDescent="0.2">
      <c r="H985" s="328"/>
    </row>
    <row r="986" spans="8:8" ht="19.5" customHeight="1" x14ac:dyDescent="0.2">
      <c r="H986" s="328"/>
    </row>
    <row r="987" spans="8:8" ht="19.5" customHeight="1" x14ac:dyDescent="0.2">
      <c r="H987" s="328"/>
    </row>
    <row r="988" spans="8:8" ht="19.5" customHeight="1" x14ac:dyDescent="0.2">
      <c r="H988" s="328"/>
    </row>
    <row r="989" spans="8:8" ht="19.5" customHeight="1" x14ac:dyDescent="0.2">
      <c r="H989" s="328"/>
    </row>
    <row r="990" spans="8:8" ht="19.5" customHeight="1" x14ac:dyDescent="0.2">
      <c r="H990" s="328"/>
    </row>
    <row r="991" spans="8:8" ht="19.5" customHeight="1" x14ac:dyDescent="0.2">
      <c r="H991" s="328"/>
    </row>
    <row r="992" spans="8:8" ht="19.5" customHeight="1" x14ac:dyDescent="0.2">
      <c r="H992" s="328"/>
    </row>
    <row r="993" spans="8:8" ht="19.5" customHeight="1" x14ac:dyDescent="0.2">
      <c r="H993" s="328"/>
    </row>
    <row r="994" spans="8:8" ht="19.5" customHeight="1" x14ac:dyDescent="0.2">
      <c r="H994" s="328"/>
    </row>
    <row r="995" spans="8:8" ht="19.5" customHeight="1" x14ac:dyDescent="0.2">
      <c r="H995" s="328"/>
    </row>
    <row r="996" spans="8:8" ht="19.5" customHeight="1" x14ac:dyDescent="0.2">
      <c r="H996" s="328"/>
    </row>
    <row r="997" spans="8:8" ht="19.5" customHeight="1" x14ac:dyDescent="0.2">
      <c r="H997" s="328"/>
    </row>
    <row r="998" spans="8:8" ht="19.5" customHeight="1" x14ac:dyDescent="0.2">
      <c r="H998" s="328"/>
    </row>
    <row r="999" spans="8:8" ht="19.5" customHeight="1" x14ac:dyDescent="0.2">
      <c r="H999" s="328"/>
    </row>
    <row r="1000" spans="8:8" ht="19.5" customHeight="1" x14ac:dyDescent="0.2">
      <c r="H1000" s="328"/>
    </row>
    <row r="1001" spans="8:8" ht="19.5" customHeight="1" x14ac:dyDescent="0.2">
      <c r="H1001" s="328"/>
    </row>
    <row r="1002" spans="8:8" ht="19.5" customHeight="1" x14ac:dyDescent="0.2">
      <c r="H1002" s="328"/>
    </row>
    <row r="1003" spans="8:8" ht="19.5" customHeight="1" x14ac:dyDescent="0.2">
      <c r="H1003" s="328"/>
    </row>
    <row r="1004" spans="8:8" ht="19.5" customHeight="1" x14ac:dyDescent="0.2">
      <c r="H1004" s="328"/>
    </row>
    <row r="1005" spans="8:8" ht="19.5" customHeight="1" x14ac:dyDescent="0.2">
      <c r="H1005" s="328"/>
    </row>
    <row r="1006" spans="8:8" ht="19.5" customHeight="1" x14ac:dyDescent="0.2">
      <c r="H1006" s="328"/>
    </row>
    <row r="1007" spans="8:8" ht="19.5" customHeight="1" x14ac:dyDescent="0.2">
      <c r="H1007" s="328"/>
    </row>
    <row r="1008" spans="8:8" ht="19.5" customHeight="1" x14ac:dyDescent="0.2">
      <c r="H1008" s="328"/>
    </row>
    <row r="1009" spans="8:8" ht="19.5" customHeight="1" x14ac:dyDescent="0.2">
      <c r="H1009" s="328"/>
    </row>
    <row r="1010" spans="8:8" ht="19.5" customHeight="1" x14ac:dyDescent="0.2">
      <c r="H1010" s="328"/>
    </row>
    <row r="1011" spans="8:8" ht="19.5" customHeight="1" x14ac:dyDescent="0.2">
      <c r="H1011" s="328"/>
    </row>
    <row r="1012" spans="8:8" ht="19.5" customHeight="1" x14ac:dyDescent="0.2">
      <c r="H1012" s="328"/>
    </row>
    <row r="1013" spans="8:8" ht="19.5" customHeight="1" x14ac:dyDescent="0.2">
      <c r="H1013" s="328"/>
    </row>
    <row r="1014" spans="8:8" ht="19.5" customHeight="1" x14ac:dyDescent="0.2">
      <c r="H1014" s="328"/>
    </row>
    <row r="1015" spans="8:8" ht="19.5" customHeight="1" x14ac:dyDescent="0.2">
      <c r="H1015" s="328"/>
    </row>
    <row r="1016" spans="8:8" ht="19.5" customHeight="1" x14ac:dyDescent="0.2">
      <c r="H1016" s="328"/>
    </row>
    <row r="1017" spans="8:8" ht="19.5" customHeight="1" x14ac:dyDescent="0.2">
      <c r="H1017" s="328"/>
    </row>
    <row r="1018" spans="8:8" ht="19.5" customHeight="1" x14ac:dyDescent="0.2">
      <c r="H1018" s="328"/>
    </row>
    <row r="1019" spans="8:8" ht="19.5" customHeight="1" x14ac:dyDescent="0.2">
      <c r="H1019" s="328"/>
    </row>
    <row r="1020" spans="8:8" ht="19.5" customHeight="1" x14ac:dyDescent="0.2">
      <c r="H1020" s="328"/>
    </row>
    <row r="1021" spans="8:8" ht="19.5" customHeight="1" x14ac:dyDescent="0.2">
      <c r="H1021" s="328"/>
    </row>
    <row r="1022" spans="8:8" ht="19.5" customHeight="1" x14ac:dyDescent="0.2">
      <c r="H1022" s="328"/>
    </row>
    <row r="1023" spans="8:8" ht="19.5" customHeight="1" x14ac:dyDescent="0.2">
      <c r="H1023" s="328"/>
    </row>
    <row r="1024" spans="8:8" ht="19.5" customHeight="1" x14ac:dyDescent="0.2">
      <c r="H1024" s="328"/>
    </row>
    <row r="1025" spans="8:8" ht="19.5" customHeight="1" x14ac:dyDescent="0.2">
      <c r="H1025" s="328"/>
    </row>
    <row r="1026" spans="8:8" ht="19.5" customHeight="1" x14ac:dyDescent="0.2">
      <c r="H1026" s="328"/>
    </row>
    <row r="1027" spans="8:8" ht="19.5" customHeight="1" x14ac:dyDescent="0.2">
      <c r="H1027" s="328"/>
    </row>
    <row r="1028" spans="8:8" ht="19.5" customHeight="1" x14ac:dyDescent="0.2">
      <c r="H1028" s="328"/>
    </row>
    <row r="1029" spans="8:8" ht="19.5" customHeight="1" x14ac:dyDescent="0.2">
      <c r="H1029" s="328"/>
    </row>
    <row r="1030" spans="8:8" ht="19.5" customHeight="1" x14ac:dyDescent="0.2">
      <c r="H1030" s="328"/>
    </row>
    <row r="1031" spans="8:8" ht="19.5" customHeight="1" x14ac:dyDescent="0.2">
      <c r="H1031" s="328"/>
    </row>
    <row r="1032" spans="8:8" ht="19.5" customHeight="1" x14ac:dyDescent="0.2">
      <c r="H1032" s="328"/>
    </row>
    <row r="1033" spans="8:8" ht="19.5" customHeight="1" x14ac:dyDescent="0.2">
      <c r="H1033" s="328"/>
    </row>
    <row r="1034" spans="8:8" ht="19.5" customHeight="1" x14ac:dyDescent="0.2">
      <c r="H1034" s="328"/>
    </row>
    <row r="1035" spans="8:8" ht="19.5" customHeight="1" x14ac:dyDescent="0.2">
      <c r="H1035" s="328"/>
    </row>
    <row r="1036" spans="8:8" ht="19.5" customHeight="1" x14ac:dyDescent="0.2">
      <c r="H1036" s="328"/>
    </row>
    <row r="1037" spans="8:8" ht="19.5" customHeight="1" x14ac:dyDescent="0.2">
      <c r="H1037" s="328"/>
    </row>
    <row r="1038" spans="8:8" ht="19.5" customHeight="1" x14ac:dyDescent="0.2">
      <c r="H1038" s="328"/>
    </row>
    <row r="1039" spans="8:8" ht="19.5" customHeight="1" x14ac:dyDescent="0.2">
      <c r="H1039" s="328"/>
    </row>
    <row r="1040" spans="8:8" ht="19.5" customHeight="1" x14ac:dyDescent="0.2">
      <c r="H1040" s="328"/>
    </row>
    <row r="1041" spans="8:8" ht="19.5" customHeight="1" x14ac:dyDescent="0.2">
      <c r="H1041" s="328"/>
    </row>
    <row r="1042" spans="8:8" ht="19.5" customHeight="1" x14ac:dyDescent="0.2">
      <c r="H1042" s="328"/>
    </row>
    <row r="1043" spans="8:8" ht="19.5" customHeight="1" x14ac:dyDescent="0.2">
      <c r="H1043" s="328"/>
    </row>
    <row r="1044" spans="8:8" ht="19.5" customHeight="1" x14ac:dyDescent="0.2">
      <c r="H1044" s="328"/>
    </row>
    <row r="1045" spans="8:8" ht="19.5" customHeight="1" x14ac:dyDescent="0.2">
      <c r="H1045" s="328"/>
    </row>
    <row r="1046" spans="8:8" ht="19.5" customHeight="1" x14ac:dyDescent="0.2">
      <c r="H1046" s="328"/>
    </row>
    <row r="1047" spans="8:8" ht="19.5" customHeight="1" x14ac:dyDescent="0.2">
      <c r="H1047" s="328"/>
    </row>
    <row r="1048" spans="8:8" ht="19.5" customHeight="1" x14ac:dyDescent="0.2">
      <c r="H1048" s="328"/>
    </row>
    <row r="1049" spans="8:8" ht="19.5" customHeight="1" x14ac:dyDescent="0.2">
      <c r="H1049" s="328"/>
    </row>
    <row r="1050" spans="8:8" ht="19.5" customHeight="1" x14ac:dyDescent="0.2">
      <c r="H1050" s="328"/>
    </row>
    <row r="1051" spans="8:8" ht="19.5" customHeight="1" x14ac:dyDescent="0.2">
      <c r="H1051" s="328"/>
    </row>
    <row r="1052" spans="8:8" ht="19.5" customHeight="1" x14ac:dyDescent="0.2">
      <c r="H1052" s="328"/>
    </row>
    <row r="1053" spans="8:8" ht="19.5" customHeight="1" x14ac:dyDescent="0.2">
      <c r="H1053" s="328"/>
    </row>
    <row r="1054" spans="8:8" ht="19.5" customHeight="1" x14ac:dyDescent="0.2">
      <c r="H1054" s="328"/>
    </row>
    <row r="1055" spans="8:8" ht="19.5" customHeight="1" x14ac:dyDescent="0.2">
      <c r="H1055" s="328"/>
    </row>
    <row r="1056" spans="8:8" ht="19.5" customHeight="1" x14ac:dyDescent="0.2">
      <c r="H1056" s="328"/>
    </row>
    <row r="1057" spans="8:8" ht="19.5" customHeight="1" x14ac:dyDescent="0.2">
      <c r="H1057" s="328"/>
    </row>
    <row r="1058" spans="8:8" ht="19.5" customHeight="1" x14ac:dyDescent="0.2">
      <c r="H1058" s="328"/>
    </row>
    <row r="1059" spans="8:8" ht="19.5" customHeight="1" x14ac:dyDescent="0.2">
      <c r="H1059" s="328"/>
    </row>
    <row r="1060" spans="8:8" ht="19.5" customHeight="1" x14ac:dyDescent="0.2">
      <c r="H1060" s="328"/>
    </row>
    <row r="1061" spans="8:8" ht="19.5" customHeight="1" x14ac:dyDescent="0.2">
      <c r="H1061" s="328"/>
    </row>
    <row r="1062" spans="8:8" ht="19.5" customHeight="1" x14ac:dyDescent="0.2">
      <c r="H1062" s="328"/>
    </row>
    <row r="1063" spans="8:8" ht="19.5" customHeight="1" x14ac:dyDescent="0.2">
      <c r="H1063" s="328"/>
    </row>
    <row r="1064" spans="8:8" ht="19.5" customHeight="1" x14ac:dyDescent="0.2">
      <c r="H1064" s="328"/>
    </row>
    <row r="1065" spans="8:8" ht="19.5" customHeight="1" x14ac:dyDescent="0.2">
      <c r="H1065" s="328"/>
    </row>
    <row r="1066" spans="8:8" ht="19.5" customHeight="1" x14ac:dyDescent="0.2">
      <c r="H1066" s="328"/>
    </row>
    <row r="1067" spans="8:8" ht="19.5" customHeight="1" x14ac:dyDescent="0.2">
      <c r="H1067" s="328"/>
    </row>
    <row r="1068" spans="8:8" ht="19.5" customHeight="1" x14ac:dyDescent="0.2">
      <c r="H1068" s="328"/>
    </row>
    <row r="1069" spans="8:8" ht="19.5" customHeight="1" x14ac:dyDescent="0.2">
      <c r="H1069" s="328"/>
    </row>
    <row r="1070" spans="8:8" ht="19.5" customHeight="1" x14ac:dyDescent="0.2">
      <c r="H1070" s="328"/>
    </row>
    <row r="1071" spans="8:8" ht="19.5" customHeight="1" x14ac:dyDescent="0.2">
      <c r="H1071" s="328"/>
    </row>
    <row r="1072" spans="8:8" ht="19.5" customHeight="1" x14ac:dyDescent="0.2">
      <c r="H1072" s="328"/>
    </row>
    <row r="1073" spans="8:8" ht="19.5" customHeight="1" x14ac:dyDescent="0.2">
      <c r="H1073" s="328"/>
    </row>
    <row r="1074" spans="8:8" ht="19.5" customHeight="1" x14ac:dyDescent="0.2">
      <c r="H1074" s="328"/>
    </row>
    <row r="1075" spans="8:8" ht="19.5" customHeight="1" x14ac:dyDescent="0.2">
      <c r="H1075" s="328"/>
    </row>
    <row r="1076" spans="8:8" ht="19.5" customHeight="1" x14ac:dyDescent="0.2">
      <c r="H1076" s="328"/>
    </row>
    <row r="1077" spans="8:8" ht="19.5" customHeight="1" x14ac:dyDescent="0.2">
      <c r="H1077" s="328"/>
    </row>
    <row r="1078" spans="8:8" ht="19.5" customHeight="1" x14ac:dyDescent="0.2">
      <c r="H1078" s="328"/>
    </row>
    <row r="1079" spans="8:8" ht="19.5" customHeight="1" x14ac:dyDescent="0.2">
      <c r="H1079" s="328"/>
    </row>
    <row r="1080" spans="8:8" ht="19.5" customHeight="1" x14ac:dyDescent="0.2">
      <c r="H1080" s="328"/>
    </row>
    <row r="1081" spans="8:8" ht="19.5" customHeight="1" x14ac:dyDescent="0.2">
      <c r="H1081" s="328"/>
    </row>
    <row r="1082" spans="8:8" ht="19.5" customHeight="1" x14ac:dyDescent="0.2">
      <c r="H1082" s="328"/>
    </row>
    <row r="1083" spans="8:8" ht="19.5" customHeight="1" x14ac:dyDescent="0.2">
      <c r="H1083" s="328"/>
    </row>
    <row r="1084" spans="8:8" ht="19.5" customHeight="1" x14ac:dyDescent="0.2">
      <c r="H1084" s="328"/>
    </row>
    <row r="1085" spans="8:8" ht="19.5" customHeight="1" x14ac:dyDescent="0.2">
      <c r="H1085" s="328"/>
    </row>
    <row r="1086" spans="8:8" ht="19.5" customHeight="1" x14ac:dyDescent="0.2">
      <c r="H1086" s="328"/>
    </row>
    <row r="1087" spans="8:8" ht="19.5" customHeight="1" x14ac:dyDescent="0.2">
      <c r="H1087" s="328"/>
    </row>
    <row r="1088" spans="8:8" ht="19.5" customHeight="1" x14ac:dyDescent="0.2">
      <c r="H1088" s="328"/>
    </row>
    <row r="1089" spans="8:8" ht="19.5" customHeight="1" x14ac:dyDescent="0.2">
      <c r="H1089" s="328"/>
    </row>
    <row r="1090" spans="8:8" ht="19.5" customHeight="1" x14ac:dyDescent="0.2">
      <c r="H1090" s="328"/>
    </row>
    <row r="1091" spans="8:8" ht="19.5" customHeight="1" x14ac:dyDescent="0.2">
      <c r="H1091" s="328"/>
    </row>
    <row r="1092" spans="8:8" ht="19.5" customHeight="1" x14ac:dyDescent="0.2">
      <c r="H1092" s="328"/>
    </row>
    <row r="1093" spans="8:8" ht="19.5" customHeight="1" x14ac:dyDescent="0.2">
      <c r="H1093" s="328"/>
    </row>
    <row r="1094" spans="8:8" ht="19.5" customHeight="1" x14ac:dyDescent="0.2">
      <c r="H1094" s="328"/>
    </row>
    <row r="1095" spans="8:8" ht="19.5" customHeight="1" x14ac:dyDescent="0.2">
      <c r="H1095" s="328"/>
    </row>
  </sheetData>
  <conditionalFormatting sqref="D8:D19">
    <cfRule type="duplicateValues" dxfId="54" priority="1548"/>
  </conditionalFormatting>
  <conditionalFormatting sqref="D20:D1048576 D1:D3 D5:D7">
    <cfRule type="duplicateValues" dxfId="53" priority="2969"/>
  </conditionalFormatting>
  <conditionalFormatting sqref="G1:G1048576">
    <cfRule type="duplicateValues" dxfId="52" priority="1"/>
  </conditionalFormatting>
  <conditionalFormatting sqref="G3">
    <cfRule type="duplicateValues" dxfId="51" priority="6"/>
  </conditionalFormatting>
  <conditionalFormatting sqref="G4:G19">
    <cfRule type="duplicateValues" dxfId="50" priority="2989"/>
  </conditionalFormatting>
  <conditionalFormatting sqref="G20:G21">
    <cfRule type="duplicateValues" dxfId="49" priority="5"/>
  </conditionalFormatting>
  <conditionalFormatting sqref="G22:G1048576 G1:G2">
    <cfRule type="duplicateValues" dxfId="48" priority="2974"/>
  </conditionalFormatting>
  <conditionalFormatting sqref="H22:H1095">
    <cfRule type="duplicateValues" dxfId="47" priority="2"/>
  </conditionalFormatting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B1:T42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M37" sqref="M37"/>
    </sheetView>
  </sheetViews>
  <sheetFormatPr defaultColWidth="11.42578125" defaultRowHeight="24.95" customHeight="1" x14ac:dyDescent="0.25"/>
  <cols>
    <col min="1" max="1" width="2" style="194" customWidth="1"/>
    <col min="2" max="2" width="7.7109375" style="189" customWidth="1"/>
    <col min="3" max="21" width="6.7109375" style="194" customWidth="1"/>
    <col min="22" max="22" width="5.7109375" style="194" customWidth="1"/>
    <col min="23" max="16384" width="11.42578125" style="194"/>
  </cols>
  <sheetData>
    <row r="1" spans="2:20" s="189" customFormat="1" ht="24.95" customHeight="1" x14ac:dyDescent="0.25">
      <c r="C1" s="190" t="s">
        <v>153</v>
      </c>
      <c r="D1" s="190" t="s">
        <v>154</v>
      </c>
      <c r="E1" s="190" t="s">
        <v>155</v>
      </c>
      <c r="F1" s="190" t="s">
        <v>156</v>
      </c>
      <c r="G1" s="190" t="s">
        <v>157</v>
      </c>
      <c r="H1" s="190" t="s">
        <v>158</v>
      </c>
      <c r="I1" s="190" t="s">
        <v>159</v>
      </c>
      <c r="J1" s="190" t="s">
        <v>160</v>
      </c>
      <c r="K1" s="190" t="s">
        <v>161</v>
      </c>
      <c r="L1" s="190" t="s">
        <v>162</v>
      </c>
      <c r="M1" s="190" t="s">
        <v>163</v>
      </c>
      <c r="N1" s="190" t="s">
        <v>164</v>
      </c>
      <c r="O1" s="190" t="s">
        <v>165</v>
      </c>
      <c r="P1" s="190" t="s">
        <v>166</v>
      </c>
      <c r="Q1" s="190" t="s">
        <v>167</v>
      </c>
      <c r="R1" s="190" t="s">
        <v>168</v>
      </c>
      <c r="S1" s="190" t="s">
        <v>169</v>
      </c>
      <c r="T1" s="190" t="s">
        <v>170</v>
      </c>
    </row>
    <row r="2" spans="2:20" ht="24.95" customHeight="1" x14ac:dyDescent="0.25">
      <c r="B2" s="191">
        <v>44410</v>
      </c>
      <c r="C2" s="192"/>
      <c r="D2" s="192"/>
      <c r="E2" s="192"/>
      <c r="F2" s="193" t="s">
        <v>171</v>
      </c>
      <c r="G2" s="192"/>
      <c r="H2" s="193" t="s">
        <v>171</v>
      </c>
      <c r="I2" s="192"/>
      <c r="J2" s="192"/>
      <c r="K2" s="192"/>
      <c r="L2" s="192"/>
      <c r="M2" s="192"/>
      <c r="N2" s="192"/>
      <c r="O2" s="192"/>
      <c r="P2" s="192"/>
      <c r="Q2" s="193" t="s">
        <v>171</v>
      </c>
      <c r="R2" s="192"/>
      <c r="S2" s="192"/>
      <c r="T2" s="192"/>
    </row>
    <row r="3" spans="2:20" ht="24.95" customHeight="1" x14ac:dyDescent="0.25">
      <c r="B3" s="191">
        <v>44411</v>
      </c>
      <c r="C3" s="193"/>
      <c r="D3" s="195" t="s">
        <v>172</v>
      </c>
      <c r="E3" s="193"/>
      <c r="F3" s="193"/>
      <c r="G3" s="193"/>
      <c r="H3" s="193"/>
      <c r="I3" s="193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</row>
    <row r="4" spans="2:20" ht="24.95" customHeight="1" x14ac:dyDescent="0.25">
      <c r="B4" s="191">
        <v>44412</v>
      </c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5" t="s">
        <v>172</v>
      </c>
      <c r="N4" s="193"/>
      <c r="O4" s="193"/>
      <c r="P4" s="193"/>
      <c r="Q4" s="193"/>
      <c r="R4" s="193"/>
      <c r="S4" s="193"/>
      <c r="T4" s="193"/>
    </row>
    <row r="5" spans="2:20" ht="24.95" customHeight="1" x14ac:dyDescent="0.25">
      <c r="B5" s="191">
        <v>44413</v>
      </c>
      <c r="C5" s="193"/>
      <c r="D5" s="193"/>
      <c r="E5" s="193"/>
      <c r="F5" s="193"/>
      <c r="G5" s="193"/>
      <c r="H5" s="193"/>
      <c r="I5" s="193"/>
      <c r="J5" s="193"/>
      <c r="K5" s="193"/>
      <c r="L5" s="193"/>
      <c r="M5" s="193"/>
      <c r="N5" s="193"/>
      <c r="O5" s="195" t="s">
        <v>172</v>
      </c>
      <c r="P5" s="193"/>
      <c r="Q5" s="193"/>
      <c r="R5" s="193"/>
      <c r="S5" s="193"/>
      <c r="T5" s="193"/>
    </row>
    <row r="6" spans="2:20" ht="24.95" customHeight="1" x14ac:dyDescent="0.25">
      <c r="B6" s="191">
        <v>44414</v>
      </c>
      <c r="C6" s="195" t="s">
        <v>172</v>
      </c>
      <c r="D6" s="193"/>
      <c r="E6" s="195" t="s">
        <v>172</v>
      </c>
      <c r="F6" s="193"/>
      <c r="G6" s="193"/>
      <c r="H6" s="193"/>
      <c r="I6" s="193"/>
      <c r="J6" s="193"/>
      <c r="K6" s="195" t="s">
        <v>172</v>
      </c>
      <c r="L6" s="193"/>
      <c r="M6" s="193"/>
      <c r="N6" s="193"/>
      <c r="O6" s="193"/>
      <c r="P6" s="193"/>
      <c r="Q6" s="195" t="s">
        <v>172</v>
      </c>
      <c r="R6" s="193"/>
      <c r="S6" s="193"/>
      <c r="T6" s="193"/>
    </row>
    <row r="7" spans="2:20" ht="24.95" customHeight="1" x14ac:dyDescent="0.25">
      <c r="B7" s="191">
        <v>44415</v>
      </c>
      <c r="C7" s="193"/>
      <c r="D7" s="193"/>
      <c r="E7" s="193"/>
      <c r="F7" s="193"/>
      <c r="G7" s="193"/>
      <c r="H7" s="195" t="s">
        <v>172</v>
      </c>
      <c r="I7" s="193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</row>
    <row r="8" spans="2:20" ht="7.5" customHeight="1" x14ac:dyDescent="0.25">
      <c r="B8" s="196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  <c r="R8" s="195"/>
      <c r="S8" s="195"/>
      <c r="T8" s="195"/>
    </row>
    <row r="9" spans="2:20" ht="24.95" customHeight="1" x14ac:dyDescent="0.25">
      <c r="B9" s="191">
        <v>44417</v>
      </c>
      <c r="C9" s="193"/>
      <c r="D9" s="193"/>
      <c r="E9" s="193"/>
      <c r="F9" s="193"/>
      <c r="G9" s="193"/>
      <c r="H9" s="193"/>
      <c r="I9" s="193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</row>
    <row r="10" spans="2:20" ht="24.95" customHeight="1" x14ac:dyDescent="0.25">
      <c r="B10" s="191">
        <v>44418</v>
      </c>
      <c r="C10" s="193"/>
      <c r="D10" s="193"/>
      <c r="E10" s="193"/>
      <c r="F10" s="193"/>
      <c r="G10" s="193"/>
      <c r="H10" s="193"/>
      <c r="I10" s="193"/>
      <c r="J10" s="193"/>
      <c r="K10" s="193"/>
      <c r="L10" s="193"/>
      <c r="M10" s="193"/>
      <c r="N10" s="193"/>
      <c r="O10" s="193"/>
      <c r="P10" s="193"/>
      <c r="Q10" s="193"/>
      <c r="R10" s="195" t="s">
        <v>172</v>
      </c>
      <c r="S10" s="193"/>
      <c r="T10" s="193"/>
    </row>
    <row r="11" spans="2:20" ht="24.95" customHeight="1" x14ac:dyDescent="0.25">
      <c r="B11" s="191">
        <v>44419</v>
      </c>
      <c r="C11" s="193"/>
      <c r="D11" s="193"/>
      <c r="E11" s="193"/>
      <c r="F11" s="193"/>
      <c r="G11" s="193"/>
      <c r="H11" s="193"/>
      <c r="I11" s="193"/>
      <c r="J11" s="193"/>
      <c r="K11" s="195" t="s">
        <v>172</v>
      </c>
      <c r="L11" s="193"/>
      <c r="M11" s="193"/>
      <c r="N11" s="193"/>
      <c r="O11" s="193"/>
      <c r="P11" s="193"/>
      <c r="Q11" s="193"/>
      <c r="R11" s="193"/>
      <c r="S11" s="193"/>
      <c r="T11" s="193"/>
    </row>
    <row r="12" spans="2:20" ht="24.95" customHeight="1" x14ac:dyDescent="0.25">
      <c r="B12" s="191">
        <v>44420</v>
      </c>
      <c r="C12" s="193"/>
      <c r="D12" s="193"/>
      <c r="E12" s="193"/>
      <c r="F12" s="193"/>
      <c r="G12" s="193"/>
      <c r="H12" s="193"/>
      <c r="I12" s="193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</row>
    <row r="13" spans="2:20" ht="24.95" customHeight="1" x14ac:dyDescent="0.25">
      <c r="B13" s="191">
        <v>44421</v>
      </c>
      <c r="C13" s="193"/>
      <c r="D13" s="193"/>
      <c r="E13" s="193"/>
      <c r="F13" s="193"/>
      <c r="G13" s="193"/>
      <c r="H13" s="193"/>
      <c r="I13" s="193"/>
      <c r="J13" s="193"/>
      <c r="K13" s="193"/>
      <c r="L13" s="193"/>
      <c r="M13" s="193"/>
      <c r="N13" s="195" t="s">
        <v>172</v>
      </c>
      <c r="O13" s="193"/>
      <c r="P13" s="193"/>
      <c r="Q13" s="193"/>
      <c r="R13" s="193"/>
      <c r="S13" s="195" t="s">
        <v>172</v>
      </c>
      <c r="T13" s="195" t="s">
        <v>172</v>
      </c>
    </row>
    <row r="14" spans="2:20" ht="24.95" customHeight="1" x14ac:dyDescent="0.25">
      <c r="B14" s="191">
        <v>44422</v>
      </c>
      <c r="C14" s="193"/>
      <c r="D14" s="193"/>
      <c r="E14" s="193"/>
      <c r="F14" s="193"/>
      <c r="G14" s="193"/>
      <c r="H14" s="193"/>
      <c r="I14" s="193"/>
      <c r="J14" s="193"/>
      <c r="K14" s="195" t="s">
        <v>172</v>
      </c>
      <c r="L14" s="195" t="s">
        <v>172</v>
      </c>
      <c r="M14" s="193"/>
      <c r="N14" s="193"/>
      <c r="O14" s="193"/>
      <c r="P14" s="193"/>
      <c r="Q14" s="193"/>
      <c r="R14" s="193"/>
      <c r="S14" s="193"/>
      <c r="T14" s="193"/>
    </row>
    <row r="15" spans="2:20" ht="7.5" customHeight="1" x14ac:dyDescent="0.25">
      <c r="B15" s="196"/>
      <c r="C15" s="195"/>
      <c r="D15" s="195"/>
      <c r="E15" s="195"/>
      <c r="F15" s="195"/>
      <c r="G15" s="195"/>
      <c r="H15" s="195"/>
      <c r="I15" s="195"/>
      <c r="J15" s="195"/>
      <c r="K15" s="195"/>
      <c r="L15" s="195"/>
      <c r="M15" s="195"/>
      <c r="N15" s="195"/>
      <c r="O15" s="195"/>
      <c r="P15" s="195"/>
      <c r="Q15" s="195"/>
      <c r="R15" s="195"/>
      <c r="S15" s="195"/>
      <c r="T15" s="195"/>
    </row>
    <row r="16" spans="2:20" ht="24.95" customHeight="1" x14ac:dyDescent="0.25">
      <c r="B16" s="191">
        <v>44424</v>
      </c>
      <c r="C16" s="193"/>
      <c r="D16" s="193"/>
      <c r="E16" s="193"/>
      <c r="F16" s="193"/>
      <c r="G16" s="193"/>
      <c r="H16" s="193"/>
      <c r="I16" s="193"/>
      <c r="J16" s="193"/>
      <c r="K16" s="193"/>
      <c r="L16" s="193"/>
      <c r="M16" s="195" t="s">
        <v>172</v>
      </c>
      <c r="N16" s="193"/>
      <c r="O16" s="193"/>
      <c r="P16" s="193"/>
      <c r="Q16" s="193"/>
      <c r="R16" s="193"/>
      <c r="S16" s="193"/>
      <c r="T16" s="193"/>
    </row>
    <row r="17" spans="2:20" ht="24.95" customHeight="1" x14ac:dyDescent="0.25">
      <c r="B17" s="191">
        <v>44425</v>
      </c>
      <c r="C17" s="193"/>
      <c r="D17" s="193"/>
      <c r="E17" s="193"/>
      <c r="F17" s="193"/>
      <c r="G17" s="193"/>
      <c r="H17" s="193"/>
      <c r="I17" s="193"/>
      <c r="J17" s="193"/>
      <c r="K17" s="195" t="s">
        <v>172</v>
      </c>
      <c r="L17" s="193"/>
      <c r="M17" s="193"/>
      <c r="N17" s="193"/>
      <c r="O17" s="193"/>
      <c r="P17" s="193"/>
      <c r="Q17" s="193"/>
      <c r="R17" s="193"/>
      <c r="S17" s="193"/>
      <c r="T17" s="193"/>
    </row>
    <row r="18" spans="2:20" ht="24.95" customHeight="1" x14ac:dyDescent="0.25">
      <c r="B18" s="191">
        <v>44426</v>
      </c>
      <c r="C18" s="193"/>
      <c r="D18" s="193"/>
      <c r="E18" s="193"/>
      <c r="F18" s="193"/>
      <c r="G18" s="193"/>
      <c r="H18" s="193"/>
      <c r="I18" s="193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</row>
    <row r="19" spans="2:20" ht="24.95" customHeight="1" x14ac:dyDescent="0.25">
      <c r="B19" s="191">
        <v>44427</v>
      </c>
      <c r="C19" s="193"/>
      <c r="D19" s="193"/>
      <c r="E19" s="193"/>
      <c r="F19" s="193"/>
      <c r="G19" s="195" t="s">
        <v>172</v>
      </c>
      <c r="H19" s="193"/>
      <c r="I19" s="193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</row>
    <row r="20" spans="2:20" ht="24.95" customHeight="1" x14ac:dyDescent="0.25">
      <c r="B20" s="191">
        <v>44428</v>
      </c>
      <c r="C20" s="193"/>
      <c r="D20" s="193"/>
      <c r="E20" s="193"/>
      <c r="F20" s="193"/>
      <c r="G20" s="193"/>
      <c r="H20" s="193"/>
      <c r="I20" s="195" t="s">
        <v>172</v>
      </c>
      <c r="J20" s="195" t="s">
        <v>172</v>
      </c>
      <c r="K20" s="193"/>
      <c r="L20" s="193"/>
      <c r="M20" s="193"/>
      <c r="N20" s="193"/>
      <c r="O20" s="193"/>
      <c r="P20" s="193"/>
      <c r="Q20" s="193"/>
      <c r="R20" s="193"/>
      <c r="S20" s="193"/>
      <c r="T20" s="193"/>
    </row>
    <row r="21" spans="2:20" ht="24.95" customHeight="1" x14ac:dyDescent="0.25">
      <c r="B21" s="191">
        <v>44429</v>
      </c>
      <c r="C21" s="193"/>
      <c r="D21" s="193"/>
      <c r="E21" s="193"/>
      <c r="F21" s="193"/>
      <c r="G21" s="193"/>
      <c r="H21" s="193"/>
      <c r="I21" s="193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</row>
    <row r="22" spans="2:20" ht="7.5" customHeight="1" x14ac:dyDescent="0.25">
      <c r="B22" s="196"/>
      <c r="C22" s="195"/>
      <c r="D22" s="195"/>
      <c r="E22" s="195"/>
      <c r="F22" s="195"/>
      <c r="G22" s="195"/>
      <c r="H22" s="195"/>
      <c r="I22" s="195"/>
      <c r="J22" s="195"/>
      <c r="K22" s="195"/>
      <c r="L22" s="195"/>
      <c r="M22" s="195"/>
      <c r="N22" s="195"/>
      <c r="O22" s="195"/>
      <c r="P22" s="195"/>
      <c r="Q22" s="195"/>
      <c r="R22" s="195"/>
      <c r="S22" s="195"/>
      <c r="T22" s="195"/>
    </row>
    <row r="23" spans="2:20" ht="24.95" customHeight="1" x14ac:dyDescent="0.25">
      <c r="B23" s="191">
        <v>44431</v>
      </c>
      <c r="C23" s="193"/>
      <c r="D23" s="193"/>
      <c r="E23" s="193"/>
      <c r="F23" s="193"/>
      <c r="G23" s="195" t="s">
        <v>172</v>
      </c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</row>
    <row r="24" spans="2:20" ht="24.95" customHeight="1" x14ac:dyDescent="0.25">
      <c r="B24" s="191">
        <v>44432</v>
      </c>
      <c r="C24" s="193"/>
      <c r="D24" s="193"/>
      <c r="E24" s="193"/>
      <c r="F24" s="193"/>
      <c r="G24" s="193"/>
      <c r="H24" s="193"/>
      <c r="I24" s="193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</row>
    <row r="25" spans="2:20" ht="24.95" customHeight="1" x14ac:dyDescent="0.25">
      <c r="B25" s="191">
        <v>44433</v>
      </c>
      <c r="C25" s="193"/>
      <c r="D25" s="193"/>
      <c r="E25" s="193"/>
      <c r="F25" s="193"/>
      <c r="G25" s="193"/>
      <c r="H25" s="193"/>
      <c r="I25" s="193"/>
      <c r="J25" s="193"/>
      <c r="K25" s="195" t="s">
        <v>172</v>
      </c>
      <c r="L25" s="193"/>
      <c r="M25" s="193"/>
      <c r="N25" s="193"/>
      <c r="O25" s="193"/>
      <c r="P25" s="193"/>
      <c r="Q25" s="193"/>
      <c r="R25" s="193"/>
      <c r="S25" s="193"/>
      <c r="T25" s="193"/>
    </row>
    <row r="26" spans="2:20" ht="24.95" customHeight="1" x14ac:dyDescent="0.25">
      <c r="B26" s="191">
        <v>44434</v>
      </c>
      <c r="C26" s="195" t="s">
        <v>172</v>
      </c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5" t="s">
        <v>172</v>
      </c>
      <c r="Q26" s="193"/>
      <c r="R26" s="193"/>
      <c r="S26" s="195" t="s">
        <v>172</v>
      </c>
      <c r="T26" s="193"/>
    </row>
    <row r="27" spans="2:20" ht="24.95" customHeight="1" x14ac:dyDescent="0.25">
      <c r="B27" s="191">
        <v>44435</v>
      </c>
      <c r="C27" s="193"/>
      <c r="D27" s="193"/>
      <c r="E27" s="193"/>
      <c r="F27" s="193"/>
      <c r="G27" s="193"/>
      <c r="H27" s="193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5" t="s">
        <v>172</v>
      </c>
    </row>
    <row r="28" spans="2:20" ht="24.95" customHeight="1" x14ac:dyDescent="0.25">
      <c r="B28" s="191">
        <v>44436</v>
      </c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5" t="s">
        <v>172</v>
      </c>
      <c r="O28" s="193"/>
      <c r="P28" s="193"/>
      <c r="Q28" s="193"/>
      <c r="R28" s="193"/>
      <c r="S28" s="193"/>
      <c r="T28" s="193"/>
    </row>
    <row r="29" spans="2:20" ht="7.5" customHeight="1" x14ac:dyDescent="0.25">
      <c r="B29" s="196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</row>
    <row r="30" spans="2:20" ht="24.95" customHeight="1" x14ac:dyDescent="0.25">
      <c r="B30" s="191">
        <v>44438</v>
      </c>
      <c r="C30" s="193"/>
      <c r="D30" s="193"/>
      <c r="E30" s="193"/>
      <c r="F30" s="193"/>
      <c r="G30" s="193"/>
      <c r="H30" s="193"/>
      <c r="I30" s="193"/>
      <c r="J30" s="193"/>
      <c r="K30" s="193"/>
      <c r="L30" s="195" t="s">
        <v>172</v>
      </c>
      <c r="M30" s="193"/>
      <c r="N30" s="193"/>
      <c r="O30" s="193"/>
      <c r="P30" s="193"/>
      <c r="Q30" s="193"/>
      <c r="R30" s="193"/>
      <c r="S30" s="193"/>
      <c r="T30" s="193"/>
    </row>
    <row r="31" spans="2:20" ht="24.95" customHeight="1" x14ac:dyDescent="0.25">
      <c r="B31" s="191">
        <v>44439</v>
      </c>
      <c r="C31" s="193"/>
      <c r="D31" s="195" t="s">
        <v>172</v>
      </c>
      <c r="E31" s="195" t="s">
        <v>172</v>
      </c>
      <c r="F31" s="193"/>
      <c r="G31" s="193"/>
      <c r="H31" s="193"/>
      <c r="I31" s="193"/>
      <c r="J31" s="193"/>
      <c r="K31" s="193"/>
      <c r="L31" s="193"/>
      <c r="M31" s="195" t="s">
        <v>172</v>
      </c>
      <c r="N31" s="193"/>
      <c r="O31" s="193"/>
      <c r="P31" s="193"/>
      <c r="Q31" s="193"/>
      <c r="R31" s="195" t="s">
        <v>172</v>
      </c>
      <c r="S31" s="193"/>
      <c r="T31" s="193"/>
    </row>
    <row r="32" spans="2:20" ht="24.95" customHeight="1" x14ac:dyDescent="0.25">
      <c r="B32" s="191">
        <v>44440</v>
      </c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</row>
    <row r="33" spans="2:20" ht="24.95" customHeight="1" x14ac:dyDescent="0.25">
      <c r="B33" s="191">
        <v>44441</v>
      </c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</row>
    <row r="34" spans="2:20" ht="24.95" customHeight="1" x14ac:dyDescent="0.25">
      <c r="B34" s="191">
        <v>44442</v>
      </c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</row>
    <row r="35" spans="2:20" ht="24.95" customHeight="1" x14ac:dyDescent="0.25">
      <c r="B35" s="191">
        <v>44443</v>
      </c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</row>
    <row r="36" spans="2:20" ht="24.95" customHeight="1" x14ac:dyDescent="0.25">
      <c r="B36" s="191">
        <v>44444</v>
      </c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</row>
    <row r="37" spans="2:20" ht="24.95" customHeight="1" x14ac:dyDescent="0.25">
      <c r="B37" s="191">
        <v>44445</v>
      </c>
      <c r="C37" s="193"/>
      <c r="D37" s="193"/>
      <c r="E37" s="193"/>
      <c r="F37" s="193"/>
      <c r="G37" s="193"/>
      <c r="H37" s="193"/>
      <c r="I37" s="193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</row>
    <row r="38" spans="2:20" ht="24.95" customHeight="1" x14ac:dyDescent="0.25">
      <c r="B38" s="191">
        <v>44446</v>
      </c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</row>
    <row r="39" spans="2:20" ht="24.95" customHeight="1" x14ac:dyDescent="0.25">
      <c r="B39" s="191">
        <v>44447</v>
      </c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</row>
    <row r="40" spans="2:20" ht="24.95" customHeight="1" x14ac:dyDescent="0.25">
      <c r="B40" s="191">
        <v>44448</v>
      </c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</row>
    <row r="41" spans="2:20" ht="24.95" customHeight="1" x14ac:dyDescent="0.25">
      <c r="B41" s="191">
        <v>44449</v>
      </c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</row>
    <row r="42" spans="2:20" ht="24.95" customHeight="1" x14ac:dyDescent="0.25">
      <c r="B42" s="191">
        <v>44450</v>
      </c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</row>
  </sheetData>
  <printOptions horizontalCentered="1" verticalCentered="1"/>
  <pageMargins left="0" right="0" top="0" bottom="0.39370078740157483" header="0" footer="0"/>
  <pageSetup paperSize="9" scale="77" orientation="portrait"/>
  <headerFooter>
    <oddFooter>&amp;L&amp;F&amp;C&amp;A&amp;R&amp;D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29</vt:i4>
      </vt:variant>
    </vt:vector>
  </HeadingPairs>
  <TitlesOfParts>
    <vt:vector size="62" baseType="lpstr">
      <vt:lpstr>x</vt:lpstr>
      <vt:lpstr>FF</vt:lpstr>
      <vt:lpstr>02-04-2022</vt:lpstr>
      <vt:lpstr>25-04-2022 (Simulation)</vt:lpstr>
      <vt:lpstr>13-08-2022 (2)</vt:lpstr>
      <vt:lpstr>23-08-2022 (2)</vt:lpstr>
      <vt:lpstr>Garys</vt:lpstr>
      <vt:lpstr>Manque en pcs</vt:lpstr>
      <vt:lpstr>Feuil1</vt:lpstr>
      <vt:lpstr>01-01-2026</vt:lpstr>
      <vt:lpstr>Summary %</vt:lpstr>
      <vt:lpstr>02-01-2026</vt:lpstr>
      <vt:lpstr>03-01-2026</vt:lpstr>
      <vt:lpstr>05-01-2026</vt:lpstr>
      <vt:lpstr>06-01-2026</vt:lpstr>
      <vt:lpstr>07-01-2026</vt:lpstr>
      <vt:lpstr>08-01-2026</vt:lpstr>
      <vt:lpstr>09-01-2026</vt:lpstr>
      <vt:lpstr>10-01-2026</vt:lpstr>
      <vt:lpstr>12-01-2026</vt:lpstr>
      <vt:lpstr>13-01-2026</vt:lpstr>
      <vt:lpstr>14-01-2026</vt:lpstr>
      <vt:lpstr>15-01-2026</vt:lpstr>
      <vt:lpstr>16-01-2026</vt:lpstr>
      <vt:lpstr>17-01-2026</vt:lpstr>
      <vt:lpstr>19-01-2026</vt:lpstr>
      <vt:lpstr>20-01-2026</vt:lpstr>
      <vt:lpstr>Summary %--</vt:lpstr>
      <vt:lpstr>Encours au Prép</vt:lpstr>
      <vt:lpstr>Obprix</vt:lpstr>
      <vt:lpstr>Feuil2</vt:lpstr>
      <vt:lpstr>Obj Prix</vt:lpstr>
      <vt:lpstr>Lancements</vt:lpstr>
      <vt:lpstr>'01-01-2026'!Print_Area</vt:lpstr>
      <vt:lpstr>'02-01-2026'!Print_Area</vt:lpstr>
      <vt:lpstr>'02-04-2022'!Print_Area</vt:lpstr>
      <vt:lpstr>'03-01-2026'!Print_Area</vt:lpstr>
      <vt:lpstr>'05-01-2026'!Print_Area</vt:lpstr>
      <vt:lpstr>'06-01-2026'!Print_Area</vt:lpstr>
      <vt:lpstr>'07-01-2026'!Print_Area</vt:lpstr>
      <vt:lpstr>'08-01-2026'!Print_Area</vt:lpstr>
      <vt:lpstr>'09-01-2026'!Print_Area</vt:lpstr>
      <vt:lpstr>'10-01-2026'!Print_Area</vt:lpstr>
      <vt:lpstr>'12-01-2026'!Print_Area</vt:lpstr>
      <vt:lpstr>'13-01-2026'!Print_Area</vt:lpstr>
      <vt:lpstr>'13-08-2022 (2)'!Print_Area</vt:lpstr>
      <vt:lpstr>'14-01-2026'!Print_Area</vt:lpstr>
      <vt:lpstr>'15-01-2026'!Print_Area</vt:lpstr>
      <vt:lpstr>'16-01-2026'!Print_Area</vt:lpstr>
      <vt:lpstr>'17-01-2026'!Print_Area</vt:lpstr>
      <vt:lpstr>'19-01-2026'!Print_Area</vt:lpstr>
      <vt:lpstr>'20-01-2026'!Print_Area</vt:lpstr>
      <vt:lpstr>'23-08-2022 (2)'!Print_Area</vt:lpstr>
      <vt:lpstr>'25-04-2022 (Simulation)'!Print_Area</vt:lpstr>
      <vt:lpstr>FF!Print_Area</vt:lpstr>
      <vt:lpstr>'Summary %'!Print_Area</vt:lpstr>
      <vt:lpstr>'Summary %--'!Print_Area</vt:lpstr>
      <vt:lpstr>'02-04-2022'!Print_Titles</vt:lpstr>
      <vt:lpstr>'13-08-2022 (2)'!Print_Titles</vt:lpstr>
      <vt:lpstr>'23-08-2022 (2)'!Print_Titles</vt:lpstr>
      <vt:lpstr>'25-04-2022 (Simulation)'!Print_Titles</vt:lpstr>
      <vt:lpstr>FF!Print_Titles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2026-01-20T10:39:51Z</dcterms:modified>
</cp:coreProperties>
</file>