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85" windowHeight="136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<sst xmlns="http://schemas.openxmlformats.org/spreadsheetml/2006/main" count="30" uniqueCount="26">
  <si>
    <t>Ucc</t>
  </si>
  <si>
    <t>Uref</t>
  </si>
  <si>
    <t>ADC</t>
  </si>
  <si>
    <t>R1x</t>
  </si>
  <si>
    <t>R2</t>
  </si>
  <si>
    <t>R2x</t>
  </si>
  <si>
    <t>vzduch</t>
  </si>
  <si>
    <t>R0:</t>
  </si>
  <si>
    <t>sensor_volt</t>
  </si>
  <si>
    <t>RS_gas</t>
  </si>
  <si>
    <t>Výpočet</t>
  </si>
  <si>
    <t>Výpočet II.</t>
  </si>
  <si>
    <t>RS_GAS</t>
  </si>
  <si>
    <t>ratio</t>
  </si>
  <si>
    <t>X</t>
  </si>
  <si>
    <t>ppm</t>
  </si>
  <si>
    <t>ručně</t>
  </si>
  <si>
    <t>sensor_base_R</t>
  </si>
  <si>
    <t>sensor_100_ppm</t>
  </si>
  <si>
    <t>sensor_R</t>
  </si>
  <si>
    <t>R_rel</t>
  </si>
  <si>
    <t>CO_ppm</t>
  </si>
  <si>
    <t>Výpočet III</t>
  </si>
  <si>
    <t>Výpočet zpět</t>
  </si>
  <si>
    <t>Ratio</t>
  </si>
  <si>
    <t>Sensor volt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</si>
</sst>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33"/>
  <sheetViews>
    <sheetView tabSelected="1" topLeftCell="C5" workbookViewId="0">
      <selection activeCell="C23" sqref="C23"/>
    </sheetView>
  </sheetViews>
  <sheetFormatPr defaultColWidth="8.8" defaultRowHeight="15.75"/>
  <cols>
    <col min="3" max="5" width="12.5"/>
    <col min="7" max="7" width="12.5"/>
    <col min="9" max="9" width="12.5"/>
    <col min="10" max="10" width="14.8" customWidth="1"/>
    <col min="11" max="13" width="12.5"/>
  </cols>
  <sheetData>
    <row r="2" spans="2:6">
      <c r="B2" t="s">
        <v>0</v>
      </c>
      <c r="C2">
        <v>4.59</v>
      </c>
      <c r="E2" t="s">
        <v>1</v>
      </c>
      <c r="F2">
        <v>3.243</v>
      </c>
    </row>
    <row r="3" spans="2:6">
      <c r="B3" t="s">
        <v>2</v>
      </c>
      <c r="C3">
        <v>4096</v>
      </c>
      <c r="E3" t="s">
        <v>3</v>
      </c>
      <c r="F3">
        <v>2191</v>
      </c>
    </row>
    <row r="4" spans="2:6">
      <c r="B4" t="s">
        <v>4</v>
      </c>
      <c r="C4">
        <f>F3+F4</f>
        <v>6861</v>
      </c>
      <c r="E4" t="s">
        <v>5</v>
      </c>
      <c r="F4">
        <v>4670</v>
      </c>
    </row>
    <row r="5" spans="2:3">
      <c r="B5" t="s">
        <v>6</v>
      </c>
      <c r="C5">
        <v>2114</v>
      </c>
    </row>
    <row r="7" spans="2:2">
      <c r="B7" t="s">
        <v>7</v>
      </c>
    </row>
    <row r="8" spans="2:3">
      <c r="B8" t="s">
        <v>8</v>
      </c>
      <c r="C8">
        <f>C5/C3*F2*(C4)/F4</f>
        <v>2.45902261264973</v>
      </c>
    </row>
    <row r="9" spans="2:3">
      <c r="B9" t="s">
        <v>9</v>
      </c>
      <c r="C9">
        <f>C2*C4/C8-C4</f>
        <v>5945.71020998287</v>
      </c>
    </row>
    <row r="12" spans="2:9">
      <c r="B12" t="s">
        <v>10</v>
      </c>
      <c r="I12" t="s">
        <v>11</v>
      </c>
    </row>
    <row r="13" spans="2:15">
      <c r="B13" t="s">
        <v>2</v>
      </c>
      <c r="C13" t="s">
        <v>8</v>
      </c>
      <c r="D13" t="s">
        <v>12</v>
      </c>
      <c r="E13" t="s">
        <v>13</v>
      </c>
      <c r="F13" t="s">
        <v>14</v>
      </c>
      <c r="G13" t="s">
        <v>15</v>
      </c>
      <c r="H13" t="s">
        <v>16</v>
      </c>
      <c r="I13" t="s">
        <v>17</v>
      </c>
      <c r="J13" t="s">
        <v>18</v>
      </c>
      <c r="K13" t="s">
        <v>19</v>
      </c>
      <c r="L13" t="s">
        <v>20</v>
      </c>
      <c r="M13" t="s">
        <v>21</v>
      </c>
      <c r="O13" t="s">
        <v>22</v>
      </c>
    </row>
    <row r="14" spans="2:15">
      <c r="B14">
        <v>2114</v>
      </c>
      <c r="C14">
        <f>(B14/$C$3*$F$2)*($F$3+$F$4)/$F$4</f>
        <v>2.45902261264973</v>
      </c>
      <c r="D14">
        <f>($C$2-C14)*$C$4/C14</f>
        <v>5945.71020998287</v>
      </c>
      <c r="E14">
        <f>D14/$C$9</f>
        <v>1</v>
      </c>
      <c r="F14">
        <f t="shared" ref="F14:F23" si="0">1538.46*E14</f>
        <v>1538.46</v>
      </c>
      <c r="G14">
        <f t="shared" ref="G14:G23" si="1">POWER(F14,-1.709)</f>
        <v>3.57494750307158e-6</v>
      </c>
      <c r="I14">
        <f>$C$4/1000*4096/$C$5-$C$4/1000</f>
        <v>6.43259318826868</v>
      </c>
      <c r="J14">
        <f>$C$4/1000*0.25</f>
        <v>1.71525</v>
      </c>
      <c r="K14">
        <f>$C$4/1000*4096/B14-$C$4/1000</f>
        <v>6.43259318826868</v>
      </c>
      <c r="L14">
        <f t="shared" ref="L14:L23" si="2">J14/K14</f>
        <v>0.26664984863774</v>
      </c>
      <c r="M14">
        <f t="shared" ref="M14:M23" si="3">134*L14-35</f>
        <v>0.731079717457135</v>
      </c>
      <c r="O14">
        <f t="shared" ref="O14:O23" si="4">0.96*POWER(E14,-1.67)</f>
        <v>0.96</v>
      </c>
    </row>
    <row r="15" spans="2:15">
      <c r="B15">
        <v>2116</v>
      </c>
      <c r="C15">
        <f>(B15/$C$3*$F$2)*($F$3+$F$4)/$F$4</f>
        <v>2.46134902950181</v>
      </c>
      <c r="D15">
        <f>($C$2-C15)*$C$4/C15</f>
        <v>5933.60556895262</v>
      </c>
      <c r="E15">
        <f t="shared" ref="E14:E23" si="5">D15/$C$9</f>
        <v>0.997964138748315</v>
      </c>
      <c r="F15">
        <f t="shared" si="0"/>
        <v>1535.32790889873</v>
      </c>
      <c r="G15">
        <f t="shared" si="1"/>
        <v>3.58742015699689e-6</v>
      </c>
      <c r="I15">
        <f>$C$4/1000*4096/$C$5-$C$4/1000</f>
        <v>6.43259318826868</v>
      </c>
      <c r="J15">
        <f>$C$4/1000*0.25</f>
        <v>1.71525</v>
      </c>
      <c r="K15">
        <f>$C$4/1000*4096/B15-$C$4/1000</f>
        <v>6.42002835538752</v>
      </c>
      <c r="L15">
        <f t="shared" si="2"/>
        <v>0.267171717171717</v>
      </c>
      <c r="M15">
        <f t="shared" si="3"/>
        <v>0.801010101010121</v>
      </c>
      <c r="O15">
        <f t="shared" si="4"/>
        <v>0.963272785756303</v>
      </c>
    </row>
    <row r="16" spans="2:15">
      <c r="B16">
        <v>2783</v>
      </c>
      <c r="C16">
        <f>(B16/$C$3*$F$2)*($F$3+$F$4)/$F$4</f>
        <v>3.23720904967085</v>
      </c>
      <c r="D16">
        <f>($C$2-C16)*$C$4/C16</f>
        <v>2867.12985407969</v>
      </c>
      <c r="E16">
        <f t="shared" si="5"/>
        <v>0.482218230088942</v>
      </c>
      <c r="F16">
        <f t="shared" si="0"/>
        <v>741.873458262633</v>
      </c>
      <c r="G16">
        <f t="shared" si="1"/>
        <v>1.2433869763172e-5</v>
      </c>
      <c r="I16">
        <f>$C$4/1000*4096/$C$5-$C$4/1000</f>
        <v>6.43259318826868</v>
      </c>
      <c r="J16">
        <f>$C$4/1000*0.25</f>
        <v>1.71525</v>
      </c>
      <c r="K16">
        <f>$C$4/1000*4096/B16-$C$4/1000</f>
        <v>3.23697197269134</v>
      </c>
      <c r="L16">
        <f t="shared" si="2"/>
        <v>0.52989337395278</v>
      </c>
      <c r="M16">
        <f t="shared" si="3"/>
        <v>36.0057121096725</v>
      </c>
      <c r="O16">
        <f t="shared" si="4"/>
        <v>3.24529648802319</v>
      </c>
    </row>
    <row r="17" spans="2:15">
      <c r="B17">
        <v>2979</v>
      </c>
      <c r="C17">
        <f>(B17/$C$3*$F$2)*($F$3+$F$4)/$F$4</f>
        <v>3.4651979011748</v>
      </c>
      <c r="D17">
        <f>($C$2-C17)*$C$4/C17</f>
        <v>2227.07834303585</v>
      </c>
      <c r="E17">
        <f t="shared" si="5"/>
        <v>0.374568935313493</v>
      </c>
      <c r="F17">
        <f t="shared" si="0"/>
        <v>576.259324222397</v>
      </c>
      <c r="G17">
        <f t="shared" si="1"/>
        <v>1.91471392954013e-5</v>
      </c>
      <c r="I17">
        <f>$C$4/1000*4096/$C$5-$C$4/1000</f>
        <v>6.43259318826868</v>
      </c>
      <c r="J17">
        <f>$C$4/1000*0.25</f>
        <v>1.71525</v>
      </c>
      <c r="K17">
        <f>$C$4/1000*4096/B17-$C$4/1000</f>
        <v>2.57258710976838</v>
      </c>
      <c r="L17">
        <f t="shared" si="2"/>
        <v>0.666741271262309</v>
      </c>
      <c r="M17">
        <f t="shared" si="3"/>
        <v>54.3433303491495</v>
      </c>
      <c r="O17">
        <f t="shared" si="4"/>
        <v>4.9484957273525</v>
      </c>
    </row>
    <row r="18" spans="2:15">
      <c r="B18">
        <v>2899</v>
      </c>
      <c r="C18">
        <f>(B18/$C$3*$F$2)*($F$3+$F$4)/$F$4</f>
        <v>3.37214122709156</v>
      </c>
      <c r="D18">
        <f>($C$2-C18)*$C$4/C18</f>
        <v>2477.87043252976</v>
      </c>
      <c r="E18">
        <f t="shared" si="5"/>
        <v>0.416749277213243</v>
      </c>
      <c r="F18">
        <f t="shared" si="0"/>
        <v>641.152093021485</v>
      </c>
      <c r="G18">
        <f t="shared" si="1"/>
        <v>1.59552473388423e-5</v>
      </c>
      <c r="I18">
        <f>$C$4/1000*4096/$C$5-$C$4/1000</f>
        <v>6.43259318826868</v>
      </c>
      <c r="J18">
        <f>$C$4/1000*0.25</f>
        <v>1.71525</v>
      </c>
      <c r="K18">
        <f>$C$4/1000*4096/B18-$C$4/1000</f>
        <v>2.83291376336668</v>
      </c>
      <c r="L18">
        <f t="shared" si="2"/>
        <v>0.60547201336675</v>
      </c>
      <c r="M18">
        <f t="shared" si="3"/>
        <v>46.1332497911445</v>
      </c>
      <c r="O18">
        <f t="shared" si="4"/>
        <v>4.1407615765542</v>
      </c>
    </row>
    <row r="19" spans="2:15">
      <c r="B19">
        <v>3028</v>
      </c>
      <c r="C19">
        <f>(B19/$C$3*$F$2)*($F$3+$F$4)/$F$4</f>
        <v>3.52219511405079</v>
      </c>
      <c r="D19">
        <f>($C$2-C19)*$C$4/C19</f>
        <v>2080.01234607127</v>
      </c>
      <c r="E19">
        <f t="shared" si="5"/>
        <v>0.349834127902655</v>
      </c>
      <c r="F19">
        <f t="shared" si="0"/>
        <v>538.205812413119</v>
      </c>
      <c r="G19">
        <f t="shared" si="1"/>
        <v>2.15183621491847e-5</v>
      </c>
      <c r="I19">
        <f>$C$4/1000*4096/$C$5-$C$4/1000</f>
        <v>6.43259318826868</v>
      </c>
      <c r="J19">
        <f>$C$4/1000*0.25</f>
        <v>1.71525</v>
      </c>
      <c r="K19">
        <f>$C$4/1000*4096/B19-$C$4/1000</f>
        <v>2.41992998678996</v>
      </c>
      <c r="L19">
        <f t="shared" si="2"/>
        <v>0.708801498127341</v>
      </c>
      <c r="M19">
        <f t="shared" si="3"/>
        <v>59.9794007490637</v>
      </c>
      <c r="O19">
        <f t="shared" si="4"/>
        <v>5.54653044848869</v>
      </c>
    </row>
    <row r="20" spans="2:15">
      <c r="B20">
        <v>3192</v>
      </c>
      <c r="C20">
        <f>(B20/$C$3*$F$2)*($F$3+$F$4)/$F$4</f>
        <v>3.71296129592144</v>
      </c>
      <c r="D20">
        <f>($C$2-C20)*$C$4/C20</f>
        <v>1620.63702503252</v>
      </c>
      <c r="E20">
        <f t="shared" si="5"/>
        <v>0.272572488028674</v>
      </c>
      <c r="F20">
        <f t="shared" si="0"/>
        <v>419.341869932594</v>
      </c>
      <c r="G20">
        <f t="shared" si="1"/>
        <v>3.29633164135099e-5</v>
      </c>
      <c r="I20">
        <f>$C$4/1000*4096/$C$5-$C$4/1000</f>
        <v>6.43259318826868</v>
      </c>
      <c r="J20">
        <f>$C$4/1000*0.25</f>
        <v>1.71525</v>
      </c>
      <c r="K20">
        <f>$C$4/1000*4096/B20-$C$4/1000</f>
        <v>1.94309022556391</v>
      </c>
      <c r="L20">
        <f t="shared" si="2"/>
        <v>0.882743362831858</v>
      </c>
      <c r="M20">
        <f t="shared" si="3"/>
        <v>83.287610619469</v>
      </c>
      <c r="O20">
        <f t="shared" si="4"/>
        <v>8.41426648547586</v>
      </c>
    </row>
    <row r="21" spans="2:15">
      <c r="B21">
        <v>3324</v>
      </c>
      <c r="C21">
        <f>(B21/$C$3*$F$2)*($F$3+$F$4)/$F$4</f>
        <v>3.86650480815879</v>
      </c>
      <c r="D21">
        <f>($C$2-C21)*$C$4/C21</f>
        <v>1283.82111429115</v>
      </c>
      <c r="E21">
        <f t="shared" si="5"/>
        <v>0.2159239298504</v>
      </c>
      <c r="F21">
        <f t="shared" si="0"/>
        <v>332.190329117647</v>
      </c>
      <c r="G21">
        <f t="shared" si="1"/>
        <v>4.90850957813513e-5</v>
      </c>
      <c r="I21">
        <f>$C$4/1000*4096/$C$5-$C$4/1000</f>
        <v>6.43259318826868</v>
      </c>
      <c r="J21">
        <f>$C$4/1000*0.25</f>
        <v>1.71525</v>
      </c>
      <c r="K21">
        <f>$C$4/1000*4096/B21-$C$4/1000</f>
        <v>1.59346931407942</v>
      </c>
      <c r="L21">
        <f t="shared" si="2"/>
        <v>1.07642487046632</v>
      </c>
      <c r="M21">
        <f t="shared" si="3"/>
        <v>109.240932642487</v>
      </c>
      <c r="O21">
        <f t="shared" si="4"/>
        <v>12.4162067982407</v>
      </c>
    </row>
    <row r="22" spans="2:15">
      <c r="B22">
        <v>2110</v>
      </c>
      <c r="C22">
        <f>(B22/$C$3*$F$2)*($F$3+$F$4)/$F$4</f>
        <v>2.45436977894556</v>
      </c>
      <c r="D22">
        <f>($C$2-C22)*$C$4/C22</f>
        <v>5969.9883336037</v>
      </c>
      <c r="E22">
        <f t="shared" si="5"/>
        <v>1.00408330086119</v>
      </c>
      <c r="F22">
        <f t="shared" si="0"/>
        <v>1544.74199504291</v>
      </c>
      <c r="G22">
        <f t="shared" si="1"/>
        <v>3.55013751415629e-6</v>
      </c>
      <c r="I22">
        <f>$C$4/1000*4096/$C$5-$C$4/1000</f>
        <v>6.43259318826868</v>
      </c>
      <c r="J22">
        <f>$C$4/1000*0.25</f>
        <v>1.71525</v>
      </c>
      <c r="K22">
        <f>$C$4/1000*4096/B22-$C$4/1000</f>
        <v>6.45779431279621</v>
      </c>
      <c r="L22">
        <f t="shared" si="2"/>
        <v>0.265609264853978</v>
      </c>
      <c r="M22">
        <f t="shared" si="3"/>
        <v>0.591641490433027</v>
      </c>
      <c r="O22">
        <f t="shared" si="4"/>
        <v>0.953489160143098</v>
      </c>
    </row>
    <row r="23" spans="2:15">
      <c r="B23">
        <v>2108</v>
      </c>
      <c r="C23">
        <f>(B23/$C$3*$F$2)*($F$3+$F$4)/$F$4</f>
        <v>2.45204336209348</v>
      </c>
      <c r="D23">
        <f>($C$2-C23)*$C$4/C23</f>
        <v>5982.16194682343</v>
      </c>
      <c r="E23">
        <f t="shared" si="5"/>
        <v>1.00613076244102</v>
      </c>
      <c r="F23">
        <f t="shared" si="0"/>
        <v>1547.89193278501</v>
      </c>
      <c r="G23">
        <f t="shared" si="1"/>
        <v>3.53779978887717e-6</v>
      </c>
      <c r="I23">
        <f>$C$4/1000*4096/$C$5-$C$4/1000</f>
        <v>6.43259318826868</v>
      </c>
      <c r="J23">
        <f>$C$4/1000*0.25</f>
        <v>1.71525</v>
      </c>
      <c r="K23">
        <f>$C$4/1000*4096/B23-$C$4/1000</f>
        <v>6.47043074003795</v>
      </c>
      <c r="L23">
        <f t="shared" si="2"/>
        <v>0.265090543259557</v>
      </c>
      <c r="M23">
        <f t="shared" si="3"/>
        <v>0.522132796780681</v>
      </c>
      <c r="O23">
        <f t="shared" si="4"/>
        <v>0.950251007404376</v>
      </c>
    </row>
    <row r="26" spans="2:8">
      <c r="B26">
        <v>2105</v>
      </c>
      <c r="C26">
        <f>(B26/$C$3*$F$2)*($F$3+$F$4)/$F$4</f>
        <v>2.44855373681536</v>
      </c>
      <c r="H26">
        <v>2.444</v>
      </c>
    </row>
    <row r="27" spans="2:8">
      <c r="B27">
        <v>2106</v>
      </c>
      <c r="C27">
        <f>(B27/$C$3*$F$2)*($F$3+$F$4)/$F$4</f>
        <v>2.4497169452414</v>
      </c>
      <c r="H27">
        <v>2.45</v>
      </c>
    </row>
    <row r="28" spans="2:8">
      <c r="B28">
        <v>3200</v>
      </c>
      <c r="C28">
        <f>(B28/$C$3*$F$2)*($F$3+$F$4)/$F$4</f>
        <v>3.72226696332976</v>
      </c>
      <c r="H28">
        <v>3.72</v>
      </c>
    </row>
    <row r="30" spans="2:2">
      <c r="B30" t="s">
        <v>23</v>
      </c>
    </row>
    <row r="31" spans="2:5">
      <c r="B31" t="s">
        <v>24</v>
      </c>
      <c r="C31" t="s">
        <v>12</v>
      </c>
      <c r="D31" t="s">
        <v>25</v>
      </c>
      <c r="E31" t="s">
        <v>2</v>
      </c>
    </row>
    <row r="32" spans="2:5">
      <c r="B32">
        <v>0.0625</v>
      </c>
      <c r="C32">
        <f>B32*$C$9</f>
        <v>371.606888123929</v>
      </c>
      <c r="D32">
        <f>$C$2*$C$4/(C32+$C$4)</f>
        <v>4.35416862648935</v>
      </c>
      <c r="E32">
        <f>D32*$C$3*$F$4/(($F$4+$F$3)*$F$2)</f>
        <v>3743.24027320755</v>
      </c>
    </row>
    <row r="33" spans="2:5">
      <c r="B33">
        <v>1</v>
      </c>
      <c r="C33">
        <f>B33*$C$9</f>
        <v>5945.71020998287</v>
      </c>
      <c r="D33">
        <f>$C$2*$C$4/(C33+$C$4)</f>
        <v>2.45902261264973</v>
      </c>
      <c r="E33">
        <f>D33*$C$3*$F$4/(($F$4+$F$3)*$F$2)</f>
        <v>2114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petrz</dc:creator>
  <cp:lastModifiedBy>petrz</cp:lastModifiedBy>
  <dcterms:created xsi:type="dcterms:W3CDTF">2019-11-01T23:19:00Z</dcterms:created>
  <dcterms:modified xsi:type="dcterms:W3CDTF">2019-11-06T21:15:54Z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