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YCENY\_SIERPIEŃ\Piastów\"/>
    </mc:Choice>
  </mc:AlternateContent>
  <xr:revisionPtr revIDLastSave="0" documentId="13_ncr:1_{C9549DB4-B336-453A-8D4D-D0FE171641F8}" xr6:coauthVersionLast="47" xr6:coauthVersionMax="47" xr10:uidLastSave="{00000000-0000-0000-0000-000000000000}"/>
  <bookViews>
    <workbookView xWindow="-108" yWindow="-108" windowWidth="23256" windowHeight="12456" tabRatio="624" xr2:uid="{00000000-000D-0000-FFFF-FFFF00000000}"/>
  </bookViews>
  <sheets>
    <sheet name="kalkulacja wartości" sheetId="1539" r:id="rId1"/>
    <sheet name="baza transakcji" sheetId="1598" r:id="rId2"/>
    <sheet name="tabelki" sheetId="1599" r:id="rId3"/>
    <sheet name="zest" sheetId="1600" r:id="rId4"/>
  </sheets>
  <definedNames>
    <definedName name="_xlnm._FilterDatabase" localSheetId="1" hidden="1">'baza transakcji'!$B$1:$K$15</definedName>
    <definedName name="_xlnm.Print_Area" localSheetId="0">'kalkulacja wartości'!$A$1:$H$27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539" l="1"/>
  <c r="H30" i="1539"/>
  <c r="H29" i="1539"/>
  <c r="H28" i="1539"/>
  <c r="V44" i="1539"/>
  <c r="U44" i="1539"/>
  <c r="U47" i="1539"/>
  <c r="U46" i="1539"/>
  <c r="U45" i="1539"/>
  <c r="H19" i="1598"/>
  <c r="J19" i="1598"/>
  <c r="K19" i="1598" s="1"/>
  <c r="G19" i="1598" s="1"/>
  <c r="H20" i="1598"/>
  <c r="J20" i="1598"/>
  <c r="K20" i="1598" s="1"/>
  <c r="H9" i="1598"/>
  <c r="J9" i="1598"/>
  <c r="K9" i="1598"/>
  <c r="I9" i="1598" s="1"/>
  <c r="J58" i="1598"/>
  <c r="K58" i="1598" s="1"/>
  <c r="G58" i="1598" s="1"/>
  <c r="H58" i="1598"/>
  <c r="J57" i="1598"/>
  <c r="K57" i="1598" s="1"/>
  <c r="G57" i="1598" s="1"/>
  <c r="H57" i="1598"/>
  <c r="J56" i="1598"/>
  <c r="K56" i="1598" s="1"/>
  <c r="G56" i="1598" s="1"/>
  <c r="H56" i="1598"/>
  <c r="J55" i="1598"/>
  <c r="K55" i="1598" s="1"/>
  <c r="G55" i="1598" s="1"/>
  <c r="H55" i="1598"/>
  <c r="H25" i="1539"/>
  <c r="H24" i="1539"/>
  <c r="K22" i="1539"/>
  <c r="K21" i="1539"/>
  <c r="K20" i="1539"/>
  <c r="G20" i="1539"/>
  <c r="H14" i="1539"/>
  <c r="H17" i="1598"/>
  <c r="J17" i="1598"/>
  <c r="K17" i="1598" s="1"/>
  <c r="G17" i="1598" s="1"/>
  <c r="H5" i="1598"/>
  <c r="J5" i="1598"/>
  <c r="K5" i="1598" s="1"/>
  <c r="G5" i="1598" s="1"/>
  <c r="H13" i="1598"/>
  <c r="J13" i="1598"/>
  <c r="K13" i="1598" s="1"/>
  <c r="G13" i="1598" s="1"/>
  <c r="H16" i="1598"/>
  <c r="J16" i="1598"/>
  <c r="K16" i="1598" s="1"/>
  <c r="G16" i="1598" s="1"/>
  <c r="H18" i="1598"/>
  <c r="J18" i="1598"/>
  <c r="K18" i="1598" s="1"/>
  <c r="H15" i="1598"/>
  <c r="J15" i="1598"/>
  <c r="K15" i="1598" s="1"/>
  <c r="G15" i="1598" s="1"/>
  <c r="H6" i="1598"/>
  <c r="J6" i="1598"/>
  <c r="K6" i="1598" s="1"/>
  <c r="G6" i="1598" s="1"/>
  <c r="H14" i="1598"/>
  <c r="J14" i="1598"/>
  <c r="K14" i="1598" s="1"/>
  <c r="G14" i="1598" s="1"/>
  <c r="AB52" i="1598"/>
  <c r="AB51" i="1598"/>
  <c r="AB50" i="1598"/>
  <c r="AB49" i="1598"/>
  <c r="AB48" i="1598"/>
  <c r="AB47" i="1598"/>
  <c r="AB46" i="1598"/>
  <c r="AB45" i="1598"/>
  <c r="AB44" i="1598"/>
  <c r="AB43" i="1598"/>
  <c r="AB42" i="1598"/>
  <c r="AB41" i="1598"/>
  <c r="AB40" i="1598"/>
  <c r="AB39" i="1598"/>
  <c r="AB38" i="1598"/>
  <c r="AB37" i="1598"/>
  <c r="AB36" i="1598"/>
  <c r="AB35" i="1598"/>
  <c r="AB34" i="1598"/>
  <c r="AB33" i="1598"/>
  <c r="G22" i="1539"/>
  <c r="G33" i="1600"/>
  <c r="G30" i="1600"/>
  <c r="E30" i="1600"/>
  <c r="E33" i="1600"/>
  <c r="V47" i="1539"/>
  <c r="H8" i="1598"/>
  <c r="J8" i="1598"/>
  <c r="K8" i="1598" s="1"/>
  <c r="G8" i="1598" s="1"/>
  <c r="H2" i="1598"/>
  <c r="J2" i="1598"/>
  <c r="K2" i="1598" s="1"/>
  <c r="G2" i="1598" s="1"/>
  <c r="H12" i="1539"/>
  <c r="T52" i="1539"/>
  <c r="T53" i="1539"/>
  <c r="G21" i="1539"/>
  <c r="F15" i="1600"/>
  <c r="F24" i="1600"/>
  <c r="H3" i="1598"/>
  <c r="J3" i="1598"/>
  <c r="K3" i="1598" s="1"/>
  <c r="G3" i="1598" s="1"/>
  <c r="H4" i="1598"/>
  <c r="J4" i="1598"/>
  <c r="K4" i="1598" s="1"/>
  <c r="H12" i="1598"/>
  <c r="J12" i="1598"/>
  <c r="K12" i="1598" s="1"/>
  <c r="G12" i="1598" s="1"/>
  <c r="I58" i="1598" l="1"/>
  <c r="I19" i="1598"/>
  <c r="G20" i="1598"/>
  <c r="I20" i="1598"/>
  <c r="G9" i="1598"/>
  <c r="I57" i="1598"/>
  <c r="I5" i="1598"/>
  <c r="I16" i="1598"/>
  <c r="I6" i="1598"/>
  <c r="G18" i="1598"/>
  <c r="I18" i="1598"/>
  <c r="I14" i="1598"/>
  <c r="I13" i="1598"/>
  <c r="I15" i="1598"/>
  <c r="I17" i="1598"/>
  <c r="I2" i="1598"/>
  <c r="I8" i="1598"/>
  <c r="F25" i="1600"/>
  <c r="I3" i="1598"/>
  <c r="G4" i="1598"/>
  <c r="I4" i="1598"/>
  <c r="I12" i="1598"/>
  <c r="H10" i="1598"/>
  <c r="H11" i="1598"/>
  <c r="H7" i="1598"/>
  <c r="T50" i="1539"/>
  <c r="T51" i="1539"/>
  <c r="T54" i="1539"/>
  <c r="T55" i="1539"/>
  <c r="T49" i="1539"/>
  <c r="J11" i="1598"/>
  <c r="K11" i="1598" s="1"/>
  <c r="G11" i="1598" s="1"/>
  <c r="J10" i="1598"/>
  <c r="K10" i="1598" s="1"/>
  <c r="G10" i="1598" s="1"/>
  <c r="I11" i="1598" l="1"/>
  <c r="I10" i="1598"/>
  <c r="J7" i="1598"/>
  <c r="K7" i="1598" s="1"/>
  <c r="G7" i="1598" s="1"/>
  <c r="V45" i="1539" s="1"/>
  <c r="I7" i="1598" l="1"/>
  <c r="V46" i="1539" s="1"/>
  <c r="S54" i="1539" l="1"/>
  <c r="K18" i="1539" l="1"/>
  <c r="S55" i="1539" s="1"/>
  <c r="V33" i="1539" l="1"/>
  <c r="T33" i="1539"/>
  <c r="S33" i="1539"/>
  <c r="S41" i="1539" s="1"/>
  <c r="E19" i="1539"/>
  <c r="U29" i="1539"/>
  <c r="D35" i="1539"/>
  <c r="T47" i="1539" s="1"/>
  <c r="T29" i="1539"/>
  <c r="V29" i="1539"/>
  <c r="T30" i="1539"/>
  <c r="U30" i="1539"/>
  <c r="V30" i="1539"/>
  <c r="T31" i="1539"/>
  <c r="U31" i="1539"/>
  <c r="V31" i="1539"/>
  <c r="T32" i="1539"/>
  <c r="U32" i="1539"/>
  <c r="V32" i="1539"/>
  <c r="U28" i="1539"/>
  <c r="V28" i="1539"/>
  <c r="T28" i="1539"/>
  <c r="K16" i="1539"/>
  <c r="S32" i="1539" s="1"/>
  <c r="S40" i="1539" s="1"/>
  <c r="S53" i="1539" s="1"/>
  <c r="K15" i="1539"/>
  <c r="S31" i="1539" s="1"/>
  <c r="S39" i="1539" s="1"/>
  <c r="S52" i="1539" s="1"/>
  <c r="K14" i="1539"/>
  <c r="S30" i="1539"/>
  <c r="S38" i="1539" s="1"/>
  <c r="S51" i="1539" s="1"/>
  <c r="K13" i="1539"/>
  <c r="S29" i="1539"/>
  <c r="S37" i="1539"/>
  <c r="S50" i="1539"/>
  <c r="K12" i="1539"/>
  <c r="S28" i="1539"/>
  <c r="S36" i="1539" s="1"/>
  <c r="S49" i="1539" s="1"/>
  <c r="M8" i="1599" l="1"/>
  <c r="K6" i="1539" s="1"/>
  <c r="L8" i="1599"/>
  <c r="K7" i="1539" s="1"/>
  <c r="K8" i="1599"/>
  <c r="K5" i="1539" s="1"/>
  <c r="G16" i="1539" l="1"/>
  <c r="F17" i="1539"/>
  <c r="G12" i="1539"/>
  <c r="G17" i="1539"/>
  <c r="G18" i="1539"/>
  <c r="M12" i="1599"/>
  <c r="M14" i="1599" s="1"/>
  <c r="G14" i="1539"/>
  <c r="G15" i="1539"/>
  <c r="G13" i="1539"/>
  <c r="F13" i="1539"/>
  <c r="K12" i="1599"/>
  <c r="K14" i="1599" s="1"/>
  <c r="F18" i="1539"/>
  <c r="F14" i="1539"/>
  <c r="F12" i="1539"/>
  <c r="F16" i="1539"/>
  <c r="L23" i="1539" s="1"/>
  <c r="F15" i="1539"/>
  <c r="J20" i="1539" l="1"/>
  <c r="O16" i="1539"/>
  <c r="M23" i="1539" s="1"/>
  <c r="H15" i="1539"/>
  <c r="H13" i="1539"/>
  <c r="H17" i="1539"/>
  <c r="G19" i="1539"/>
  <c r="D6" i="1539" s="1"/>
  <c r="F19" i="1539"/>
  <c r="D5" i="1539" s="1"/>
  <c r="H18" i="1539"/>
  <c r="N23" i="1539" l="1"/>
  <c r="J21" i="1539"/>
  <c r="J16" i="1539" s="1"/>
  <c r="O23" i="1539" l="1"/>
  <c r="J22" i="1539"/>
  <c r="H19" i="1539" s="1"/>
  <c r="D24" i="1539" s="1"/>
  <c r="D34" i="1539" s="1"/>
  <c r="D25" i="1539" l="1"/>
  <c r="D26" i="1539" s="1"/>
  <c r="D37" i="1539" s="1"/>
  <c r="D40" i="1539" s="1"/>
  <c r="D36" i="1539" l="1"/>
</calcChain>
</file>

<file path=xl/sharedStrings.xml><?xml version="1.0" encoding="utf-8"?>
<sst xmlns="http://schemas.openxmlformats.org/spreadsheetml/2006/main" count="800" uniqueCount="357">
  <si>
    <t>Rodzaj cech rynkowych wpływających na poziom cen na rynku wraz z określeniem wag i przedziałów cech rynkowych</t>
  </si>
  <si>
    <t>Lp.</t>
  </si>
  <si>
    <t>Cechy rynkowe</t>
  </si>
  <si>
    <t>Cmin=</t>
  </si>
  <si>
    <t>Cmax=</t>
  </si>
  <si>
    <t>Cśr=</t>
  </si>
  <si>
    <t>Tabela 2</t>
  </si>
  <si>
    <t>Zakres współczynników korygujących</t>
  </si>
  <si>
    <t>Suma:</t>
  </si>
  <si>
    <t>Charakterystyka lokalu mieszkalnego w aspekcie cech rynkowych, określenie zakresu i wartości współczynników korygujących</t>
  </si>
  <si>
    <t>Wielkość lokalu</t>
  </si>
  <si>
    <t>Usytuowanie lokalu w budynku</t>
  </si>
  <si>
    <t>Waga cechy [%]</t>
  </si>
  <si>
    <t>Arkusz kalkulacyjny - określenie wartości rynkowej</t>
  </si>
  <si>
    <t xml:space="preserve">Wartość rynkowa = </t>
  </si>
  <si>
    <t>pow.</t>
  </si>
  <si>
    <t>Data transakcji</t>
  </si>
  <si>
    <r>
      <t xml:space="preserve">C </t>
    </r>
    <r>
      <rPr>
        <b/>
        <vertAlign val="subscript"/>
        <sz val="9"/>
        <rFont val="Arial"/>
        <family val="2"/>
        <charset val="238"/>
      </rPr>
      <t xml:space="preserve">min </t>
    </r>
    <r>
      <rPr>
        <b/>
        <sz val="9"/>
        <rFont val="Arial"/>
        <family val="2"/>
        <charset val="238"/>
      </rPr>
      <t xml:space="preserve">/ C </t>
    </r>
    <r>
      <rPr>
        <b/>
        <vertAlign val="subscript"/>
        <sz val="9"/>
        <rFont val="Arial"/>
        <family val="2"/>
        <charset val="238"/>
      </rPr>
      <t xml:space="preserve">śr </t>
    </r>
    <r>
      <rPr>
        <b/>
        <sz val="9"/>
        <rFont val="Arial"/>
        <family val="2"/>
        <charset val="238"/>
      </rPr>
      <t xml:space="preserve">= </t>
    </r>
  </si>
  <si>
    <r>
      <t xml:space="preserve">C </t>
    </r>
    <r>
      <rPr>
        <b/>
        <vertAlign val="subscript"/>
        <sz val="9"/>
        <rFont val="Arial"/>
        <family val="2"/>
        <charset val="238"/>
      </rPr>
      <t xml:space="preserve">max </t>
    </r>
    <r>
      <rPr>
        <b/>
        <sz val="9"/>
        <rFont val="Arial"/>
        <family val="2"/>
        <charset val="238"/>
      </rPr>
      <t xml:space="preserve">/ C </t>
    </r>
    <r>
      <rPr>
        <b/>
        <vertAlign val="subscript"/>
        <sz val="9"/>
        <rFont val="Arial"/>
        <family val="2"/>
        <charset val="238"/>
      </rPr>
      <t xml:space="preserve">śr </t>
    </r>
    <r>
      <rPr>
        <b/>
        <sz val="9"/>
        <rFont val="Arial"/>
        <family val="2"/>
        <charset val="238"/>
      </rPr>
      <t xml:space="preserve">= </t>
    </r>
  </si>
  <si>
    <t>Lokalizacja i sąsiedztwo</t>
  </si>
  <si>
    <t>Cechy i oceny cech</t>
  </si>
  <si>
    <t>bardzo dobra</t>
  </si>
  <si>
    <t>dobra</t>
  </si>
  <si>
    <t>przeciętna</t>
  </si>
  <si>
    <t>C min</t>
  </si>
  <si>
    <t>C średnia</t>
  </si>
  <si>
    <t>C max</t>
  </si>
  <si>
    <t>Zakres współczynników</t>
  </si>
  <si>
    <t>Cmin / Cśr</t>
  </si>
  <si>
    <t>Cmax / Cśr</t>
  </si>
  <si>
    <t>Cecha</t>
  </si>
  <si>
    <t>Opis/Ocena</t>
  </si>
  <si>
    <t>Wyceniany lokal</t>
  </si>
  <si>
    <t>Wartość nieruchomości [zł]</t>
  </si>
  <si>
    <t>Wartość nieruchomości (zaokrąglenie) [zł]</t>
  </si>
  <si>
    <r>
      <t>C</t>
    </r>
    <r>
      <rPr>
        <b/>
        <vertAlign val="subscript"/>
        <sz val="9"/>
        <color rgb="FFC00000"/>
        <rFont val="Arial"/>
        <family val="2"/>
        <charset val="238"/>
      </rPr>
      <t>MAX</t>
    </r>
  </si>
  <si>
    <r>
      <t>C</t>
    </r>
    <r>
      <rPr>
        <b/>
        <vertAlign val="subscript"/>
        <sz val="9"/>
        <color rgb="FFC00000"/>
        <rFont val="Arial"/>
        <family val="2"/>
        <charset val="238"/>
      </rPr>
      <t>MIN</t>
    </r>
  </si>
  <si>
    <t>Rodzaj prawa do lokalu</t>
  </si>
  <si>
    <t>Adres nieruchomości</t>
  </si>
  <si>
    <t>-</t>
  </si>
  <si>
    <t>Powierzchnia [m2]</t>
  </si>
  <si>
    <t>Dostępność miejsc postojowych</t>
  </si>
  <si>
    <r>
      <t>P.u. [m</t>
    </r>
    <r>
      <rPr>
        <b/>
        <vertAlign val="superscript"/>
        <sz val="9"/>
        <rFont val="Arial"/>
        <family val="2"/>
        <charset val="238"/>
      </rPr>
      <t>2</t>
    </r>
    <r>
      <rPr>
        <b/>
        <sz val="9"/>
        <rFont val="Arial"/>
        <family val="2"/>
        <charset val="238"/>
      </rPr>
      <t>]</t>
    </r>
  </si>
  <si>
    <r>
      <t>Wartości współczynników korygujących u</t>
    </r>
    <r>
      <rPr>
        <b/>
        <vertAlign val="subscript"/>
        <sz val="9"/>
        <rFont val="Arial"/>
        <family val="2"/>
        <charset val="238"/>
      </rPr>
      <t>i</t>
    </r>
  </si>
  <si>
    <t>Wyceniana nieruchomość</t>
  </si>
  <si>
    <r>
      <t>C</t>
    </r>
    <r>
      <rPr>
        <b/>
        <vertAlign val="subscript"/>
        <sz val="9"/>
        <rFont val="Arial"/>
        <family val="2"/>
        <charset val="238"/>
      </rPr>
      <t>MAX</t>
    </r>
  </si>
  <si>
    <r>
      <t>C</t>
    </r>
    <r>
      <rPr>
        <b/>
        <vertAlign val="subscript"/>
        <sz val="9"/>
        <rFont val="Arial"/>
        <family val="2"/>
        <charset val="238"/>
      </rPr>
      <t>MIN</t>
    </r>
  </si>
  <si>
    <t>Stan techniczny i standard budynku</t>
  </si>
  <si>
    <t>Standard i funkcjonalność lokalu</t>
  </si>
  <si>
    <r>
      <t>Wartość 1 m</t>
    </r>
    <r>
      <rPr>
        <vertAlign val="superscript"/>
        <sz val="9"/>
        <rFont val="Arial"/>
        <family val="2"/>
        <charset val="238"/>
      </rPr>
      <t>2</t>
    </r>
    <r>
      <rPr>
        <sz val="9"/>
        <rFont val="Arial"/>
        <family val="2"/>
        <charset val="238"/>
      </rPr>
      <t xml:space="preserve"> pow. użytkowej [zł]</t>
    </r>
  </si>
  <si>
    <r>
      <t>Powierzchnia użytkowa lokalu [m</t>
    </r>
    <r>
      <rPr>
        <vertAlign val="superscript"/>
        <sz val="9"/>
        <rFont val="Arial"/>
        <family val="2"/>
        <charset val="238"/>
      </rPr>
      <t>2</t>
    </r>
    <r>
      <rPr>
        <sz val="9"/>
        <rFont val="Arial"/>
        <family val="2"/>
        <charset val="238"/>
      </rPr>
      <t>]</t>
    </r>
  </si>
  <si>
    <t>Dostępność powierzchni dodatkowych</t>
  </si>
  <si>
    <t>1/1</t>
  </si>
  <si>
    <t>Cena trans. [zł]</t>
  </si>
  <si>
    <r>
      <t>Cena jedn. [zł/m</t>
    </r>
    <r>
      <rPr>
        <b/>
        <vertAlign val="superscript"/>
        <sz val="9"/>
        <rFont val="Arial"/>
        <family val="2"/>
        <charset val="238"/>
      </rPr>
      <t>2</t>
    </r>
    <r>
      <rPr>
        <b/>
        <sz val="9"/>
        <rFont val="Arial"/>
        <family val="2"/>
        <charset val="238"/>
      </rPr>
      <t>]</t>
    </r>
  </si>
  <si>
    <t>Cena jedn. zakt. [zł/m2]</t>
  </si>
  <si>
    <t>Cena transakcyjna zakt. [zł]</t>
  </si>
  <si>
    <t>Cena jednostkowa zakt. [zł/m2]</t>
  </si>
  <si>
    <t>Cena trans. zakt. [zł]</t>
  </si>
  <si>
    <t>Pomieszczenie</t>
  </si>
  <si>
    <t>P.u. [mkw.]</t>
  </si>
  <si>
    <t>Parter</t>
  </si>
  <si>
    <t>Zestawienie pomieszczeń</t>
  </si>
  <si>
    <t>Łącznie p.u. parter:</t>
  </si>
  <si>
    <t>Piętro</t>
  </si>
  <si>
    <t>Łącznie p.u. piętro:</t>
  </si>
  <si>
    <t>Łącznie p.u.:</t>
  </si>
  <si>
    <t>mieszkalny</t>
  </si>
  <si>
    <t>Miejscowość</t>
  </si>
  <si>
    <t>Ulica</t>
  </si>
  <si>
    <t>wiatrołap</t>
  </si>
  <si>
    <t>hol+schody</t>
  </si>
  <si>
    <t>łazienka</t>
  </si>
  <si>
    <t>kuchnia+salon</t>
  </si>
  <si>
    <t>garaż</t>
  </si>
  <si>
    <t>sypialnia 1</t>
  </si>
  <si>
    <t>sypialnia 2</t>
  </si>
  <si>
    <t>sypialnia 3</t>
  </si>
  <si>
    <t>sypialnia 4</t>
  </si>
  <si>
    <t>pko , alior</t>
  </si>
  <si>
    <t>santa</t>
  </si>
  <si>
    <t xml:space="preserve"> A. Karta</t>
  </si>
  <si>
    <t>numer</t>
  </si>
  <si>
    <t>gmina</t>
  </si>
  <si>
    <t>data</t>
  </si>
  <si>
    <t xml:space="preserve"> B. Źródło informacji</t>
  </si>
  <si>
    <t>dokument</t>
  </si>
  <si>
    <t>numer przet.</t>
  </si>
  <si>
    <t>całk. wartość transakcji obejmującej nieruchomość</t>
  </si>
  <si>
    <t>liczba nier. w ramach transakcji</t>
  </si>
  <si>
    <t xml:space="preserve"> C. Przybliżone położenie nieruchomości</t>
  </si>
  <si>
    <t>miejscowość</t>
  </si>
  <si>
    <t>adres</t>
  </si>
  <si>
    <t xml:space="preserve"> D. Transakcja</t>
  </si>
  <si>
    <t>właściciel</t>
  </si>
  <si>
    <t>forma obr.</t>
  </si>
  <si>
    <t>rodzaj tr.</t>
  </si>
  <si>
    <t>sprzedający</t>
  </si>
  <si>
    <t>nabywca</t>
  </si>
  <si>
    <t>opis</t>
  </si>
  <si>
    <t xml:space="preserve"> E. Informacje</t>
  </si>
  <si>
    <t>rodzaj nier.</t>
  </si>
  <si>
    <t>pow ob. trans.</t>
  </si>
  <si>
    <t>cena nier.</t>
  </si>
  <si>
    <t>cena gruntu</t>
  </si>
  <si>
    <t>cena pozost.</t>
  </si>
  <si>
    <t xml:space="preserve"> F. Uwagi</t>
  </si>
  <si>
    <t xml:space="preserve"> </t>
  </si>
  <si>
    <t xml:space="preserve"> G. Lokal</t>
  </si>
  <si>
    <t>lok. - obręb</t>
  </si>
  <si>
    <t>lok. - numer lok.</t>
  </si>
  <si>
    <t>lok. - miejscowość</t>
  </si>
  <si>
    <t>lok. - adres</t>
  </si>
  <si>
    <t>lok. - funkcja podst.</t>
  </si>
  <si>
    <t>lok. - funkcja dod.</t>
  </si>
  <si>
    <t>lok. - pow. uż.</t>
  </si>
  <si>
    <t>lok. - pow. pom. przyn.</t>
  </si>
  <si>
    <t>lok. - kondygnacja</t>
  </si>
  <si>
    <t>lok. - l. izb</t>
  </si>
  <si>
    <t>lok. - rok budowy</t>
  </si>
  <si>
    <t>lok. - pow. uż. bud.</t>
  </si>
  <si>
    <t>lok. - l. kond. bud</t>
  </si>
  <si>
    <t>lok. - fun. podst. bud.</t>
  </si>
  <si>
    <t>lok. - prawo wł.</t>
  </si>
  <si>
    <t>lok. - udział</t>
  </si>
  <si>
    <t>lok. - numer lokalu</t>
  </si>
  <si>
    <t>lok. - opis</t>
  </si>
  <si>
    <t>lok. - cena</t>
  </si>
  <si>
    <t>2024/856</t>
  </si>
  <si>
    <t>Michałowice</t>
  </si>
  <si>
    <t>2024-03-25</t>
  </si>
  <si>
    <t>Akt notarialny 846/2024 z dnia 2024-01-29</t>
  </si>
  <si>
    <t>2024-01-29</t>
  </si>
  <si>
    <t>Michałowice-Wieś, Michałowice</t>
  </si>
  <si>
    <t>ul. Wesoła 23G lok. 2</t>
  </si>
  <si>
    <t>Osoba prawna</t>
  </si>
  <si>
    <t>Rynek pierwotny</t>
  </si>
  <si>
    <t>Sprzedaż nieruchomości</t>
  </si>
  <si>
    <t>Osoba fizyczna</t>
  </si>
  <si>
    <t>nieruchomość lokalowa</t>
  </si>
  <si>
    <t>Lokal mieszkalny z własnością którego związany jest udział 1/2 części nieruchomości wspólnej z wbudowanym w bryle garażem. do lokalu przynależy kotłownia o powierzchni 3,48m2. Sprzedawany jest również udział 1/40 części w nieruchomości drogowej działki ewid. nr 302 za cenę 100,00zł. Podana cena jest ceną łączną brutto.</t>
  </si>
  <si>
    <t>142104_2.0006 (Michałowice Wieś)</t>
  </si>
  <si>
    <t>¦142104_2.0006.159/6.1_BUD.2_LOK_LOK</t>
  </si>
  <si>
    <t>-- brak danych --</t>
  </si>
  <si>
    <t>własność</t>
  </si>
  <si>
    <t>1 780 000,00zł</t>
  </si>
  <si>
    <t>2024/1074</t>
  </si>
  <si>
    <t>2024-04-30</t>
  </si>
  <si>
    <t>Akt notarialny 2642/2024 z dnia 2024-03-13</t>
  </si>
  <si>
    <t>2024-03-13</t>
  </si>
  <si>
    <t>Michałowice, Michałowice</t>
  </si>
  <si>
    <t>ul. Wesoła 23F lok. 1</t>
  </si>
  <si>
    <t>Lokal mieszkalny z własnością którego związany jest udział 1/2 części w nieruchomości wspólnej. Do lokalu przynależy kotłownia o powierzchni 3,48m2 oraz garaż znajdujący się w bryle budynku. Sprzedawany jest również udział 1/40 części we współwłasności działki drogowej nr ewid. 302 za cenę 100,00zł. Podana cena jest ceną łączną brutto.</t>
  </si>
  <si>
    <t>¦142104_2.0006.159/6_BUD.1_LOK_LOK</t>
  </si>
  <si>
    <t>1 799 900,00zł</t>
  </si>
  <si>
    <t>2024/821</t>
  </si>
  <si>
    <t>Piastów</t>
  </si>
  <si>
    <t>2024-03-21</t>
  </si>
  <si>
    <t>Akt notarialny 998/2024 z dnia 2024-02-09</t>
  </si>
  <si>
    <t>2024-02-09</t>
  </si>
  <si>
    <t>Piastów, Piastów</t>
  </si>
  <si>
    <t>ul. Kasprowicza J. 30C lok. 2</t>
  </si>
  <si>
    <t xml:space="preserve">Lokal mieszkalny z własnością którego związany jest udział 13450/49413 części wspólnej nieruchomości. Do lokalu przynależy pomieszczenie gospodarcze o powierzchni 3,08m2. Do lokalu przylega balkon o powierzchni 5,36m2. balkon o powierzchni 9,54m2 oraz taras o powierzchni 6,14m2 i taras o powierzchni 9,65m2. Do lokalu przylega ogródek o powierzchni 180,20m2. Podana cena jest ceną łączną brutto. </t>
  </si>
  <si>
    <t>142101_1.0007 (Piastów 07)</t>
  </si>
  <si>
    <t>¦142101_1.0007.472/4.2_BUD.2_LOK_LOK</t>
  </si>
  <si>
    <t>1 245 000,00zł</t>
  </si>
  <si>
    <t>2024/859</t>
  </si>
  <si>
    <t>Akt notarialny 887/2024 z dnia 2024-01-26</t>
  </si>
  <si>
    <t>2024-01-26</t>
  </si>
  <si>
    <t>Opacz-Kolonia, Michałowice</t>
  </si>
  <si>
    <t>ul. Platynowa 5/7 lok. 1</t>
  </si>
  <si>
    <t xml:space="preserve">Lokal mieszkalny z własności którego związany jest udział 15440/30868 części wspólnej nieruchomości. Sprzedawany jest również udział 1/12 części w nieruchomości drogowej działki ewid. nr 892 i 112/1 za cena 500,00zł oraz udział 1/18 części we współwłasności nieruchomości drogowej działki ewid. nr 895 za cenę 500,00zł. Podana cena jest ceną łączną brutto.  </t>
  </si>
  <si>
    <t>142104_2.0008 (Opacz Kolonia)</t>
  </si>
  <si>
    <t>¦142104_2.008.112/14.1_BUD.1_LOK_LOK</t>
  </si>
  <si>
    <t>1 451 413,16zł</t>
  </si>
  <si>
    <t>2024/953</t>
  </si>
  <si>
    <t>Raszyn</t>
  </si>
  <si>
    <t>2024-04-11</t>
  </si>
  <si>
    <t>Akt notarialny 244/2024 z dnia 2024-02-12</t>
  </si>
  <si>
    <t>2024-02-12</t>
  </si>
  <si>
    <t>Słomin, Raszyn</t>
  </si>
  <si>
    <t>ul. 6 Sierpnia 31 lok. 1</t>
  </si>
  <si>
    <t>Lokal mieszkalny z własnością którego związany jest udział 1/8 części nieruchomości wspólnej. Podana cena jest ceną łączną brutto.</t>
  </si>
  <si>
    <t>142106_2.0019 (Słomin)</t>
  </si>
  <si>
    <t>¦142106_2.0019.122/2.4_BUD.1_LOK_LOK</t>
  </si>
  <si>
    <t>790 000,00zł</t>
  </si>
  <si>
    <t>2024/858</t>
  </si>
  <si>
    <t>Akt notarialny 879/2024 z dnia 2024-01-26</t>
  </si>
  <si>
    <t>ul. Platynowa 9/11 lok. 1</t>
  </si>
  <si>
    <t>Lokal mieszkalny z własności którego związany jest udział 15463/30906 części wspólnej nieruchomości. Sprzedawany jest również udział 1/12 części w nieruchomości drogowej działki ewid. nr 892 i 112/1 za cena 500,00zł oraz udział  1/18 części we współwłasności nieruchomości drogowej działki ewid. nr 895 za cenę 500,00zł. Podana cena jest ceną łączną brutto.</t>
  </si>
  <si>
    <t>¦142104_2.0008.891.1_BUD.1_LOK_LOK</t>
  </si>
  <si>
    <t>1 400 827,81zł</t>
  </si>
  <si>
    <t>2024/924</t>
  </si>
  <si>
    <t>2024-04-05</t>
  </si>
  <si>
    <t>Akt notarialny 294/2024 z dnia 2024-02-08</t>
  </si>
  <si>
    <t>2024-02-08</t>
  </si>
  <si>
    <t>Dawidy Bankowe, Raszyn</t>
  </si>
  <si>
    <t>ul. Witosa W. 3A lok. 2</t>
  </si>
  <si>
    <t>Lokal mieszkalny z własnością którego związany jest udział 11879/23758 części nieruchomości wspólnej. Do lokalu przynależy garaż o powierzchni użytkowej 19,69m2. Sprzedawany jest również udział 2/32 części w nieruchomości drogowej działki ewid. nr 69/11 za cenę 500,00zł , udział udział 2/32 części w nieruchomości drogowej działki ewid. nr 69/13 za cenę 500,00zł i udział 2/32 części w nieruchomości drogowej działki ewid. nr 69/15 za cenę 2000,00zł. Podana cena jest ceną łączną brutto.</t>
  </si>
  <si>
    <t>142106_2.0002 (Dawidy Bankowe)</t>
  </si>
  <si>
    <t>¦142106_2.0002.69/10.1_BUD.2_LOK_LOK</t>
  </si>
  <si>
    <t>1 057 000,00zł</t>
  </si>
  <si>
    <t>2024/1113</t>
  </si>
  <si>
    <t>2024-05-14</t>
  </si>
  <si>
    <t>Akt notarialny 3392/2024 z dnia 2024-04-11</t>
  </si>
  <si>
    <t>Rynek wtórny</t>
  </si>
  <si>
    <t>Lokal mieszkalny z własnością którego związany jest udział 15463/30802 części w nieruchomości wspólnej. Do lokalu przynależy garaż. Cena jest brutto. Brak podanej ulicy w akcie.</t>
  </si>
  <si>
    <t>1 369 001,25zł</t>
  </si>
  <si>
    <t>2024/903</t>
  </si>
  <si>
    <t>2024-04-02</t>
  </si>
  <si>
    <t>Akt notarialny 803/2024 z dnia 2024-01-24</t>
  </si>
  <si>
    <t>2024-01-24</t>
  </si>
  <si>
    <t>ul. Rycerska 21 lok. 2</t>
  </si>
  <si>
    <t>Lokal mieszkalny z własnością którego związany jest udział 1/2 części nieruchomości wspólnej. Do lokalu przynależy garaż znajdujący się w bryle budynku. Podana cena jest ceną łączną brutto.</t>
  </si>
  <si>
    <t>¦142106_2.0002.34/19.1_BUD.2_LOK_LOK</t>
  </si>
  <si>
    <t>1 270 000,00zł</t>
  </si>
  <si>
    <t>2024/914</t>
  </si>
  <si>
    <t>Pruszków</t>
  </si>
  <si>
    <t>2024-04-04</t>
  </si>
  <si>
    <t>Akt notarialny 1208/2024 z dnia 2024-02-05</t>
  </si>
  <si>
    <t>2024-02-05</t>
  </si>
  <si>
    <t>Pruszków, Pruszków</t>
  </si>
  <si>
    <t>ul. Długosza Jana 45 lok. 27</t>
  </si>
  <si>
    <t>Lokal mieszkalny z własnością którego związany jest udział 17541/380592 części wspólnej nieruchomości. Do lokalu przynależą 2 balkony o pow. około 5.58 m2 i 4.59 m2, ogródek o pow. 137.07, 2 miejsca parkingowe o pow. 16.60 m2 i 16.74 m2. Sprzedawane jest również prawo do korzystania z zewnętrznego miejsca postojowego za 20500 zł. Cena jest łączna brutto. Adres: Pruszków ul. Jana Długosza 45 lok. 27.</t>
  </si>
  <si>
    <t>142102_1.0007 (Pruszków 07)</t>
  </si>
  <si>
    <t>¦142102_1.0007.39/4.1_BUD.27_LOK_LOK</t>
  </si>
  <si>
    <t>1 161 455,20zł</t>
  </si>
  <si>
    <t>2024/913</t>
  </si>
  <si>
    <t>Akt notarialny 1201/2024 z dnia 2024-02-05</t>
  </si>
  <si>
    <t>Lokal mieszkalny z własnością którego związany jest udział 19062/380592 części wspólnej nieruchomości. Do lokalu przynależą 2 balkony o pow. około 4.91 m2 i 6.64 m2, ogródek o pow. 176.01, 2 miejsca parkingowe o pow. 19.66 m2 i 16.73 m2. Sprzedawane jest również prawo do korzystania z zewnętrznego miejsca postojowego za 20500 zł. Cena jest łączna brutto. Adres: Pruszków ul. Jana Długosza 45 lok. 26.</t>
  </si>
  <si>
    <t>¦142102_1.0007.39/4.1_BUD.26_LOK_LOK</t>
  </si>
  <si>
    <t>1 259 348,80zł</t>
  </si>
  <si>
    <t>2024/994</t>
  </si>
  <si>
    <t>2024-04-18</t>
  </si>
  <si>
    <t>Akt notarialny 538/2024 z dnia 2024-02-19</t>
  </si>
  <si>
    <t>2024-02-19</t>
  </si>
  <si>
    <t>ul. Zalotna 16 lok. 1</t>
  </si>
  <si>
    <t>Lokal mieszkalny z własnością którego związany jest udział 446/716 części we współwłasności gruntu. Do lokalu przynależy pomieszczenie gospodarczo-garażowe w bryle budynku. Sprzedawany jest również udział 1/38 części w niezabudowanej działce nr ewid. 60/34 stanowiącej drogę wewnętrzną za cenę 100,00zł. Podana cena jest ceną łączną i zawiera kwotę 10000,00zł za infrastrukturę towarzyszącą. Brak PCC.</t>
  </si>
  <si>
    <t>¦142106_2.0002.60/17.1_BUD.1_LOK_LOK</t>
  </si>
  <si>
    <t>1 022 000,00zł</t>
  </si>
  <si>
    <t>2024/819</t>
  </si>
  <si>
    <t>Akt notarialny 690/2024 z dnia 2024-02-20</t>
  </si>
  <si>
    <t>2024-02-20</t>
  </si>
  <si>
    <t>ul. Żeromskiego S. 24A lok. 2</t>
  </si>
  <si>
    <t xml:space="preserve">Lokal mieszkalny z własnością którego związany jest udział 11529/23063 części w nieruchomości wspólnej. Do lokalu przynależy garaż o powierzchni 15,76m2. Podana cena jest ceną łączną brutto.  </t>
  </si>
  <si>
    <t>¦142101_1.0007.679/2.1_BUD.2_LOK_LOK</t>
  </si>
  <si>
    <t>930 000,00zł</t>
  </si>
  <si>
    <t>2024/927</t>
  </si>
  <si>
    <t>Akt notarialny 1138/2024 z dnia 2024-02-08</t>
  </si>
  <si>
    <t>Łady, Raszyn</t>
  </si>
  <si>
    <t>ul. Długa 12 lok. 1</t>
  </si>
  <si>
    <t>Lokal mieszkalny z własnością którego związany jest udział 16215/32691 części nieruchomości wspólnej. Do lokalu przynależy garaż. Podana cena jest ceną łączną. Pobrano PCC.</t>
  </si>
  <si>
    <t>142106_2.0009 (Łady)</t>
  </si>
  <si>
    <t>¦142106_2.0009.93/3.1_BUD.1_LOK_LOK</t>
  </si>
  <si>
    <t>1 300 000,00zł</t>
  </si>
  <si>
    <t>2024/712</t>
  </si>
  <si>
    <t>2024-03-07</t>
  </si>
  <si>
    <t>Akt notarialny 20978/2023 z dnia 2023-12-09</t>
  </si>
  <si>
    <t>2023-12-09</t>
  </si>
  <si>
    <t>ul. Kowalskiego S.J. 12 lok. 1</t>
  </si>
  <si>
    <t>Lokal mieszkalny z własnością którego związany jest udział 1/2 części wspólnej nieruchomości. Do lokalu przynależy garaż o powierzchni 20,02m2 oraz kotłownia o powierzchni 9,04m2.Podana cena jest ceną łączną. Brak PCC.</t>
  </si>
  <si>
    <t>142102_1.0005 (Pruszków 05)</t>
  </si>
  <si>
    <t>¦141102_1.0005.9/32.1_BUD.1_LOK_LOK</t>
  </si>
  <si>
    <t>1 010 000,00zł</t>
  </si>
  <si>
    <t>2024/896</t>
  </si>
  <si>
    <t>Brwinów - obszar wiejski</t>
  </si>
  <si>
    <t>2024-03-28</t>
  </si>
  <si>
    <t>Akt notarialny 419/2024 z dnia 2024-02-09</t>
  </si>
  <si>
    <t>Żółwin, Brwinów - obszar wiejski</t>
  </si>
  <si>
    <t>ul. Wilgi 10A lok. 1</t>
  </si>
  <si>
    <t xml:space="preserve">Lokal mieszkalny z własnością którego związany jest udział 13098/51507 w części nieruchomości wspólnej. Do lokalu przynależy garaż. Sprzedawany jest także udział 1/4 części nieruchomości drogowej działki ewid. nr 451/19 za cenę 1000,00zł. udział 1/4 części nieruchomości drogowej działki ewid. nr 1/28 za cenę 250,00zł oraz udział 1/4 części nieruchomości drogowej działki ewid. nr 451/20 za cenę 250,00zł. Podana cena jest ceną łączną brutto.  </t>
  </si>
  <si>
    <t>142103_5.0019 (Żółwin)</t>
  </si>
  <si>
    <t>¦142103_5.0019.451/7.1_BUD.1_LOK_LOK</t>
  </si>
  <si>
    <t>998 500,00zł</t>
  </si>
  <si>
    <t>2024/1157</t>
  </si>
  <si>
    <t>2024-05-21</t>
  </si>
  <si>
    <t>Akt notarialny 7578/2024 z dnia 2024-03-26</t>
  </si>
  <si>
    <t>2024-03-26</t>
  </si>
  <si>
    <t>ul. Witosa W. 33C lok. 2</t>
  </si>
  <si>
    <t xml:space="preserve">Lokal mieszkalny z własnością którego związany jest udział 12371/157243 części w nieruchomości wspólnej. Do lokalu przynależy miejsce postojowe nr 8 i ogród o pow. 79.00 m2. Cena jest brutto.    </t>
  </si>
  <si>
    <t>142101_1.0006 (Piastów 06)</t>
  </si>
  <si>
    <t>¦142101_1.0006.957.5_BUD.2_LOK_LOK</t>
  </si>
  <si>
    <t>2024/910</t>
  </si>
  <si>
    <t>2024-04-03</t>
  </si>
  <si>
    <t>Akt notarialny 321/2024 z dnia 2024-02-01</t>
  </si>
  <si>
    <t>2024-02-01</t>
  </si>
  <si>
    <t>ul. Zalotna 5 lok. 2</t>
  </si>
  <si>
    <t>Lokal mieszkalny z własnością którego związany jest udział 424/713 części we współwłasności gruntu. Cena zawiera infrastrukturę towarzyszącą w cenie 8000,00zł. Sprzedawany jest również udział 1/76 części w niezabudowanej działce nr ewid. 60/34 stanowiącej wewnętrzną drogę dojazdowa za cenę 100,00zł. Podana cena jest ceną łączną. Brak PCC.</t>
  </si>
  <si>
    <t>¦142106_2.0002.60/31.1_BUD.2_LOK_LOK</t>
  </si>
  <si>
    <t>997 000,00zł</t>
  </si>
  <si>
    <t>2024/1081</t>
  </si>
  <si>
    <t>Akt notarialny 3170/2024 z dnia 2024-03-18</t>
  </si>
  <si>
    <t>2024-03-18</t>
  </si>
  <si>
    <t>Reguły, Michałowice</t>
  </si>
  <si>
    <t>ul. Żytnia 17G lok. 1</t>
  </si>
  <si>
    <t xml:space="preserve">Lokal mieszkalny z własnością którego związany jest udział 1/2 części w działce gruntu na której znajduje się budynek. Do lokalu przylegają 3 balkony o powierzchni 14,10m2, 7,20m2 i 8,30m2 oraz taras o powierzchni 18,90m2.W bryle budynku znajduje się garaż przynależny do lokalu. Sprzedawany jest również udział 2/44 części w nieruchomości drogowej stanowiącej wew. drogę dojazdowa za cenę 1000,00zł. Podana cena jest ceną łączną brutto. </t>
  </si>
  <si>
    <t>142104_2.0013 (Reguły)</t>
  </si>
  <si>
    <t>¦142104_2.0013.165/3.1_BUD.1_LOK_LOK</t>
  </si>
  <si>
    <t>2024/1083</t>
  </si>
  <si>
    <t>Akt notarialny 3334/2024 z dnia 2024-03-21</t>
  </si>
  <si>
    <t>ul. Żytnia 17J lok. 2</t>
  </si>
  <si>
    <t xml:space="preserve">Lokal mieszkalny z własnością którego związany jest udział 1469/5933 części nieruchomości wspólnej. Do lokalu przylegają 2 balkony o powierzchni 13,90m2, 5,40m2. W bryle budynku znajduje się garaż przynależny do lokalu. Sprzedawany jest również udział 1/44 części w nieruchomości drogowej stanowiącej wew. drogę dojazdowa za cenę 1000,00zł. Podana cena jest ceną łączną brutto.  </t>
  </si>
  <si>
    <t>¦142104_2.0013.165/1.1_BUD.2_LOK_LOK</t>
  </si>
  <si>
    <t>do 120</t>
  </si>
  <si>
    <t>120-150</t>
  </si>
  <si>
    <t>POW. 150</t>
  </si>
  <si>
    <t>średnia</t>
  </si>
  <si>
    <t>Reguły</t>
  </si>
  <si>
    <t>Łady</t>
  </si>
  <si>
    <t>Opacz-Kolonia</t>
  </si>
  <si>
    <t>Dawidy Bankowe</t>
  </si>
  <si>
    <t>Żółwin</t>
  </si>
  <si>
    <t>Żytnia</t>
  </si>
  <si>
    <t>Długa</t>
  </si>
  <si>
    <t>Platynowa</t>
  </si>
  <si>
    <t>Rycerska</t>
  </si>
  <si>
    <t>Witosa</t>
  </si>
  <si>
    <t>Żeromskiego</t>
  </si>
  <si>
    <t xml:space="preserve">Zalotna </t>
  </si>
  <si>
    <t xml:space="preserve">Kowalskiego </t>
  </si>
  <si>
    <t xml:space="preserve">Wilgi </t>
  </si>
  <si>
    <t>Kasprowicza</t>
  </si>
  <si>
    <t>Zalotna</t>
  </si>
  <si>
    <t xml:space="preserve">Długosza </t>
  </si>
  <si>
    <t>2024/947</t>
  </si>
  <si>
    <t>2024-04-10</t>
  </si>
  <si>
    <t>Akt notarialny 1288/2024 z dnia 2024-02-06</t>
  </si>
  <si>
    <t>2024-02-06</t>
  </si>
  <si>
    <t>ul. Długosza Jana 45 lok. 24</t>
  </si>
  <si>
    <t xml:space="preserve">Lokal mieszkalny z własnością z własnością którego związany jest udział 15016/380592 w części wspólnej nieruchomości. Do lokalu przynależy 2 balkony o pow. 3.78 m2 i 4.37 m2, taras o pow. 3.91 m2, ogródek o pow. 39.22 m2, garaż o pow. 16.29 m2. Podana cena jest ceną łączną i zawiera podatek VAT. </t>
  </si>
  <si>
    <t>¦142102_1.0007.39/4.1_BUD.24_LOK_LOK</t>
  </si>
  <si>
    <t>899 365,50zł</t>
  </si>
  <si>
    <t>2024/1086</t>
  </si>
  <si>
    <t>Brwinów - miasto</t>
  </si>
  <si>
    <t>2024-05-06</t>
  </si>
  <si>
    <t>Akt notarialny 1229/2024 z dnia 2024-02-19</t>
  </si>
  <si>
    <t>Brwinów, Brwinów - miasto</t>
  </si>
  <si>
    <t>ul. Wigusin 22 lok. 2</t>
  </si>
  <si>
    <t xml:space="preserve">Lokal mieszkalny z własnością którego związany jest udział 1/2 części w nieruchomości wspólnej. Podana cena jest ceną brutto i zawiera podatek VAT.    </t>
  </si>
  <si>
    <t>142103_4.0006 (Brwinów 06)</t>
  </si>
  <si>
    <t>¦142103_4.0006.217/3.1_BUD.2_LOK_LOK</t>
  </si>
  <si>
    <t>700 000,00zł</t>
  </si>
  <si>
    <t>2024/1056</t>
  </si>
  <si>
    <t>Nadarzyn</t>
  </si>
  <si>
    <t>2024-04-29</t>
  </si>
  <si>
    <t>Akt notarialny 953/2024 z dnia 2024-02-16</t>
  </si>
  <si>
    <t>2024-02-16</t>
  </si>
  <si>
    <t>Walendów, Nadarzyn</t>
  </si>
  <si>
    <t>ul. Brzozowa 112H lok. 1</t>
  </si>
  <si>
    <t xml:space="preserve">Lokal mieszkalny z własnością którego związany jest udział 18770/37540 części nieruchomości wspólnej z garażem w bryle budynku. Sprzedawany jest również udział 1/178 części w nieruchomości wchodzących w skład terenów wspólnych za cenę 415,58zł. Podana cena jest ceną łączną brutto. </t>
  </si>
  <si>
    <t>142105_2.0016 (Walendów)</t>
  </si>
  <si>
    <t>¦142105_2.0016.108/191.1_BUD.1_LOK_LOK</t>
  </si>
  <si>
    <t>1 199 584,42zł</t>
  </si>
  <si>
    <t>Brwinów</t>
  </si>
  <si>
    <t>Walendów</t>
  </si>
  <si>
    <t>Wigusin</t>
  </si>
  <si>
    <t>Brzozowa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</si>
</sst>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* #,##0.00\ &quot;zł&quot;_-;\-* #,##0.00\ &quot;zł&quot;_-;_-* &quot;-&quot;??\ &quot;zł&quot;_-;_-@_-"/>
    <numFmt numFmtId="164" formatCode="_-* #,##0.00\ _z_ł_-;\-* #,##0.00\ _z_ł_-;_-* &quot;-&quot;??\ _z_ł_-;_-@_-"/>
    <numFmt numFmtId="165" formatCode="#,##0.00\ &quot;zł&quot;"/>
    <numFmt numFmtId="166" formatCode="0.0000"/>
    <numFmt numFmtId="167" formatCode="#,##0.00_ ;[Red]\-#,##0.00\ "/>
    <numFmt numFmtId="168" formatCode="#,##0_ ;[Red]\-#,##0\ "/>
    <numFmt numFmtId="169" formatCode="&quot;Cmin&quot;\ @"/>
    <numFmt numFmtId="170" formatCode="#,##0.00000"/>
    <numFmt numFmtId="171" formatCode="#,##0.0000\ _z_ł"/>
    <numFmt numFmtId="172" formatCode="yyyy/mm/dd;@"/>
    <numFmt numFmtId="173" formatCode="_-* #,##0\ _z_ł_-;\-* #,##0\ _z_ł_-;_-* &quot;-&quot;??\ _z_ł_-;_-@_-"/>
    <numFmt numFmtId="174" formatCode="0.000"/>
    <numFmt numFmtId="175" formatCode="#,##0\ &quot;zł&quot;"/>
  </numFmts>
  <fonts count="30">
    <font>
      <sz val="10"/>
      <name val="Arial CE"/>
    </font>
    <font>
      <sz val="10"/>
      <name val="Arial CE"/>
    </font>
    <font>
      <sz val="10"/>
      <name val="Arial CE"/>
      <charset val="238"/>
    </font>
    <font>
      <sz val="12"/>
      <name val="PL Toronto"/>
    </font>
    <font>
      <sz val="12"/>
      <name val="Times New Roman"/>
      <family val="1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vertAlign val="subscript"/>
      <sz val="9"/>
      <name val="Arial"/>
      <family val="2"/>
      <charset val="238"/>
    </font>
    <font>
      <i/>
      <sz val="9"/>
      <name val="Arial"/>
      <family val="2"/>
      <charset val="238"/>
    </font>
    <font>
      <b/>
      <i/>
      <sz val="9"/>
      <name val="Arial"/>
      <family val="2"/>
      <charset val="238"/>
    </font>
    <font>
      <sz val="12"/>
      <color rgb="FF990000"/>
      <name val="Arial"/>
      <family val="2"/>
      <charset val="238"/>
    </font>
    <font>
      <b/>
      <sz val="9"/>
      <color rgb="FFC00000"/>
      <name val="Calibri"/>
      <family val="2"/>
      <charset val="238"/>
      <scheme val="minor"/>
    </font>
    <font>
      <sz val="9"/>
      <color theme="1" tint="0.499984740745262"/>
      <name val="Calibri"/>
      <family val="2"/>
      <charset val="238"/>
      <scheme val="minor"/>
    </font>
    <font>
      <b/>
      <vertAlign val="subscript"/>
      <sz val="9"/>
      <color rgb="FFC00000"/>
      <name val="Arial"/>
      <family val="2"/>
      <charset val="238"/>
    </font>
    <font>
      <sz val="9"/>
      <color rgb="FFFF0000"/>
      <name val="Arial"/>
      <family val="2"/>
      <charset val="238"/>
    </font>
    <font>
      <b/>
      <vertAlign val="superscript"/>
      <sz val="9"/>
      <name val="Arial"/>
      <family val="2"/>
      <charset val="238"/>
    </font>
    <font>
      <vertAlign val="superscript"/>
      <sz val="9"/>
      <name val="Arial"/>
      <family val="2"/>
      <charset val="238"/>
    </font>
    <font>
      <b/>
      <u/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Arial CE"/>
      <charset val="238"/>
    </font>
    <font>
      <b/>
      <i/>
      <sz val="9"/>
      <color rgb="FFFF0000"/>
      <name val="Arial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 applyAlignment="0">
      <alignment horizontal="center" vertical="center"/>
    </xf>
    <xf numFmtId="0" fontId="2" fillId="0" borderId="0"/>
    <xf numFmtId="0" fontId="5" fillId="0" borderId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10" fillId="0" borderId="0"/>
    <xf numFmtId="0" fontId="9" fillId="0" borderId="0"/>
    <xf numFmtId="0" fontId="2" fillId="0" borderId="0"/>
    <xf numFmtId="167" fontId="4" fillId="0" borderId="0">
      <alignment vertical="center"/>
    </xf>
    <xf numFmtId="0" fontId="3" fillId="0" borderId="0"/>
    <xf numFmtId="9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6" borderId="0" applyNumberFormat="0" applyFont="0" applyBorder="0" applyAlignment="0" applyProtection="0"/>
    <xf numFmtId="0" fontId="25" fillId="7" borderId="0" applyNumberFormat="0" applyFont="0" applyBorder="0" applyAlignment="0" applyProtection="0"/>
  </cellStyleXfs>
  <cellXfs count="127">
    <xf numFmtId="0" fontId="0" fillId="0" borderId="0" xfId="0">
      <alignment horizontal="center" vertical="center"/>
    </xf>
    <xf numFmtId="0" fontId="12" fillId="0" borderId="0" xfId="16" applyFont="1" applyAlignment="1">
      <alignment vertical="center"/>
    </xf>
    <xf numFmtId="170" fontId="12" fillId="0" borderId="0" xfId="16" applyNumberFormat="1" applyFont="1" applyAlignment="1">
      <alignment vertical="center"/>
    </xf>
    <xf numFmtId="0" fontId="11" fillId="0" borderId="0" xfId="16" applyFont="1" applyAlignment="1">
      <alignment horizontal="right" vertical="center"/>
    </xf>
    <xf numFmtId="166" fontId="11" fillId="0" borderId="0" xfId="16" applyNumberFormat="1" applyFont="1" applyAlignment="1">
      <alignment vertical="center"/>
    </xf>
    <xf numFmtId="169" fontId="12" fillId="0" borderId="0" xfId="16" applyNumberFormat="1" applyFont="1" applyAlignment="1">
      <alignment vertical="center"/>
    </xf>
    <xf numFmtId="0" fontId="11" fillId="3" borderId="1" xfId="16" applyFont="1" applyFill="1" applyBorder="1" applyAlignment="1">
      <alignment vertical="center"/>
    </xf>
    <xf numFmtId="0" fontId="11" fillId="0" borderId="0" xfId="16" applyFont="1" applyAlignment="1">
      <alignment vertical="center"/>
    </xf>
    <xf numFmtId="171" fontId="11" fillId="0" borderId="0" xfId="16" applyNumberFormat="1" applyFont="1" applyAlignment="1">
      <alignment vertical="center"/>
    </xf>
    <xf numFmtId="0" fontId="11" fillId="0" borderId="0" xfId="16" applyFont="1" applyAlignment="1" applyProtection="1">
      <alignment horizontal="center" vertical="center"/>
      <protection locked="0"/>
    </xf>
    <xf numFmtId="0" fontId="11" fillId="0" borderId="0" xfId="16" applyFont="1" applyAlignment="1">
      <alignment horizontal="center" vertical="center" wrapText="1"/>
    </xf>
    <xf numFmtId="0" fontId="11" fillId="0" borderId="0" xfId="16" applyFont="1" applyAlignment="1">
      <alignment vertical="center" wrapText="1"/>
    </xf>
    <xf numFmtId="0" fontId="12" fillId="0" borderId="0" xfId="16" applyFont="1" applyAlignment="1">
      <alignment horizontal="center" vertical="center"/>
    </xf>
    <xf numFmtId="168" fontId="12" fillId="0" borderId="0" xfId="16" applyNumberFormat="1" applyFont="1" applyAlignment="1">
      <alignment horizontal="center" vertical="center"/>
    </xf>
    <xf numFmtId="168" fontId="12" fillId="0" borderId="0" xfId="16" applyNumberFormat="1" applyFont="1" applyAlignment="1" applyProtection="1">
      <alignment vertical="center"/>
      <protection locked="0"/>
    </xf>
    <xf numFmtId="0" fontId="12" fillId="0" borderId="0" xfId="16" applyFont="1" applyAlignment="1" applyProtection="1">
      <alignment vertical="center"/>
      <protection locked="0"/>
    </xf>
    <xf numFmtId="0" fontId="12" fillId="0" borderId="0" xfId="18" applyFont="1" applyAlignment="1" applyProtection="1">
      <alignment horizontal="left" vertical="center"/>
      <protection locked="0"/>
    </xf>
    <xf numFmtId="167" fontId="12" fillId="0" borderId="0" xfId="17" applyFont="1">
      <alignment vertical="center"/>
    </xf>
    <xf numFmtId="166" fontId="12" fillId="0" borderId="0" xfId="16" applyNumberFormat="1" applyFont="1" applyAlignment="1">
      <alignment vertical="center"/>
    </xf>
    <xf numFmtId="165" fontId="12" fillId="0" borderId="0" xfId="16" applyNumberFormat="1" applyFont="1" applyAlignment="1">
      <alignment vertical="center"/>
    </xf>
    <xf numFmtId="165" fontId="12" fillId="3" borderId="1" xfId="16" applyNumberFormat="1" applyFont="1" applyFill="1" applyBorder="1" applyAlignment="1">
      <alignment vertical="center"/>
    </xf>
    <xf numFmtId="2" fontId="11" fillId="3" borderId="1" xfId="16" applyNumberFormat="1" applyFont="1" applyFill="1" applyBorder="1" applyAlignment="1">
      <alignment horizontal="left" vertical="center"/>
    </xf>
    <xf numFmtId="165" fontId="11" fillId="3" borderId="1" xfId="16" applyNumberFormat="1" applyFont="1" applyFill="1" applyBorder="1" applyAlignment="1">
      <alignment vertical="center"/>
    </xf>
    <xf numFmtId="0" fontId="12" fillId="0" borderId="0" xfId="0" applyFont="1" applyAlignment="1">
      <alignment horizontal="justify" vertical="center"/>
    </xf>
    <xf numFmtId="0" fontId="12" fillId="0" borderId="0" xfId="0" applyFont="1">
      <alignment horizontal="center" vertical="center"/>
    </xf>
    <xf numFmtId="164" fontId="12" fillId="0" borderId="0" xfId="23" applyFont="1" applyFill="1" applyBorder="1" applyAlignment="1">
      <alignment vertical="center"/>
    </xf>
    <xf numFmtId="44" fontId="12" fillId="0" borderId="0" xfId="20" applyFont="1" applyFill="1" applyBorder="1" applyAlignment="1">
      <alignment vertical="center"/>
    </xf>
    <xf numFmtId="44" fontId="12" fillId="0" borderId="0" xfId="16" applyNumberFormat="1" applyFont="1" applyAlignment="1">
      <alignment vertical="center"/>
    </xf>
    <xf numFmtId="0" fontId="16" fillId="0" borderId="0" xfId="0" applyFont="1">
      <alignment horizontal="center" vertical="center"/>
    </xf>
    <xf numFmtId="164" fontId="12" fillId="0" borderId="0" xfId="23" applyFont="1" applyFill="1" applyBorder="1" applyAlignment="1">
      <alignment horizontal="justify" vertical="center"/>
    </xf>
    <xf numFmtId="164" fontId="12" fillId="0" borderId="0" xfId="23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168" fontId="12" fillId="0" borderId="5" xfId="16" applyNumberFormat="1" applyFont="1" applyBorder="1" applyAlignment="1">
      <alignment horizontal="center" vertical="center"/>
    </xf>
    <xf numFmtId="0" fontId="12" fillId="0" borderId="5" xfId="18" applyFont="1" applyBorder="1" applyAlignment="1" applyProtection="1">
      <alignment horizontal="left" vertical="center"/>
      <protection locked="0"/>
    </xf>
    <xf numFmtId="0" fontId="12" fillId="0" borderId="5" xfId="16" applyFont="1" applyBorder="1" applyAlignment="1">
      <alignment vertical="center"/>
    </xf>
    <xf numFmtId="168" fontId="15" fillId="4" borderId="5" xfId="16" applyNumberFormat="1" applyFont="1" applyFill="1" applyBorder="1" applyAlignment="1">
      <alignment vertical="center"/>
    </xf>
    <xf numFmtId="166" fontId="12" fillId="0" borderId="0" xfId="16" applyNumberFormat="1" applyFont="1" applyAlignment="1" applyProtection="1">
      <alignment vertical="center"/>
      <protection locked="0"/>
    </xf>
    <xf numFmtId="0" fontId="12" fillId="0" borderId="0" xfId="16" applyFont="1" applyAlignment="1">
      <alignment vertical="center" wrapText="1"/>
    </xf>
    <xf numFmtId="165" fontId="12" fillId="0" borderId="0" xfId="16" applyNumberFormat="1" applyFont="1" applyAlignment="1">
      <alignment vertical="center" wrapText="1"/>
    </xf>
    <xf numFmtId="49" fontId="17" fillId="2" borderId="4" xfId="2" applyNumberFormat="1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/>
    </xf>
    <xf numFmtId="0" fontId="12" fillId="0" borderId="0" xfId="16" quotePrefix="1" applyFont="1" applyAlignment="1">
      <alignment vertical="center"/>
    </xf>
    <xf numFmtId="0" fontId="12" fillId="0" borderId="0" xfId="16" quotePrefix="1" applyFont="1" applyAlignment="1">
      <alignment vertical="center" wrapText="1"/>
    </xf>
    <xf numFmtId="1" fontId="12" fillId="0" borderId="0" xfId="16" applyNumberFormat="1" applyFont="1" applyAlignment="1">
      <alignment vertical="center"/>
    </xf>
    <xf numFmtId="0" fontId="11" fillId="0" borderId="0" xfId="16" applyFont="1" applyAlignment="1">
      <alignment horizontal="center" vertical="center"/>
    </xf>
    <xf numFmtId="3" fontId="12" fillId="0" borderId="0" xfId="16" applyNumberFormat="1" applyFont="1" applyAlignment="1">
      <alignment vertical="center"/>
    </xf>
    <xf numFmtId="3" fontId="11" fillId="0" borderId="0" xfId="16" applyNumberFormat="1" applyFont="1" applyAlignment="1">
      <alignment vertical="center"/>
    </xf>
    <xf numFmtId="164" fontId="16" fillId="0" borderId="0" xfId="0" applyNumberFormat="1" applyFont="1">
      <alignment horizontal="center" vertical="center"/>
    </xf>
    <xf numFmtId="164" fontId="11" fillId="0" borderId="0" xfId="16" applyNumberFormat="1" applyFont="1" applyAlignment="1">
      <alignment vertical="center"/>
    </xf>
    <xf numFmtId="175" fontId="11" fillId="0" borderId="0" xfId="16" applyNumberFormat="1" applyFont="1" applyAlignment="1">
      <alignment vertical="center"/>
    </xf>
    <xf numFmtId="1" fontId="11" fillId="0" borderId="0" xfId="16" applyNumberFormat="1" applyFont="1" applyAlignment="1">
      <alignment vertical="center"/>
    </xf>
    <xf numFmtId="0" fontId="20" fillId="0" borderId="0" xfId="16" applyFont="1" applyAlignment="1">
      <alignment vertical="center"/>
    </xf>
    <xf numFmtId="2" fontId="0" fillId="0" borderId="0" xfId="0" applyNumberFormat="1">
      <alignment horizontal="center" vertical="center"/>
    </xf>
    <xf numFmtId="1" fontId="11" fillId="5" borderId="0" xfId="16" applyNumberFormat="1" applyFont="1" applyFill="1" applyAlignment="1">
      <alignment vertical="center"/>
    </xf>
    <xf numFmtId="44" fontId="11" fillId="3" borderId="1" xfId="2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2" fontId="12" fillId="0" borderId="9" xfId="0" applyNumberFormat="1" applyFont="1" applyBorder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49" fontId="11" fillId="0" borderId="9" xfId="2" applyNumberFormat="1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164" fontId="11" fillId="0" borderId="9" xfId="23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172" fontId="12" fillId="0" borderId="9" xfId="0" applyNumberFormat="1" applyFont="1" applyBorder="1" applyAlignment="1">
      <alignment horizontal="center"/>
    </xf>
    <xf numFmtId="0" fontId="12" fillId="0" borderId="9" xfId="0" applyFont="1" applyBorder="1" applyAlignment="1"/>
    <xf numFmtId="4" fontId="12" fillId="0" borderId="9" xfId="0" applyNumberFormat="1" applyFont="1" applyBorder="1" applyAlignment="1"/>
    <xf numFmtId="173" fontId="12" fillId="0" borderId="9" xfId="23" applyNumberFormat="1" applyFont="1" applyFill="1" applyBorder="1" applyAlignment="1">
      <alignment horizontal="right"/>
    </xf>
    <xf numFmtId="164" fontId="12" fillId="0" borderId="9" xfId="23" applyFont="1" applyFill="1" applyBorder="1" applyAlignment="1"/>
    <xf numFmtId="168" fontId="14" fillId="0" borderId="9" xfId="16" applyNumberFormat="1" applyFont="1" applyBorder="1" applyAlignment="1">
      <alignment horizontal="center" vertical="center"/>
    </xf>
    <xf numFmtId="9" fontId="12" fillId="0" borderId="9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9" fontId="11" fillId="0" borderId="9" xfId="0" applyNumberFormat="1" applyFont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0" fontId="12" fillId="0" borderId="9" xfId="0" quotePrefix="1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0" fontId="5" fillId="0" borderId="9" xfId="0" applyFont="1" applyBorder="1">
      <alignment horizontal="center" vertical="center"/>
    </xf>
    <xf numFmtId="164" fontId="12" fillId="0" borderId="9" xfId="0" applyNumberFormat="1" applyFont="1" applyBorder="1" applyAlignment="1">
      <alignment horizontal="center"/>
    </xf>
    <xf numFmtId="174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center" vertical="center" wrapText="1"/>
    </xf>
    <xf numFmtId="1" fontId="23" fillId="0" borderId="0" xfId="16" applyNumberFormat="1" applyFont="1" applyAlignment="1">
      <alignment vertical="center"/>
    </xf>
    <xf numFmtId="164" fontId="11" fillId="0" borderId="0" xfId="23" applyFont="1" applyFill="1" applyBorder="1" applyAlignment="1">
      <alignment horizontal="center" vertical="center" wrapText="1"/>
    </xf>
    <xf numFmtId="4" fontId="11" fillId="0" borderId="9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2" fontId="11" fillId="0" borderId="9" xfId="2" applyNumberFormat="1" applyFont="1" applyBorder="1" applyAlignment="1">
      <alignment horizontal="center" vertical="center" wrapText="1"/>
    </xf>
    <xf numFmtId="173" fontId="12" fillId="0" borderId="9" xfId="23" applyNumberFormat="1" applyFont="1" applyFill="1" applyBorder="1" applyAlignment="1"/>
    <xf numFmtId="3" fontId="24" fillId="0" borderId="0" xfId="16" applyNumberFormat="1" applyFont="1" applyAlignment="1">
      <alignment vertical="center"/>
    </xf>
    <xf numFmtId="14" fontId="0" fillId="4" borderId="0" xfId="0" applyNumberFormat="1" applyFill="1">
      <alignment horizontal="center" vertical="center"/>
    </xf>
    <xf numFmtId="0" fontId="0" fillId="4" borderId="0" xfId="0" applyFill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>
      <alignment horizontal="center" vertical="center"/>
    </xf>
    <xf numFmtId="0" fontId="26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right" vertical="center"/>
    </xf>
    <xf numFmtId="2" fontId="26" fillId="0" borderId="9" xfId="0" applyNumberFormat="1" applyFont="1" applyBorder="1" applyAlignment="1">
      <alignment horizontal="right" vertical="center"/>
    </xf>
    <xf numFmtId="172" fontId="12" fillId="0" borderId="9" xfId="0" applyNumberFormat="1" applyFont="1" applyBorder="1" applyAlignment="1">
      <alignment horizontal="left"/>
    </xf>
    <xf numFmtId="0" fontId="0" fillId="8" borderId="0" xfId="0" applyFill="1">
      <alignment horizontal="center" vertical="center"/>
    </xf>
    <xf numFmtId="49" fontId="17" fillId="2" borderId="6" xfId="2" applyNumberFormat="1" applyFont="1" applyFill="1" applyBorder="1" applyAlignment="1">
      <alignment horizontal="center" vertical="center" wrapText="1"/>
    </xf>
    <xf numFmtId="49" fontId="17" fillId="2" borderId="8" xfId="2" applyNumberFormat="1" applyFont="1" applyFill="1" applyBorder="1" applyAlignment="1">
      <alignment horizontal="center" vertical="center" wrapText="1"/>
    </xf>
    <xf numFmtId="49" fontId="17" fillId="2" borderId="7" xfId="2" applyNumberFormat="1" applyFont="1" applyFill="1" applyBorder="1" applyAlignment="1">
      <alignment horizontal="center" vertical="center" wrapText="1"/>
    </xf>
    <xf numFmtId="165" fontId="11" fillId="3" borderId="2" xfId="16" applyNumberFormat="1" applyFont="1" applyFill="1" applyBorder="1" applyAlignment="1">
      <alignment horizontal="center" vertical="center"/>
    </xf>
    <xf numFmtId="165" fontId="11" fillId="3" borderId="3" xfId="16" applyNumberFormat="1" applyFont="1" applyFill="1" applyBorder="1" applyAlignment="1">
      <alignment horizontal="center" vertical="center"/>
    </xf>
    <xf numFmtId="0" fontId="11" fillId="2" borderId="5" xfId="16" applyFont="1" applyFill="1" applyBorder="1" applyAlignment="1">
      <alignment horizontal="center" vertical="center" wrapText="1"/>
    </xf>
    <xf numFmtId="168" fontId="14" fillId="0" borderId="9" xfId="16" applyNumberFormat="1" applyFont="1" applyBorder="1" applyAlignment="1">
      <alignment horizontal="center" vertical="center"/>
    </xf>
    <xf numFmtId="0" fontId="11" fillId="0" borderId="0" xfId="18" applyFont="1" applyAlignment="1">
      <alignment horizontal="left" wrapText="1"/>
    </xf>
    <xf numFmtId="0" fontId="12" fillId="0" borderId="0" xfId="16" applyFont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49" fontId="11" fillId="0" borderId="9" xfId="2" applyNumberFormat="1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 vertical="center"/>
    </xf>
    <xf numFmtId="0" fontId="26" fillId="0" borderId="0" xfId="0" applyFont="1">
      <alignment horizontal="center" vertical="center"/>
    </xf>
    <xf numFmtId="1" fontId="26" fillId="0" borderId="0" xfId="0" applyNumberFormat="1" applyFont="1">
      <alignment horizontal="center" vertical="center"/>
    </xf>
    <xf numFmtId="168" fontId="27" fillId="4" borderId="5" xfId="16" applyNumberFormat="1" applyFont="1" applyFill="1" applyBorder="1" applyAlignment="1">
      <alignment vertical="center"/>
    </xf>
    <xf numFmtId="0" fontId="0" fillId="0" borderId="0" xfId="0" applyFill="1">
      <alignment horizontal="center" vertical="center"/>
    </xf>
    <xf numFmtId="0" fontId="0" fillId="0" borderId="0" xfId="0" applyAlignment="1"/>
    <xf numFmtId="0" fontId="28" fillId="0" borderId="0" xfId="0" applyFont="1" applyAlignment="1"/>
    <xf numFmtId="0" fontId="29" fillId="0" borderId="0" xfId="0" applyFont="1" applyAlignment="1"/>
    <xf numFmtId="0" fontId="29" fillId="9" borderId="0" xfId="0" applyFont="1" applyFill="1" applyAlignment="1"/>
    <xf numFmtId="1" fontId="0" fillId="4" borderId="0" xfId="0" applyNumberFormat="1" applyFill="1" applyAlignment="1"/>
    <xf numFmtId="168" fontId="15" fillId="9" borderId="5" xfId="16" applyNumberFormat="1" applyFont="1" applyFill="1" applyBorder="1" applyAlignment="1">
      <alignment vertical="center"/>
    </xf>
    <xf numFmtId="166" fontId="11" fillId="0" borderId="0" xfId="16" applyNumberFormat="1" applyFont="1" applyAlignment="1">
      <alignment horizontal="right" vertical="center"/>
    </xf>
    <xf numFmtId="1" fontId="0" fillId="8" borderId="0" xfId="0" applyNumberFormat="1" applyFill="1" applyAlignment="1"/>
    <xf numFmtId="0" fontId="23" fillId="0" borderId="0" xfId="16" applyFont="1" applyAlignment="1">
      <alignment vertical="center"/>
    </xf>
    <xf numFmtId="0" fontId="20" fillId="0" borderId="9" xfId="0" applyFont="1" applyBorder="1" applyAlignment="1">
      <alignment horizontal="left" vertical="center"/>
    </xf>
    <xf numFmtId="164" fontId="12" fillId="0" borderId="0" xfId="23" applyNumberFormat="1" applyFont="1" applyFill="1" applyBorder="1" applyAlignment="1">
      <alignment vertical="center"/>
    </xf>
  </cellXfs>
  <cellStyles count="40">
    <cellStyle name="[StdExit()]" xfId="1" xr:uid="{00000000-0005-0000-0000-000000000000}"/>
    <cellStyle name="[StdExit()] 2" xfId="2" xr:uid="{00000000-0005-0000-0000-000001000000}"/>
    <cellStyle name="Dziesiętny" xfId="23" builtinId="3"/>
    <cellStyle name="Dziesiętny 2" xfId="3" xr:uid="{00000000-0005-0000-0000-000003000000}"/>
    <cellStyle name="Dziesiętny 2 2" xfId="4" xr:uid="{00000000-0005-0000-0000-000004000000}"/>
    <cellStyle name="Dziesiętny 2 2 2" xfId="25" xr:uid="{00000000-0005-0000-0000-000005000000}"/>
    <cellStyle name="Dziesiętny 2 3" xfId="5" xr:uid="{00000000-0005-0000-0000-000006000000}"/>
    <cellStyle name="Dziesiętny 2 3 2" xfId="26" xr:uid="{00000000-0005-0000-0000-000007000000}"/>
    <cellStyle name="Dziesiętny 2 4" xfId="24" xr:uid="{00000000-0005-0000-0000-000008000000}"/>
    <cellStyle name="Dziesiętny 3" xfId="6" xr:uid="{00000000-0005-0000-0000-000009000000}"/>
    <cellStyle name="Dziesiętny 3 2" xfId="27" xr:uid="{00000000-0005-0000-0000-00000A000000}"/>
    <cellStyle name="Dziesiętny 4" xfId="7" xr:uid="{00000000-0005-0000-0000-00000B000000}"/>
    <cellStyle name="Dziesiętny 4 2" xfId="28" xr:uid="{00000000-0005-0000-0000-00000C000000}"/>
    <cellStyle name="Dziesiętny 5" xfId="8" xr:uid="{00000000-0005-0000-0000-00000D000000}"/>
    <cellStyle name="Dziesiętny 5 2" xfId="29" xr:uid="{00000000-0005-0000-0000-00000E000000}"/>
    <cellStyle name="Dziesiętny 6" xfId="9" xr:uid="{00000000-0005-0000-0000-00000F000000}"/>
    <cellStyle name="Dziesiętny 6 2" xfId="30" xr:uid="{00000000-0005-0000-0000-000010000000}"/>
    <cellStyle name="Dziesiętny 7" xfId="37" xr:uid="{00000000-0005-0000-0000-000011000000}"/>
    <cellStyle name="KolPoziom_" xfId="39" xr:uid="{E075D85D-6C09-434B-A2DA-3531F7DC0A91}"/>
    <cellStyle name="Normalny" xfId="0" builtinId="0"/>
    <cellStyle name="Normalny 2" xfId="10" xr:uid="{00000000-0005-0000-0000-000013000000}"/>
    <cellStyle name="Normalny 3" xfId="11" xr:uid="{00000000-0005-0000-0000-000014000000}"/>
    <cellStyle name="Normalny 3 2" xfId="31" xr:uid="{00000000-0005-0000-0000-000015000000}"/>
    <cellStyle name="Normalny 4" xfId="12" xr:uid="{00000000-0005-0000-0000-000016000000}"/>
    <cellStyle name="Normalny 4 2" xfId="32" xr:uid="{00000000-0005-0000-0000-000017000000}"/>
    <cellStyle name="Normalny 5" xfId="13" xr:uid="{00000000-0005-0000-0000-000018000000}"/>
    <cellStyle name="Normalny 5 2" xfId="33" xr:uid="{00000000-0005-0000-0000-000019000000}"/>
    <cellStyle name="Normalny 6" xfId="14" xr:uid="{00000000-0005-0000-0000-00001A000000}"/>
    <cellStyle name="Normalny 7" xfId="15" xr:uid="{00000000-0005-0000-0000-00001B000000}"/>
    <cellStyle name="Normalny_Baza lokale-Katowice" xfId="16" xr:uid="{00000000-0005-0000-0000-00001C000000}"/>
    <cellStyle name="Normalny_garaż" xfId="17" xr:uid="{00000000-0005-0000-0000-00001D000000}"/>
    <cellStyle name="Normalny_grunt" xfId="18" xr:uid="{00000000-0005-0000-0000-00001E000000}"/>
    <cellStyle name="Procentowy 2" xfId="19" xr:uid="{00000000-0005-0000-0000-00001F000000}"/>
    <cellStyle name="Walutowy" xfId="20" builtinId="4"/>
    <cellStyle name="Walutowy 2" xfId="21" xr:uid="{00000000-0005-0000-0000-000021000000}"/>
    <cellStyle name="Walutowy 2 2" xfId="35" xr:uid="{00000000-0005-0000-0000-000022000000}"/>
    <cellStyle name="Walutowy 3" xfId="22" xr:uid="{00000000-0005-0000-0000-000023000000}"/>
    <cellStyle name="Walutowy 3 2" xfId="36" xr:uid="{00000000-0005-0000-0000-000024000000}"/>
    <cellStyle name="Walutowy 4" xfId="34" xr:uid="{00000000-0005-0000-0000-000025000000}"/>
    <cellStyle name="WierszPoziom_" xfId="38" xr:uid="{158465A7-D774-4306-B929-0617635AB2EB}"/>
  </cellStyles>
  <dxfs count="2"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</font>
      <fill>
        <patternFill>
          <bgColor indexed="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5"/>
  <sheetViews>
    <sheetView tabSelected="1" topLeftCell="A10" zoomScale="85" zoomScaleNormal="85" zoomScaleSheetLayoutView="100" workbookViewId="0">
      <selection activeCell="D37" sqref="C34:D37"/>
    </sheetView>
  </sheetViews>
  <sheetFormatPr defaultColWidth="9.109375" defaultRowHeight="15.75" customHeight="1"/>
  <cols>
    <col min="1" max="1" width="2.44140625" style="1" customWidth="1"/>
    <col min="2" max="2" width="4.33203125" style="1" customWidth="1"/>
    <col min="3" max="3" width="31.33203125" style="1" customWidth="1"/>
    <col min="4" max="4" width="25.33203125" style="1" customWidth="1"/>
    <col min="5" max="5" width="8.33203125" style="1" customWidth="1"/>
    <col min="6" max="6" width="13.33203125" style="1" customWidth="1"/>
    <col min="7" max="7" width="11.44140625" style="1" customWidth="1"/>
    <col min="8" max="8" width="17.44140625" style="1" customWidth="1"/>
    <col min="9" max="9" width="4.5546875" style="1" bestFit="1" customWidth="1"/>
    <col min="10" max="10" width="6" style="1" bestFit="1" customWidth="1"/>
    <col min="11" max="11" width="25.6640625" style="1" customWidth="1"/>
    <col min="12" max="12" width="14.33203125" style="1" bestFit="1" customWidth="1"/>
    <col min="13" max="13" width="17" style="1" customWidth="1"/>
    <col min="14" max="14" width="20.33203125" style="1" bestFit="1" customWidth="1"/>
    <col min="15" max="15" width="11.109375" style="1" bestFit="1" customWidth="1"/>
    <col min="16" max="16" width="3.6640625" style="1" bestFit="1" customWidth="1"/>
    <col min="17" max="17" width="2.5546875" style="1" bestFit="1" customWidth="1"/>
    <col min="18" max="18" width="3.44140625" style="1" bestFit="1" customWidth="1"/>
    <col min="19" max="19" width="28.44140625" style="1" customWidth="1"/>
    <col min="20" max="20" width="16.6640625" style="1" customWidth="1"/>
    <col min="21" max="22" width="15" style="1" customWidth="1"/>
    <col min="23" max="16384" width="9.109375" style="1"/>
  </cols>
  <sheetData>
    <row r="1" spans="2:19" ht="15.75" customHeight="1">
      <c r="B1" s="105" t="s">
        <v>13</v>
      </c>
      <c r="C1" s="105"/>
      <c r="D1" s="105"/>
      <c r="E1" s="105"/>
      <c r="F1" s="105"/>
      <c r="G1" s="105"/>
      <c r="H1" s="105"/>
    </row>
    <row r="3" spans="2:19" ht="15.75" customHeight="1">
      <c r="B3" s="106" t="s">
        <v>0</v>
      </c>
      <c r="C3" s="106"/>
      <c r="D3" s="106"/>
      <c r="E3" s="106"/>
      <c r="F3" s="106"/>
      <c r="G3" s="106"/>
      <c r="H3" s="106"/>
    </row>
    <row r="4" spans="2:19" ht="15.75" customHeight="1">
      <c r="L4" s="2"/>
    </row>
    <row r="5" spans="2:19" ht="15.75" customHeight="1">
      <c r="C5" s="3" t="s">
        <v>17</v>
      </c>
      <c r="D5" s="44" t="str">
        <f>CONCATENATE(TEXT(K5,"0,00 zł")," / ",TEXT(K7,"0,00 zł")," = ",TEXT(F19,"0,0000"))</f>
        <v>6604,65 zł / 8214,18 zł = 0,8040</v>
      </c>
      <c r="E5" s="4"/>
      <c r="F5" s="5"/>
      <c r="J5" s="6" t="s">
        <v>3</v>
      </c>
      <c r="K5" s="54">
        <f>tabelki!K8</f>
        <v>6604.6474245666241</v>
      </c>
    </row>
    <row r="6" spans="2:19" ht="15.75" customHeight="1">
      <c r="C6" s="3" t="s">
        <v>18</v>
      </c>
      <c r="D6" s="7" t="str">
        <f>CONCATENATE(TEXT(K6,"0,00 zł")," / ",TEXT(K7,"0,00 zł")," = ",TEXT(G19,"0,0000"))</f>
        <v>9799,50 zł / 8214,18 zł = 1,1929</v>
      </c>
      <c r="E6" s="8"/>
      <c r="J6" s="6" t="s">
        <v>4</v>
      </c>
      <c r="K6" s="54">
        <f>tabelki!M8</f>
        <v>9799.4969114423966</v>
      </c>
    </row>
    <row r="7" spans="2:19" ht="15.75" customHeight="1">
      <c r="J7" s="6" t="s">
        <v>5</v>
      </c>
      <c r="K7" s="54">
        <f>tabelki!L8</f>
        <v>8214.183246932902</v>
      </c>
    </row>
    <row r="8" spans="2:19" ht="15.75" customHeight="1">
      <c r="B8" s="1" t="s">
        <v>9</v>
      </c>
      <c r="K8" s="9"/>
    </row>
    <row r="9" spans="2:19" ht="15.75" customHeight="1">
      <c r="B9" s="7" t="s">
        <v>6</v>
      </c>
    </row>
    <row r="10" spans="2:19" s="10" customFormat="1" ht="43.5" customHeight="1">
      <c r="B10" s="59" t="s">
        <v>1</v>
      </c>
      <c r="C10" s="59" t="s">
        <v>2</v>
      </c>
      <c r="D10" s="59" t="s">
        <v>44</v>
      </c>
      <c r="E10" s="59" t="s">
        <v>12</v>
      </c>
      <c r="F10" s="108" t="s">
        <v>7</v>
      </c>
      <c r="G10" s="108"/>
      <c r="H10" s="59" t="s">
        <v>43</v>
      </c>
      <c r="J10" s="103" t="s">
        <v>20</v>
      </c>
      <c r="K10" s="103"/>
      <c r="L10" s="103"/>
      <c r="M10" s="103"/>
      <c r="N10" s="103"/>
      <c r="O10" s="11"/>
      <c r="P10" s="11"/>
      <c r="Q10" s="11"/>
    </row>
    <row r="11" spans="2:19" s="12" customFormat="1" ht="15.75" hidden="1" customHeight="1">
      <c r="B11" s="68">
        <v>1</v>
      </c>
      <c r="C11" s="68">
        <v>2</v>
      </c>
      <c r="D11" s="68">
        <v>3</v>
      </c>
      <c r="E11" s="68">
        <v>4</v>
      </c>
      <c r="F11" s="104">
        <v>5</v>
      </c>
      <c r="G11" s="104"/>
      <c r="H11" s="68">
        <v>6</v>
      </c>
      <c r="J11" s="31"/>
      <c r="K11" s="31"/>
      <c r="L11" s="32">
        <v>2</v>
      </c>
      <c r="M11" s="32">
        <v>1</v>
      </c>
      <c r="N11" s="32">
        <v>0</v>
      </c>
      <c r="O11" s="13"/>
      <c r="P11" s="13"/>
      <c r="Q11" s="13"/>
    </row>
    <row r="12" spans="2:19" ht="17.25" customHeight="1">
      <c r="B12" s="56">
        <v>1</v>
      </c>
      <c r="C12" s="56" t="s">
        <v>19</v>
      </c>
      <c r="D12" s="56" t="s">
        <v>22</v>
      </c>
      <c r="E12" s="69">
        <v>0.3</v>
      </c>
      <c r="F12" s="70">
        <f>ROUND($K$5/$K$7*E12,4)</f>
        <v>0.2412</v>
      </c>
      <c r="G12" s="70">
        <f>ROUND($K$6/$K$7*E12,4)</f>
        <v>0.3579</v>
      </c>
      <c r="H12" s="70">
        <f>E12</f>
        <v>0.3</v>
      </c>
      <c r="I12" s="14"/>
      <c r="J12" s="35">
        <v>1</v>
      </c>
      <c r="K12" s="33" t="str">
        <f t="shared" ref="K12:K15" si="0">C12</f>
        <v>Lokalizacja i sąsiedztwo</v>
      </c>
      <c r="L12" s="34" t="s">
        <v>21</v>
      </c>
      <c r="M12" s="34" t="s">
        <v>22</v>
      </c>
      <c r="N12" s="34" t="s">
        <v>23</v>
      </c>
      <c r="O12" s="18"/>
      <c r="Q12" s="15"/>
    </row>
    <row r="13" spans="2:19" ht="17.25" customHeight="1">
      <c r="B13" s="56">
        <v>2</v>
      </c>
      <c r="C13" s="56" t="s">
        <v>47</v>
      </c>
      <c r="D13" s="56" t="s">
        <v>21</v>
      </c>
      <c r="E13" s="69">
        <v>0.1</v>
      </c>
      <c r="F13" s="70">
        <f t="shared" ref="F13:F18" si="1">ROUND($K$5/$K$7*E13,4)</f>
        <v>8.0399999999999999E-2</v>
      </c>
      <c r="G13" s="70">
        <f t="shared" ref="G13:G18" si="2">ROUND($K$6/$K$7*E13,4)</f>
        <v>0.1193</v>
      </c>
      <c r="H13" s="70">
        <f t="shared" ref="H13:H18" si="3">ROUND(F13+(((G13-F13)/2)*J13),4)</f>
        <v>0.1193</v>
      </c>
      <c r="I13" s="14"/>
      <c r="J13" s="35">
        <v>2</v>
      </c>
      <c r="K13" s="33" t="str">
        <f t="shared" si="0"/>
        <v>Stan techniczny i standard budynku</v>
      </c>
      <c r="L13" s="34" t="s">
        <v>21</v>
      </c>
      <c r="M13" s="34"/>
      <c r="N13" s="34" t="s">
        <v>22</v>
      </c>
      <c r="O13" s="36"/>
      <c r="P13" s="15"/>
      <c r="Q13" s="15"/>
    </row>
    <row r="14" spans="2:19" ht="17.25" customHeight="1">
      <c r="B14" s="56">
        <v>3</v>
      </c>
      <c r="C14" s="56" t="s">
        <v>10</v>
      </c>
      <c r="D14" s="56" t="s">
        <v>22</v>
      </c>
      <c r="E14" s="69">
        <v>0.15</v>
      </c>
      <c r="F14" s="70">
        <f t="shared" si="1"/>
        <v>0.1206</v>
      </c>
      <c r="G14" s="70">
        <f t="shared" si="2"/>
        <v>0.1789</v>
      </c>
      <c r="H14" s="70">
        <f>E14</f>
        <v>0.15</v>
      </c>
      <c r="I14" s="14"/>
      <c r="J14" s="35">
        <v>1</v>
      </c>
      <c r="K14" s="33" t="str">
        <f t="shared" si="0"/>
        <v>Wielkość lokalu</v>
      </c>
      <c r="L14" s="34" t="s">
        <v>21</v>
      </c>
      <c r="M14" s="34" t="s">
        <v>22</v>
      </c>
      <c r="N14" s="34" t="s">
        <v>23</v>
      </c>
      <c r="O14" s="18"/>
      <c r="P14" s="15"/>
      <c r="Q14" s="15"/>
    </row>
    <row r="15" spans="2:19" ht="17.25" hidden="1" customHeight="1">
      <c r="B15" s="56">
        <v>4</v>
      </c>
      <c r="C15" s="56" t="s">
        <v>11</v>
      </c>
      <c r="D15" s="56" t="s">
        <v>22</v>
      </c>
      <c r="E15" s="69">
        <v>0</v>
      </c>
      <c r="F15" s="70">
        <f t="shared" si="1"/>
        <v>0</v>
      </c>
      <c r="G15" s="70">
        <f t="shared" si="2"/>
        <v>0</v>
      </c>
      <c r="H15" s="70">
        <f t="shared" si="3"/>
        <v>0</v>
      </c>
      <c r="I15" s="14"/>
      <c r="J15" s="114">
        <v>1</v>
      </c>
      <c r="K15" s="33" t="str">
        <f t="shared" si="0"/>
        <v>Usytuowanie lokalu w budynku</v>
      </c>
      <c r="L15" s="34" t="s">
        <v>21</v>
      </c>
      <c r="M15" s="34" t="s">
        <v>22</v>
      </c>
      <c r="N15" s="34" t="s">
        <v>23</v>
      </c>
      <c r="O15" s="18"/>
      <c r="P15" s="16"/>
      <c r="Q15" s="16"/>
    </row>
    <row r="16" spans="2:19" ht="17.25" customHeight="1">
      <c r="B16" s="56">
        <v>4</v>
      </c>
      <c r="C16" s="56" t="s">
        <v>48</v>
      </c>
      <c r="D16" s="56" t="s">
        <v>23</v>
      </c>
      <c r="E16" s="69">
        <v>0.35</v>
      </c>
      <c r="F16" s="70">
        <f t="shared" si="1"/>
        <v>0.28139999999999998</v>
      </c>
      <c r="G16" s="70">
        <f t="shared" si="2"/>
        <v>0.41749999999999998</v>
      </c>
      <c r="H16" s="70">
        <f>M23</f>
        <v>0.32676666666666665</v>
      </c>
      <c r="I16" s="14"/>
      <c r="J16" s="121">
        <f>J21</f>
        <v>0.32676666666666665</v>
      </c>
      <c r="K16" s="33" t="str">
        <f t="shared" ref="K16" si="4">C16</f>
        <v>Standard i funkcjonalność lokalu</v>
      </c>
      <c r="L16" s="34" t="s">
        <v>21</v>
      </c>
      <c r="M16" s="34" t="s">
        <v>22</v>
      </c>
      <c r="N16" s="34" t="s">
        <v>23</v>
      </c>
      <c r="O16" s="18">
        <f>(G16-F16)/3</f>
        <v>4.5366666666666666E-2</v>
      </c>
      <c r="P16" s="16"/>
      <c r="Q16" s="16"/>
      <c r="S16" s="1" t="s">
        <v>306</v>
      </c>
    </row>
    <row r="17" spans="2:22" ht="17.25" hidden="1" customHeight="1">
      <c r="B17" s="56">
        <v>5</v>
      </c>
      <c r="C17" s="56" t="s">
        <v>41</v>
      </c>
      <c r="D17" s="56" t="s">
        <v>22</v>
      </c>
      <c r="E17" s="69">
        <v>0</v>
      </c>
      <c r="F17" s="70">
        <f t="shared" ref="F17" si="5">ROUND($K$5/$K$7*E17,4)</f>
        <v>0</v>
      </c>
      <c r="G17" s="70">
        <f t="shared" ref="G17" si="6">ROUND($K$6/$K$7*E17,4)</f>
        <v>0</v>
      </c>
      <c r="H17" s="70">
        <f t="shared" ref="H17" si="7">ROUND(F17+(((G17-F17)/2)*J17),4)</f>
        <v>0</v>
      </c>
      <c r="I17" s="14"/>
      <c r="J17" s="114">
        <v>1</v>
      </c>
      <c r="K17" s="33" t="s">
        <v>41</v>
      </c>
      <c r="L17" s="34" t="s">
        <v>21</v>
      </c>
      <c r="M17" s="34" t="s">
        <v>22</v>
      </c>
      <c r="N17" s="34" t="s">
        <v>23</v>
      </c>
      <c r="O17" s="18"/>
      <c r="P17" s="16"/>
      <c r="Q17" s="16"/>
    </row>
    <row r="18" spans="2:22" ht="17.25" customHeight="1">
      <c r="B18" s="56">
        <v>5</v>
      </c>
      <c r="C18" s="56" t="s">
        <v>51</v>
      </c>
      <c r="D18" s="56" t="s">
        <v>21</v>
      </c>
      <c r="E18" s="69">
        <v>0.1</v>
      </c>
      <c r="F18" s="70">
        <f t="shared" si="1"/>
        <v>8.0399999999999999E-2</v>
      </c>
      <c r="G18" s="70">
        <f t="shared" si="2"/>
        <v>0.1193</v>
      </c>
      <c r="H18" s="70">
        <f t="shared" si="3"/>
        <v>0.1193</v>
      </c>
      <c r="I18" s="14"/>
      <c r="J18" s="35">
        <v>2</v>
      </c>
      <c r="K18" s="33" t="str">
        <f>C18</f>
        <v>Dostępność powierzchni dodatkowych</v>
      </c>
      <c r="L18" s="34" t="s">
        <v>21</v>
      </c>
      <c r="M18" s="34"/>
      <c r="N18" s="34" t="s">
        <v>23</v>
      </c>
      <c r="O18" s="18"/>
      <c r="P18" s="16"/>
      <c r="Q18" s="16"/>
    </row>
    <row r="19" spans="2:22" ht="15.75" customHeight="1">
      <c r="B19" s="107" t="s">
        <v>8</v>
      </c>
      <c r="C19" s="107"/>
      <c r="D19" s="107"/>
      <c r="E19" s="71">
        <f>SUM(E12:E18)</f>
        <v>1</v>
      </c>
      <c r="F19" s="72">
        <f>ROUND(SUM(F12:F18),4)</f>
        <v>0.80400000000000005</v>
      </c>
      <c r="G19" s="72">
        <f>ROUND(SUM(G12:G18),4)</f>
        <v>1.1929000000000001</v>
      </c>
      <c r="H19" s="72">
        <f>SUM(H12:H18)</f>
        <v>1.0153666666666668</v>
      </c>
    </row>
    <row r="20" spans="2:22" ht="15.75" customHeight="1">
      <c r="F20" s="7">
        <v>1080000</v>
      </c>
      <c r="G20" s="46">
        <f>F20/G24</f>
        <v>7968.1274900398412</v>
      </c>
      <c r="H20" s="124">
        <v>1080000</v>
      </c>
      <c r="J20" s="4">
        <f>L23</f>
        <v>0.28139999999999998</v>
      </c>
      <c r="K20" s="1">
        <f>H20-F20</f>
        <v>0</v>
      </c>
      <c r="L20" s="1" t="s">
        <v>303</v>
      </c>
      <c r="M20" s="1" t="s">
        <v>304</v>
      </c>
      <c r="N20" s="1" t="s">
        <v>305</v>
      </c>
    </row>
    <row r="21" spans="2:22" ht="15.75" customHeight="1">
      <c r="B21" s="17"/>
      <c r="F21" s="53">
        <v>1115000</v>
      </c>
      <c r="G21" s="46">
        <f>F21/G24</f>
        <v>8226.353843883724</v>
      </c>
      <c r="H21" s="81">
        <v>1130000</v>
      </c>
      <c r="I21" s="51"/>
      <c r="J21" s="122">
        <f>M23</f>
        <v>0.32676666666666665</v>
      </c>
      <c r="K21" s="46">
        <f>H21-F21</f>
        <v>15000</v>
      </c>
      <c r="O21" s="18"/>
    </row>
    <row r="22" spans="2:22" ht="15.75" customHeight="1">
      <c r="E22" s="51"/>
      <c r="F22" s="50">
        <v>1150000</v>
      </c>
      <c r="G22" s="46">
        <f>F22/G24</f>
        <v>8484.5801977276078</v>
      </c>
      <c r="H22" s="81">
        <v>1181000</v>
      </c>
      <c r="J22" s="4">
        <f>N23</f>
        <v>0.37213333333333332</v>
      </c>
      <c r="K22" s="46">
        <f>H22-F22</f>
        <v>31000</v>
      </c>
      <c r="O22" s="18"/>
      <c r="S22" s="19"/>
    </row>
    <row r="23" spans="2:22" ht="15.75" customHeight="1">
      <c r="D23" s="6" t="s">
        <v>14</v>
      </c>
      <c r="F23" s="50"/>
      <c r="G23" s="46"/>
      <c r="H23" s="81"/>
      <c r="J23" s="51"/>
      <c r="K23" s="87"/>
      <c r="L23" s="4">
        <f>F16</f>
        <v>0.28139999999999998</v>
      </c>
      <c r="M23" s="4">
        <f>L23+O16</f>
        <v>0.32676666666666665</v>
      </c>
      <c r="N23" s="4">
        <f>M23+O16</f>
        <v>0.37213333333333332</v>
      </c>
      <c r="O23" s="18">
        <f>N23+O16</f>
        <v>0.41749999999999998</v>
      </c>
      <c r="S23" s="19"/>
    </row>
    <row r="24" spans="2:22" ht="15.75" customHeight="1">
      <c r="D24" s="20">
        <f>ROUND(K7*H19,2)</f>
        <v>8340.41</v>
      </c>
      <c r="F24" s="6" t="s">
        <v>15</v>
      </c>
      <c r="G24" s="21">
        <v>135.54</v>
      </c>
      <c r="H24" s="43">
        <f>H21-H20</f>
        <v>50000</v>
      </c>
      <c r="L24" s="7" t="s">
        <v>23</v>
      </c>
      <c r="M24" s="7" t="s">
        <v>306</v>
      </c>
      <c r="N24" s="7" t="s">
        <v>22</v>
      </c>
      <c r="O24" s="18" t="s">
        <v>21</v>
      </c>
    </row>
    <row r="25" spans="2:22" ht="15.75" customHeight="1">
      <c r="D25" s="20">
        <f>ROUND(D24*G24,2)</f>
        <v>1130459.17</v>
      </c>
      <c r="F25" s="101"/>
      <c r="G25" s="102"/>
      <c r="H25" s="43">
        <f>H22-H20</f>
        <v>101000</v>
      </c>
      <c r="O25" s="18"/>
    </row>
    <row r="26" spans="2:22" ht="15.75" customHeight="1">
      <c r="D26" s="22">
        <f>ROUND(D25,-3)</f>
        <v>1130000</v>
      </c>
      <c r="K26" s="43"/>
      <c r="L26" s="43"/>
      <c r="O26" s="18"/>
    </row>
    <row r="27" spans="2:22" ht="15.75" customHeight="1">
      <c r="D27" s="19"/>
      <c r="K27" s="49"/>
      <c r="L27" s="49"/>
      <c r="N27" s="19"/>
      <c r="R27" s="39" t="s">
        <v>1</v>
      </c>
      <c r="S27" s="39" t="s">
        <v>30</v>
      </c>
      <c r="T27" s="98" t="s">
        <v>31</v>
      </c>
      <c r="U27" s="99"/>
      <c r="V27" s="100"/>
    </row>
    <row r="28" spans="2:22" ht="15.75" customHeight="1">
      <c r="C28" s="29"/>
      <c r="D28" s="30"/>
      <c r="F28" s="46"/>
      <c r="G28" s="126">
        <v>0.85</v>
      </c>
      <c r="H28" s="25">
        <f>H20*G28</f>
        <v>918000</v>
      </c>
      <c r="K28" s="19"/>
      <c r="R28" s="40">
        <v>1</v>
      </c>
      <c r="S28" s="40" t="str">
        <f t="shared" ref="S28:V32" si="8">K12</f>
        <v>Lokalizacja i sąsiedztwo</v>
      </c>
      <c r="T28" s="40" t="str">
        <f t="shared" si="8"/>
        <v>bardzo dobra</v>
      </c>
      <c r="U28" s="40" t="str">
        <f t="shared" si="8"/>
        <v>dobra</v>
      </c>
      <c r="V28" s="40" t="str">
        <f t="shared" si="8"/>
        <v>przeciętna</v>
      </c>
    </row>
    <row r="29" spans="2:22" ht="15.75" customHeight="1">
      <c r="C29" s="29"/>
      <c r="D29" s="30"/>
      <c r="F29" s="45"/>
      <c r="G29" s="126">
        <v>0.85</v>
      </c>
      <c r="H29" s="25">
        <f>H21*G29</f>
        <v>960500</v>
      </c>
      <c r="K29" s="26"/>
      <c r="L29" s="27"/>
      <c r="R29" s="40">
        <v>2</v>
      </c>
      <c r="S29" s="40" t="str">
        <f t="shared" si="8"/>
        <v>Stan techniczny i standard budynku</v>
      </c>
      <c r="T29" s="40" t="str">
        <f t="shared" si="8"/>
        <v>bardzo dobra</v>
      </c>
      <c r="U29" s="40">
        <f t="shared" si="8"/>
        <v>0</v>
      </c>
      <c r="V29" s="40" t="str">
        <f t="shared" si="8"/>
        <v>dobra</v>
      </c>
    </row>
    <row r="30" spans="2:22" ht="15.75" customHeight="1">
      <c r="C30" s="23"/>
      <c r="D30" s="24"/>
      <c r="G30" s="126">
        <v>0.85</v>
      </c>
      <c r="H30" s="25">
        <f>H22*G30</f>
        <v>1003850</v>
      </c>
      <c r="R30" s="40">
        <v>3</v>
      </c>
      <c r="S30" s="40" t="str">
        <f t="shared" si="8"/>
        <v>Wielkość lokalu</v>
      </c>
      <c r="T30" s="40" t="str">
        <f t="shared" si="8"/>
        <v>bardzo dobra</v>
      </c>
      <c r="U30" s="40" t="str">
        <f t="shared" si="8"/>
        <v>dobra</v>
      </c>
      <c r="V30" s="40" t="str">
        <f t="shared" si="8"/>
        <v>przeciętna</v>
      </c>
    </row>
    <row r="31" spans="2:22" ht="15.75" customHeight="1">
      <c r="R31" s="40">
        <v>4</v>
      </c>
      <c r="S31" s="40" t="str">
        <f t="shared" si="8"/>
        <v>Usytuowanie lokalu w budynku</v>
      </c>
      <c r="T31" s="40" t="str">
        <f t="shared" si="8"/>
        <v>bardzo dobra</v>
      </c>
      <c r="U31" s="40" t="str">
        <f t="shared" si="8"/>
        <v>dobra</v>
      </c>
      <c r="V31" s="40" t="str">
        <f t="shared" si="8"/>
        <v>przeciętna</v>
      </c>
    </row>
    <row r="32" spans="2:22" ht="15.75" customHeight="1">
      <c r="H32" s="19"/>
      <c r="R32" s="40">
        <v>5</v>
      </c>
      <c r="S32" s="40" t="str">
        <f t="shared" si="8"/>
        <v>Standard i funkcjonalność lokalu</v>
      </c>
      <c r="T32" s="40" t="str">
        <f t="shared" si="8"/>
        <v>bardzo dobra</v>
      </c>
      <c r="U32" s="40" t="str">
        <f t="shared" si="8"/>
        <v>dobra</v>
      </c>
      <c r="V32" s="40" t="str">
        <f t="shared" si="8"/>
        <v>przeciętna</v>
      </c>
    </row>
    <row r="33" spans="3:22" ht="15.75" customHeight="1">
      <c r="H33" s="19"/>
      <c r="R33" s="40">
        <v>6</v>
      </c>
      <c r="S33" s="40" t="str">
        <f t="shared" ref="S33" si="9">K18</f>
        <v>Dostępność powierzchni dodatkowych</v>
      </c>
      <c r="T33" s="40" t="str">
        <f t="shared" ref="T33" si="10">L18</f>
        <v>bardzo dobra</v>
      </c>
      <c r="U33" s="40"/>
      <c r="V33" s="40" t="str">
        <f t="shared" ref="V33" si="11">N18</f>
        <v>przeciętna</v>
      </c>
    </row>
    <row r="34" spans="3:22" s="37" customFormat="1" ht="15.75" customHeight="1">
      <c r="C34" s="80" t="s">
        <v>49</v>
      </c>
      <c r="D34" s="78">
        <f>D24</f>
        <v>8340.41</v>
      </c>
      <c r="H34" s="19"/>
    </row>
    <row r="35" spans="3:22" s="37" customFormat="1" ht="15.75" customHeight="1">
      <c r="C35" s="80" t="s">
        <v>50</v>
      </c>
      <c r="D35" s="78">
        <f>G24</f>
        <v>135.54</v>
      </c>
      <c r="H35" s="38"/>
      <c r="R35" s="39" t="s">
        <v>1</v>
      </c>
      <c r="S35" s="39" t="s">
        <v>30</v>
      </c>
      <c r="T35" s="39" t="s">
        <v>32</v>
      </c>
      <c r="U35" s="39" t="s">
        <v>35</v>
      </c>
      <c r="V35" s="39" t="s">
        <v>36</v>
      </c>
    </row>
    <row r="36" spans="3:22" s="37" customFormat="1" ht="15.75" customHeight="1">
      <c r="C36" s="80" t="s">
        <v>33</v>
      </c>
      <c r="D36" s="78">
        <f>D25</f>
        <v>1130459.17</v>
      </c>
      <c r="O36" s="42"/>
      <c r="R36" s="40">
        <v>1</v>
      </c>
      <c r="S36" s="40" t="str">
        <f>S28</f>
        <v>Lokalizacja i sąsiedztwo</v>
      </c>
      <c r="T36" s="40"/>
      <c r="U36" s="40"/>
      <c r="V36" s="40"/>
    </row>
    <row r="37" spans="3:22" s="37" customFormat="1" ht="15.75" customHeight="1">
      <c r="C37" s="59" t="s">
        <v>34</v>
      </c>
      <c r="D37" s="79">
        <f>D26</f>
        <v>1130000</v>
      </c>
      <c r="O37" s="42"/>
      <c r="R37" s="40">
        <v>2</v>
      </c>
      <c r="S37" s="40" t="str">
        <f t="shared" ref="S37:S41" si="12">S29</f>
        <v>Stan techniczny i standard budynku</v>
      </c>
      <c r="T37" s="40"/>
      <c r="U37" s="40"/>
      <c r="V37" s="40"/>
    </row>
    <row r="38" spans="3:22" ht="16.5" customHeight="1">
      <c r="D38" s="28"/>
      <c r="O38" s="41"/>
      <c r="R38" s="40">
        <v>3</v>
      </c>
      <c r="S38" s="40" t="str">
        <f t="shared" si="12"/>
        <v>Wielkość lokalu</v>
      </c>
      <c r="T38" s="40"/>
      <c r="U38" s="40"/>
      <c r="V38" s="40"/>
    </row>
    <row r="39" spans="3:22" ht="16.5" customHeight="1">
      <c r="D39" s="47">
        <v>0.85</v>
      </c>
      <c r="O39" s="41"/>
      <c r="R39" s="40">
        <v>4</v>
      </c>
      <c r="S39" s="40" t="str">
        <f t="shared" si="12"/>
        <v>Usytuowanie lokalu w budynku</v>
      </c>
      <c r="T39" s="40"/>
      <c r="U39" s="40"/>
      <c r="V39" s="40"/>
    </row>
    <row r="40" spans="3:22" ht="16.5" customHeight="1">
      <c r="D40" s="28">
        <f>D37*D39</f>
        <v>960500</v>
      </c>
      <c r="O40" s="41"/>
      <c r="R40" s="40">
        <v>5</v>
      </c>
      <c r="S40" s="40" t="str">
        <f t="shared" si="12"/>
        <v>Standard i funkcjonalność lokalu</v>
      </c>
      <c r="T40" s="40"/>
      <c r="U40" s="40"/>
      <c r="V40" s="40"/>
    </row>
    <row r="41" spans="3:22" ht="16.5" customHeight="1">
      <c r="D41" s="48"/>
      <c r="H41" s="19"/>
      <c r="R41" s="40">
        <v>6</v>
      </c>
      <c r="S41" s="40" t="str">
        <f t="shared" si="12"/>
        <v>Dostępność powierzchni dodatkowych</v>
      </c>
      <c r="T41" s="40"/>
      <c r="U41" s="40"/>
      <c r="V41" s="40"/>
    </row>
    <row r="43" spans="3:22" ht="15.75" customHeight="1">
      <c r="S43" s="59" t="s">
        <v>30</v>
      </c>
      <c r="T43" s="59" t="s">
        <v>32</v>
      </c>
      <c r="U43" s="59" t="s">
        <v>46</v>
      </c>
      <c r="V43" s="59" t="s">
        <v>45</v>
      </c>
    </row>
    <row r="44" spans="3:22" ht="15.75" customHeight="1">
      <c r="S44" s="56" t="s">
        <v>38</v>
      </c>
      <c r="T44" s="55" t="s">
        <v>156</v>
      </c>
      <c r="U44" s="55" t="str">
        <f>'baza transakcji'!C9</f>
        <v>Walendów</v>
      </c>
      <c r="V44" s="55" t="str">
        <f>'baza transakcji'!C8</f>
        <v>Piastów</v>
      </c>
    </row>
    <row r="45" spans="3:22" ht="15.75" customHeight="1">
      <c r="S45" s="56" t="s">
        <v>56</v>
      </c>
      <c r="T45" s="73" t="s">
        <v>39</v>
      </c>
      <c r="U45" s="58">
        <f>'baza transakcji'!G9</f>
        <v>1239692.3215911554</v>
      </c>
      <c r="V45" s="58">
        <f>'baza transakcji'!G8</f>
        <v>1287653.894163531</v>
      </c>
    </row>
    <row r="46" spans="3:22" ht="15.75" customHeight="1">
      <c r="S46" s="56" t="s">
        <v>57</v>
      </c>
      <c r="T46" s="73" t="s">
        <v>39</v>
      </c>
      <c r="U46" s="58">
        <f>'baza transakcji'!I9</f>
        <v>6604.6474245666241</v>
      </c>
      <c r="V46" s="58">
        <f>'baza transakcji'!I8</f>
        <v>9799.4969114423966</v>
      </c>
    </row>
    <row r="47" spans="3:22" ht="15.75" customHeight="1">
      <c r="S47" s="56" t="s">
        <v>40</v>
      </c>
      <c r="T47" s="57">
        <f>D35</f>
        <v>135.54</v>
      </c>
      <c r="U47" s="74">
        <f>'baza transakcji'!E9</f>
        <v>187.7</v>
      </c>
      <c r="V47" s="57">
        <f>'baza transakcji'!E8</f>
        <v>131.4</v>
      </c>
    </row>
    <row r="48" spans="3:22" ht="15.75" hidden="1" customHeight="1">
      <c r="S48" s="56" t="s">
        <v>37</v>
      </c>
      <c r="T48" s="55"/>
      <c r="U48" s="55"/>
      <c r="V48" s="55"/>
    </row>
    <row r="49" spans="19:22" ht="15.75" customHeight="1">
      <c r="S49" s="56" t="str">
        <f>S36</f>
        <v>Lokalizacja i sąsiedztwo</v>
      </c>
      <c r="T49" s="56" t="str">
        <f>D12</f>
        <v>dobra</v>
      </c>
      <c r="U49" s="56" t="s">
        <v>23</v>
      </c>
      <c r="V49" s="56" t="s">
        <v>22</v>
      </c>
    </row>
    <row r="50" spans="19:22" ht="15.75" customHeight="1">
      <c r="S50" s="56" t="str">
        <f t="shared" ref="S50:S53" si="13">S37</f>
        <v>Stan techniczny i standard budynku</v>
      </c>
      <c r="T50" s="56" t="str">
        <f t="shared" ref="T50:T55" si="14">D13</f>
        <v>bardzo dobra</v>
      </c>
      <c r="U50" s="56" t="s">
        <v>21</v>
      </c>
      <c r="V50" s="56" t="s">
        <v>21</v>
      </c>
    </row>
    <row r="51" spans="19:22" ht="15.75" customHeight="1">
      <c r="S51" s="56" t="str">
        <f t="shared" si="13"/>
        <v>Wielkość lokalu</v>
      </c>
      <c r="T51" s="56" t="str">
        <f t="shared" si="14"/>
        <v>dobra</v>
      </c>
      <c r="U51" s="56" t="s">
        <v>23</v>
      </c>
      <c r="V51" s="56" t="s">
        <v>22</v>
      </c>
    </row>
    <row r="52" spans="19:22" ht="15.75" hidden="1" customHeight="1">
      <c r="S52" s="56" t="str">
        <f t="shared" si="13"/>
        <v>Usytuowanie lokalu w budynku</v>
      </c>
      <c r="T52" s="56" t="str">
        <f t="shared" si="14"/>
        <v>dobra</v>
      </c>
      <c r="U52" s="56"/>
      <c r="V52" s="56"/>
    </row>
    <row r="53" spans="19:22" ht="15.75" customHeight="1">
      <c r="S53" s="56" t="str">
        <f t="shared" si="13"/>
        <v>Standard i funkcjonalność lokalu</v>
      </c>
      <c r="T53" s="125" t="str">
        <f t="shared" si="14"/>
        <v>przeciętna</v>
      </c>
      <c r="U53" s="56" t="s">
        <v>23</v>
      </c>
      <c r="V53" s="56" t="s">
        <v>21</v>
      </c>
    </row>
    <row r="54" spans="19:22" ht="15.75" hidden="1" customHeight="1">
      <c r="S54" s="56" t="str">
        <f>K17</f>
        <v>Dostępność miejsc postojowych</v>
      </c>
      <c r="T54" s="56" t="str">
        <f t="shared" si="14"/>
        <v>dobra</v>
      </c>
      <c r="U54" s="56"/>
      <c r="V54" s="56"/>
    </row>
    <row r="55" spans="19:22" ht="15.75" customHeight="1">
      <c r="S55" s="56" t="str">
        <f>K18</f>
        <v>Dostępność powierzchni dodatkowych</v>
      </c>
      <c r="T55" s="56" t="str">
        <f t="shared" si="14"/>
        <v>bardzo dobra</v>
      </c>
      <c r="U55" s="56" t="s">
        <v>23</v>
      </c>
      <c r="V55" s="56" t="s">
        <v>21</v>
      </c>
    </row>
  </sheetData>
  <mergeCells count="8">
    <mergeCell ref="T27:V27"/>
    <mergeCell ref="F25:G25"/>
    <mergeCell ref="J10:N10"/>
    <mergeCell ref="F11:G11"/>
    <mergeCell ref="B1:H1"/>
    <mergeCell ref="B3:H3"/>
    <mergeCell ref="B19:D19"/>
    <mergeCell ref="F10:G10"/>
  </mergeCells>
  <phoneticPr fontId="2" type="noConversion"/>
  <conditionalFormatting sqref="D12:D18">
    <cfRule type="cellIs" dxfId="1" priority="9" stopIfTrue="1" operator="equal">
      <formula>0</formula>
    </cfRule>
  </conditionalFormatting>
  <conditionalFormatting sqref="L12:N18">
    <cfRule type="cellIs" dxfId="0" priority="1" stopIfTrue="1" operator="equal">
      <formula>0</formula>
    </cfRule>
  </conditionalFormatting>
  <dataValidations disablePrompts="1" count="1">
    <dataValidation type="whole" showErrorMessage="1" errorTitle="Błąd" error="wybrałeś spoza przedziału!!!" sqref="I12:I18" xr:uid="{00000000-0002-0000-0000-000000000000}">
      <formula1>1</formula1>
      <formula2>#REF!</formula2>
    </dataValidation>
  </dataValidations>
  <pageMargins left="0.98425196850393704" right="0.59055118110236227" top="1.3779527559055118" bottom="1.3779527559055118" header="0.51181102362204722" footer="0.51181102362204722"/>
  <pageSetup paperSize="9"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2"/>
  <sheetViews>
    <sheetView zoomScale="70" zoomScaleNormal="70" workbookViewId="0">
      <selection activeCell="I1" sqref="A1:I20"/>
    </sheetView>
  </sheetViews>
  <sheetFormatPr defaultRowHeight="13.2"/>
  <cols>
    <col min="1" max="1" width="3.6640625" customWidth="1"/>
    <col min="2" max="9" width="18.5546875" customWidth="1"/>
    <col min="10" max="11" width="20.6640625" customWidth="1"/>
    <col min="12" max="12" width="17.5546875" customWidth="1"/>
    <col min="15" max="15" width="12.33203125" customWidth="1"/>
    <col min="17" max="17" width="16.109375" customWidth="1"/>
  </cols>
  <sheetData>
    <row r="1" spans="1:12" ht="24">
      <c r="A1" s="59" t="s">
        <v>1</v>
      </c>
      <c r="B1" s="85" t="s">
        <v>16</v>
      </c>
      <c r="C1" s="85" t="s">
        <v>68</v>
      </c>
      <c r="D1" s="60" t="s">
        <v>69</v>
      </c>
      <c r="E1" s="83" t="s">
        <v>42</v>
      </c>
      <c r="F1" s="61" t="s">
        <v>53</v>
      </c>
      <c r="G1" s="61" t="s">
        <v>58</v>
      </c>
      <c r="H1" s="61" t="s">
        <v>54</v>
      </c>
      <c r="I1" s="61" t="s">
        <v>55</v>
      </c>
      <c r="J1" s="88">
        <v>45537</v>
      </c>
      <c r="K1" s="89"/>
      <c r="L1" s="82"/>
    </row>
    <row r="2" spans="1:12">
      <c r="A2" s="62">
        <v>1</v>
      </c>
      <c r="B2" s="63" t="s">
        <v>168</v>
      </c>
      <c r="C2" s="96" t="s">
        <v>309</v>
      </c>
      <c r="D2" s="64" t="s">
        <v>314</v>
      </c>
      <c r="E2" s="65">
        <v>154.4</v>
      </c>
      <c r="F2" s="66">
        <v>1452413.16</v>
      </c>
      <c r="G2" s="86">
        <f>F2*(1+0.005)^K2</f>
        <v>1505616.020862794</v>
      </c>
      <c r="H2" s="86">
        <f>F2/E2</f>
        <v>9406.8209844559569</v>
      </c>
      <c r="I2" s="86">
        <f>H2*(1+0.005)^K2</f>
        <v>9751.399098852291</v>
      </c>
      <c r="J2" s="115">
        <f>_xlfn.DAYS($J$1,B2)</f>
        <v>220</v>
      </c>
      <c r="K2" s="52">
        <f>J2/30.5</f>
        <v>7.2131147540983607</v>
      </c>
      <c r="L2" s="84"/>
    </row>
    <row r="3" spans="1:12">
      <c r="A3" s="62">
        <v>2</v>
      </c>
      <c r="B3" s="63" t="s">
        <v>168</v>
      </c>
      <c r="C3" s="96" t="s">
        <v>309</v>
      </c>
      <c r="D3" s="64" t="s">
        <v>314</v>
      </c>
      <c r="E3" s="65">
        <v>154.63</v>
      </c>
      <c r="F3" s="66">
        <v>1401827.81</v>
      </c>
      <c r="G3" s="86">
        <f>F3*(1+0.005)^K3</f>
        <v>1453177.6958196971</v>
      </c>
      <c r="H3" s="86">
        <f>F3/E3</f>
        <v>9065.6910690034274</v>
      </c>
      <c r="I3" s="86">
        <f>H3*(1+0.005)^K3</f>
        <v>9397.7733675205127</v>
      </c>
      <c r="J3" s="115">
        <f>_xlfn.DAYS($J$1,B3)</f>
        <v>220</v>
      </c>
      <c r="K3" s="52">
        <f>J3/30.5</f>
        <v>7.2131147540983607</v>
      </c>
      <c r="L3" s="84"/>
    </row>
    <row r="4" spans="1:12">
      <c r="A4" s="62">
        <v>3</v>
      </c>
      <c r="B4" s="63" t="s">
        <v>177</v>
      </c>
      <c r="C4" s="96" t="s">
        <v>309</v>
      </c>
      <c r="D4" s="64" t="s">
        <v>314</v>
      </c>
      <c r="E4" s="65">
        <v>154.63</v>
      </c>
      <c r="F4" s="66">
        <v>1369001.25</v>
      </c>
      <c r="G4" s="86">
        <f>F4*(1+0.005)^K4</f>
        <v>1401620.6809726283</v>
      </c>
      <c r="H4" s="86">
        <f>F4/E4</f>
        <v>8853.4000517364038</v>
      </c>
      <c r="I4" s="86">
        <f>H4*(1+0.005)^K4</f>
        <v>9064.3515551486016</v>
      </c>
      <c r="J4" s="115">
        <f>_xlfn.DAYS($J$1,B4)</f>
        <v>144</v>
      </c>
      <c r="K4" s="52">
        <f>J4/30.5</f>
        <v>4.721311475409836</v>
      </c>
      <c r="L4" s="84"/>
    </row>
    <row r="5" spans="1:12">
      <c r="A5" s="62">
        <v>4</v>
      </c>
      <c r="B5" s="63" t="s">
        <v>195</v>
      </c>
      <c r="C5" s="96" t="s">
        <v>308</v>
      </c>
      <c r="D5" s="64" t="s">
        <v>313</v>
      </c>
      <c r="E5" s="65">
        <v>162.15</v>
      </c>
      <c r="F5" s="66">
        <v>1300000</v>
      </c>
      <c r="G5" s="86">
        <f>F5*(1+0.005)^K5</f>
        <v>1344758.0876074906</v>
      </c>
      <c r="H5" s="86">
        <f>F5/E5</f>
        <v>8017.2679617637987</v>
      </c>
      <c r="I5" s="86">
        <f>H5*(1+0.005)^K5</f>
        <v>8293.2968708448388</v>
      </c>
      <c r="J5">
        <f>_xlfn.DAYS($J$1,B5)</f>
        <v>207</v>
      </c>
      <c r="K5" s="52">
        <f>J5/30.5</f>
        <v>6.7868852459016393</v>
      </c>
      <c r="L5" s="84"/>
    </row>
    <row r="6" spans="1:12">
      <c r="A6" s="62">
        <v>5</v>
      </c>
      <c r="B6" s="63" t="s">
        <v>292</v>
      </c>
      <c r="C6" s="96" t="s">
        <v>307</v>
      </c>
      <c r="D6" s="64" t="s">
        <v>312</v>
      </c>
      <c r="E6" s="65">
        <v>183.4</v>
      </c>
      <c r="F6" s="66">
        <v>1301000</v>
      </c>
      <c r="G6" s="86">
        <f>F6*(1+0.005)^K6</f>
        <v>1337237.0192430671</v>
      </c>
      <c r="H6" s="86">
        <f>F6/E6</f>
        <v>7093.7840785169028</v>
      </c>
      <c r="I6" s="86">
        <f>H6*(1+0.005)^K6</f>
        <v>7291.3686981628525</v>
      </c>
      <c r="J6">
        <f>_xlfn.DAYS($J$1,B6)</f>
        <v>168</v>
      </c>
      <c r="K6" s="52">
        <f>J6/30.5</f>
        <v>5.5081967213114753</v>
      </c>
      <c r="L6" s="84"/>
    </row>
    <row r="7" spans="1:12">
      <c r="A7" s="62">
        <v>6</v>
      </c>
      <c r="B7" s="63" t="s">
        <v>211</v>
      </c>
      <c r="C7" s="96" t="s">
        <v>310</v>
      </c>
      <c r="D7" s="64" t="s">
        <v>315</v>
      </c>
      <c r="E7" s="65">
        <v>149.99</v>
      </c>
      <c r="F7" s="66">
        <v>1270000</v>
      </c>
      <c r="G7" s="86">
        <f>F7*(1+0.005)^K7</f>
        <v>1316951.5864838655</v>
      </c>
      <c r="H7" s="86">
        <f>F7/E7</f>
        <v>8467.2311487432489</v>
      </c>
      <c r="I7" s="86">
        <f>H7*(1+0.005)^K7</f>
        <v>8780.2625940653743</v>
      </c>
      <c r="J7" s="115">
        <f>_xlfn.DAYS($J$1,B7)</f>
        <v>222</v>
      </c>
      <c r="K7" s="52">
        <f>J7/30.5</f>
        <v>7.278688524590164</v>
      </c>
      <c r="L7" s="84"/>
    </row>
    <row r="8" spans="1:12">
      <c r="A8" s="62">
        <v>7</v>
      </c>
      <c r="B8" s="63" t="s">
        <v>159</v>
      </c>
      <c r="C8" s="96" t="s">
        <v>156</v>
      </c>
      <c r="D8" s="64" t="s">
        <v>321</v>
      </c>
      <c r="E8" s="65">
        <v>131.4</v>
      </c>
      <c r="F8" s="66">
        <v>1245000</v>
      </c>
      <c r="G8" s="86">
        <f>F8*(1+0.005)^K8</f>
        <v>1287653.894163531</v>
      </c>
      <c r="H8" s="86">
        <f>F8/E8</f>
        <v>9474.8858447488583</v>
      </c>
      <c r="I8" s="86">
        <f>H8*(1+0.005)^K8</f>
        <v>9799.4969114423966</v>
      </c>
      <c r="J8" s="97">
        <f>_xlfn.DAYS($J$1,B8)</f>
        <v>206</v>
      </c>
      <c r="K8" s="52">
        <f>J8/30.5</f>
        <v>6.7540983606557381</v>
      </c>
      <c r="L8" s="84"/>
    </row>
    <row r="9" spans="1:12">
      <c r="A9" s="62">
        <v>8</v>
      </c>
      <c r="B9" s="63" t="s">
        <v>346</v>
      </c>
      <c r="C9" s="96" t="s">
        <v>354</v>
      </c>
      <c r="D9" s="64" t="s">
        <v>356</v>
      </c>
      <c r="E9" s="65">
        <v>187.7</v>
      </c>
      <c r="F9" s="66">
        <v>1200000</v>
      </c>
      <c r="G9" s="86">
        <f>F9*(1+0.005)^K9</f>
        <v>1239692.3215911554</v>
      </c>
      <c r="H9" s="86">
        <f>F9/E9</f>
        <v>6393.1806073521584</v>
      </c>
      <c r="I9" s="86">
        <f>H9*(1+0.005)^K9</f>
        <v>6604.6474245666241</v>
      </c>
      <c r="J9" s="97">
        <f>_xlfn.DAYS($J$1,B9)</f>
        <v>199</v>
      </c>
      <c r="K9" s="52">
        <f>J9/30.5</f>
        <v>6.5245901639344259</v>
      </c>
      <c r="L9" s="84"/>
    </row>
    <row r="10" spans="1:12">
      <c r="A10" s="62">
        <v>9</v>
      </c>
      <c r="B10" s="63" t="s">
        <v>220</v>
      </c>
      <c r="C10" s="96" t="s">
        <v>217</v>
      </c>
      <c r="D10" s="64" t="s">
        <v>323</v>
      </c>
      <c r="E10" s="65">
        <v>142.07</v>
      </c>
      <c r="F10" s="66">
        <v>1181955.2</v>
      </c>
      <c r="G10" s="86">
        <f>F10*(1+0.005)^K10</f>
        <v>1223249.0397068048</v>
      </c>
      <c r="H10" s="86">
        <f>F10/E10</f>
        <v>8319.5269937354824</v>
      </c>
      <c r="I10" s="86">
        <f>H10*(1+0.005)^K10</f>
        <v>8610.1853994988724</v>
      </c>
      <c r="J10" s="115">
        <f>_xlfn.DAYS($J$1,B10)</f>
        <v>210</v>
      </c>
      <c r="K10" s="52">
        <f>J10/30.5</f>
        <v>6.8852459016393439</v>
      </c>
      <c r="L10" s="84"/>
    </row>
    <row r="11" spans="1:12">
      <c r="A11" s="62">
        <v>10</v>
      </c>
      <c r="B11" s="63" t="s">
        <v>195</v>
      </c>
      <c r="C11" s="96" t="s">
        <v>310</v>
      </c>
      <c r="D11" s="64" t="s">
        <v>316</v>
      </c>
      <c r="E11" s="65">
        <v>118.79</v>
      </c>
      <c r="F11" s="66">
        <v>1060000</v>
      </c>
      <c r="G11" s="86">
        <f>F11*(1+0.005)^K11</f>
        <v>1096495.0560491846</v>
      </c>
      <c r="H11" s="86">
        <f>F11/E11</f>
        <v>8923.3100429329061</v>
      </c>
      <c r="I11" s="86">
        <f>H11*(1+0.005)^K11</f>
        <v>9230.5333449716691</v>
      </c>
      <c r="J11" s="115">
        <f>_xlfn.DAYS($J$1,B11)</f>
        <v>207</v>
      </c>
      <c r="K11" s="52">
        <f>J11/30.5</f>
        <v>6.7868852459016393</v>
      </c>
      <c r="L11" s="84"/>
    </row>
    <row r="12" spans="1:12">
      <c r="A12" s="62">
        <v>11</v>
      </c>
      <c r="B12" s="63" t="s">
        <v>235</v>
      </c>
      <c r="C12" s="96" t="s">
        <v>310</v>
      </c>
      <c r="D12" s="64" t="s">
        <v>318</v>
      </c>
      <c r="E12" s="65">
        <v>126.35</v>
      </c>
      <c r="F12" s="66">
        <v>1032100</v>
      </c>
      <c r="G12" s="86">
        <f>F12*(1+0.005)^K12</f>
        <v>1065715.7594500158</v>
      </c>
      <c r="H12" s="86">
        <f>F12/E12</f>
        <v>8168.5793430945787</v>
      </c>
      <c r="I12" s="86">
        <f>H12*(1+0.005)^K12</f>
        <v>8434.6320494658958</v>
      </c>
      <c r="J12">
        <f>_xlfn.DAYS($J$1,B12)</f>
        <v>196</v>
      </c>
      <c r="K12" s="52">
        <f>J12/30.5</f>
        <v>6.4262295081967213</v>
      </c>
      <c r="L12" s="84"/>
    </row>
    <row r="13" spans="1:12">
      <c r="A13" s="62">
        <v>12</v>
      </c>
      <c r="B13" s="63" t="s">
        <v>258</v>
      </c>
      <c r="C13" s="96" t="s">
        <v>217</v>
      </c>
      <c r="D13" s="64" t="s">
        <v>319</v>
      </c>
      <c r="E13" s="65">
        <v>127.36</v>
      </c>
      <c r="F13" s="66">
        <v>1010000</v>
      </c>
      <c r="G13" s="86">
        <f>F13*(1+0.005)^K13</f>
        <v>1055247.4463923946</v>
      </c>
      <c r="H13" s="86">
        <f>F13/E13</f>
        <v>7930.276381909548</v>
      </c>
      <c r="I13" s="86">
        <f>H13*(1+0.005)^K13</f>
        <v>8285.5484170257114</v>
      </c>
      <c r="J13">
        <f>_xlfn.DAYS($J$1,B13)</f>
        <v>268</v>
      </c>
      <c r="K13" s="52">
        <f>J13/30.5</f>
        <v>8.7868852459016402</v>
      </c>
      <c r="L13" s="84"/>
    </row>
    <row r="14" spans="1:12">
      <c r="A14" s="62">
        <v>13</v>
      </c>
      <c r="B14" s="63" t="s">
        <v>157</v>
      </c>
      <c r="C14" s="96" t="s">
        <v>307</v>
      </c>
      <c r="D14" s="64" t="s">
        <v>312</v>
      </c>
      <c r="E14" s="65">
        <v>146.9</v>
      </c>
      <c r="F14" s="66">
        <v>1023000</v>
      </c>
      <c r="G14" s="86">
        <f>F14*(1+0.005)^K14</f>
        <v>1050978.1152754955</v>
      </c>
      <c r="H14" s="86">
        <f>F14/E14</f>
        <v>6963.9210347174949</v>
      </c>
      <c r="I14" s="86">
        <f>H14*(1+0.005)^K14</f>
        <v>7154.3779120183481</v>
      </c>
      <c r="J14">
        <f>_xlfn.DAYS($J$1,B14)</f>
        <v>165</v>
      </c>
      <c r="K14" s="52">
        <f>J14/30.5</f>
        <v>5.4098360655737707</v>
      </c>
      <c r="L14" s="84"/>
    </row>
    <row r="15" spans="1:12">
      <c r="A15" s="62">
        <v>14</v>
      </c>
      <c r="B15" s="63" t="s">
        <v>285</v>
      </c>
      <c r="C15" s="96" t="s">
        <v>310</v>
      </c>
      <c r="D15" s="64" t="s">
        <v>322</v>
      </c>
      <c r="E15" s="65">
        <v>134.04</v>
      </c>
      <c r="F15" s="66">
        <v>1005100</v>
      </c>
      <c r="G15" s="86">
        <f>F15*(1+0.005)^K15</f>
        <v>1040895.7001156578</v>
      </c>
      <c r="H15" s="86">
        <f>F15/E15</f>
        <v>7498.5079080871383</v>
      </c>
      <c r="I15" s="86">
        <f>H15*(1+0.005)^K15</f>
        <v>7765.5602813761398</v>
      </c>
      <c r="J15">
        <f>_xlfn.DAYS($J$1,B15)</f>
        <v>214</v>
      </c>
      <c r="K15" s="52">
        <f>J15/30.5</f>
        <v>7.0163934426229506</v>
      </c>
      <c r="L15" s="84"/>
    </row>
    <row r="16" spans="1:12">
      <c r="A16" s="62">
        <v>15</v>
      </c>
      <c r="B16" s="63" t="s">
        <v>159</v>
      </c>
      <c r="C16" s="96" t="s">
        <v>311</v>
      </c>
      <c r="D16" s="64" t="s">
        <v>320</v>
      </c>
      <c r="E16" s="65">
        <v>130.97999999999999</v>
      </c>
      <c r="F16" s="66">
        <v>1000000</v>
      </c>
      <c r="G16" s="86">
        <f>F16*(1+0.005)^K16</f>
        <v>1034260.1559546434</v>
      </c>
      <c r="H16" s="86">
        <f>F16/E16</f>
        <v>7634.7533974652624</v>
      </c>
      <c r="I16" s="86">
        <f>H16*(1+0.005)^K16</f>
        <v>7896.3212395376659</v>
      </c>
      <c r="J16">
        <f>_xlfn.DAYS($J$1,B16)</f>
        <v>206</v>
      </c>
      <c r="K16" s="52">
        <f>J16/30.5</f>
        <v>6.7540983606557381</v>
      </c>
      <c r="L16" s="84"/>
    </row>
    <row r="17" spans="1:51">
      <c r="A17" s="62">
        <v>16</v>
      </c>
      <c r="B17" s="63" t="s">
        <v>242</v>
      </c>
      <c r="C17" s="96" t="s">
        <v>156</v>
      </c>
      <c r="D17" s="64" t="s">
        <v>317</v>
      </c>
      <c r="E17" s="65">
        <v>115.29</v>
      </c>
      <c r="F17" s="66">
        <v>930000</v>
      </c>
      <c r="G17" s="86">
        <f>F17*(1+0.005)^K17</f>
        <v>960133.31693532434</v>
      </c>
      <c r="H17" s="86">
        <f>F17/E17</f>
        <v>8066.6146239916725</v>
      </c>
      <c r="I17" s="86">
        <f>H17*(1+0.005)^K17</f>
        <v>8327.9843606151808</v>
      </c>
      <c r="J17">
        <f>_xlfn.DAYS($J$1,B17)</f>
        <v>195</v>
      </c>
      <c r="K17" s="52">
        <f>J17/30.5</f>
        <v>6.3934426229508201</v>
      </c>
      <c r="L17" s="84"/>
    </row>
    <row r="18" spans="1:51">
      <c r="A18" s="62">
        <v>17</v>
      </c>
      <c r="B18" s="63" t="s">
        <v>277</v>
      </c>
      <c r="C18" s="96" t="s">
        <v>156</v>
      </c>
      <c r="D18" s="64" t="s">
        <v>316</v>
      </c>
      <c r="E18" s="65">
        <v>123.71</v>
      </c>
      <c r="F18" s="66">
        <v>930000</v>
      </c>
      <c r="G18" s="86">
        <f>F18*(1+0.005)^K18</f>
        <v>954653.77772638772</v>
      </c>
      <c r="H18" s="86">
        <f>F18/E18</f>
        <v>7517.5814404656057</v>
      </c>
      <c r="I18" s="86">
        <f>H18*(1+0.005)^K18</f>
        <v>7716.8683026949147</v>
      </c>
      <c r="J18">
        <f>_xlfn.DAYS($J$1,B18)</f>
        <v>160</v>
      </c>
      <c r="K18" s="52">
        <f>J18/30.5</f>
        <v>5.2459016393442619</v>
      </c>
      <c r="L18" s="84"/>
    </row>
    <row r="19" spans="1:51">
      <c r="A19" s="62">
        <v>18</v>
      </c>
      <c r="B19" s="63" t="s">
        <v>327</v>
      </c>
      <c r="C19" s="96" t="s">
        <v>217</v>
      </c>
      <c r="D19" s="64" t="s">
        <v>323</v>
      </c>
      <c r="E19" s="65">
        <v>133.87</v>
      </c>
      <c r="F19" s="66">
        <v>899365.5</v>
      </c>
      <c r="G19" s="86">
        <f>F19*(1+0.005)^K19</f>
        <v>930634.33891864272</v>
      </c>
      <c r="H19" s="86">
        <f>F19/E19</f>
        <v>6718.2004930156118</v>
      </c>
      <c r="I19" s="86">
        <f>H19*(1+0.005)^K19</f>
        <v>6951.7766409101569</v>
      </c>
      <c r="J19">
        <f>_xlfn.DAYS($J$1,B19)</f>
        <v>209</v>
      </c>
      <c r="K19" s="52">
        <f>J19/30.5</f>
        <v>6.8524590163934427</v>
      </c>
      <c r="L19" s="84"/>
    </row>
    <row r="20" spans="1:51">
      <c r="A20" s="62">
        <v>19</v>
      </c>
      <c r="B20" s="63" t="s">
        <v>235</v>
      </c>
      <c r="C20" s="96" t="s">
        <v>353</v>
      </c>
      <c r="D20" s="64" t="s">
        <v>355</v>
      </c>
      <c r="E20" s="65">
        <v>107.67</v>
      </c>
      <c r="F20" s="66">
        <v>700000</v>
      </c>
      <c r="G20" s="86">
        <f>F20*(1+0.005)^K20</f>
        <v>722799.17800117354</v>
      </c>
      <c r="H20" s="86">
        <f>F20/E20</f>
        <v>6501.3467075322742</v>
      </c>
      <c r="I20" s="86">
        <f>H20*(1+0.005)^K20</f>
        <v>6713.0972230070902</v>
      </c>
      <c r="J20">
        <f>_xlfn.DAYS($J$1,B20)</f>
        <v>196</v>
      </c>
      <c r="K20" s="52">
        <f>J20/30.5</f>
        <v>6.4262295081967213</v>
      </c>
      <c r="L20" s="84"/>
    </row>
    <row r="21" spans="1:51">
      <c r="A21" s="62">
        <v>20</v>
      </c>
      <c r="B21" s="63"/>
      <c r="C21" s="96"/>
      <c r="D21" s="64"/>
      <c r="E21" s="65"/>
      <c r="F21" s="66"/>
      <c r="G21" s="86"/>
      <c r="H21" s="86"/>
      <c r="I21" s="86"/>
      <c r="J21" s="115"/>
      <c r="K21" s="52"/>
      <c r="L21" s="84"/>
    </row>
    <row r="22" spans="1:51">
      <c r="A22" s="62"/>
      <c r="B22" s="63"/>
      <c r="C22" s="63"/>
      <c r="D22" s="64"/>
      <c r="E22" s="65"/>
      <c r="F22" s="66"/>
      <c r="G22" s="86"/>
      <c r="H22" s="86"/>
      <c r="I22" s="86"/>
      <c r="K22" s="52"/>
      <c r="L22" s="84"/>
    </row>
    <row r="23" spans="1:51">
      <c r="A23" s="62"/>
      <c r="B23" s="63"/>
      <c r="C23" s="63"/>
      <c r="D23" s="64"/>
      <c r="E23" s="65"/>
      <c r="F23" s="66"/>
      <c r="G23" s="86"/>
      <c r="H23" s="86"/>
      <c r="I23" s="86"/>
      <c r="K23" s="52"/>
      <c r="L23" s="84"/>
    </row>
    <row r="24" spans="1:51">
      <c r="A24" s="62"/>
      <c r="B24" s="63"/>
      <c r="C24" s="63"/>
      <c r="D24" s="64"/>
      <c r="E24" s="65"/>
      <c r="F24" s="66"/>
      <c r="G24" s="86"/>
      <c r="H24" s="86"/>
      <c r="I24" s="86"/>
      <c r="K24" s="52"/>
      <c r="L24" s="84"/>
    </row>
    <row r="25" spans="1:51">
      <c r="A25" s="62"/>
      <c r="B25" s="63"/>
      <c r="C25" s="63"/>
      <c r="D25" s="64"/>
      <c r="E25" s="65"/>
      <c r="F25" s="66"/>
      <c r="G25" s="86"/>
      <c r="H25" s="86"/>
      <c r="I25" s="86"/>
      <c r="K25" s="52"/>
      <c r="L25" s="84"/>
    </row>
    <row r="26" spans="1:51">
      <c r="A26" s="62"/>
      <c r="B26" s="63"/>
      <c r="C26" s="63"/>
      <c r="D26" s="64"/>
      <c r="E26" s="65"/>
      <c r="F26" s="66"/>
      <c r="G26" s="86"/>
      <c r="H26" s="86"/>
      <c r="I26" s="86"/>
      <c r="K26" s="52"/>
      <c r="L26" s="84"/>
    </row>
    <row r="27" spans="1:51">
      <c r="A27" s="62"/>
      <c r="B27" s="63"/>
      <c r="C27" s="63"/>
      <c r="D27" s="64"/>
      <c r="E27" s="65"/>
      <c r="F27" s="66"/>
      <c r="G27" s="66"/>
      <c r="H27" s="86"/>
      <c r="I27" s="86"/>
      <c r="K27" s="52"/>
      <c r="L27" s="84"/>
    </row>
    <row r="28" spans="1:51">
      <c r="A28" s="62"/>
      <c r="B28" s="63"/>
      <c r="C28" s="63"/>
      <c r="D28" s="64"/>
      <c r="E28" s="65"/>
      <c r="F28" s="66"/>
      <c r="G28" s="66"/>
      <c r="H28" s="67"/>
      <c r="I28" s="67"/>
      <c r="K28" s="52"/>
      <c r="L28" s="84"/>
    </row>
    <row r="29" spans="1:51">
      <c r="A29" s="62"/>
      <c r="B29" s="63"/>
      <c r="C29" s="63"/>
      <c r="D29" s="64"/>
      <c r="E29" s="65"/>
      <c r="F29" s="66"/>
      <c r="G29" s="66"/>
      <c r="H29" s="67"/>
      <c r="I29" s="67"/>
      <c r="K29" s="52"/>
    </row>
    <row r="30" spans="1:51">
      <c r="A30" s="62"/>
      <c r="B30" s="63"/>
      <c r="C30" s="63"/>
      <c r="D30" s="64"/>
      <c r="E30" s="65"/>
      <c r="F30" s="66"/>
      <c r="G30" s="66"/>
      <c r="H30" s="67"/>
      <c r="I30" s="67"/>
      <c r="K30" s="52"/>
    </row>
    <row r="32" spans="1:51" s="116" customFormat="1" ht="14.4">
      <c r="B32" s="117" t="s">
        <v>81</v>
      </c>
      <c r="C32" s="118" t="s">
        <v>82</v>
      </c>
      <c r="D32" s="118" t="s">
        <v>83</v>
      </c>
      <c r="E32" s="118" t="s">
        <v>84</v>
      </c>
      <c r="F32" s="117" t="s">
        <v>85</v>
      </c>
      <c r="G32" s="118" t="s">
        <v>86</v>
      </c>
      <c r="H32" s="118" t="s">
        <v>84</v>
      </c>
      <c r="I32" s="118" t="s">
        <v>87</v>
      </c>
      <c r="J32" s="118" t="s">
        <v>88</v>
      </c>
      <c r="K32" s="118" t="s">
        <v>89</v>
      </c>
      <c r="L32" s="117" t="s">
        <v>90</v>
      </c>
      <c r="M32" s="118" t="s">
        <v>91</v>
      </c>
      <c r="N32" s="118" t="s">
        <v>92</v>
      </c>
      <c r="O32" s="117" t="s">
        <v>93</v>
      </c>
      <c r="P32" s="118" t="s">
        <v>94</v>
      </c>
      <c r="Q32" s="118" t="s">
        <v>95</v>
      </c>
      <c r="R32" s="118" t="s">
        <v>96</v>
      </c>
      <c r="S32" s="118" t="s">
        <v>97</v>
      </c>
      <c r="T32" s="118" t="s">
        <v>98</v>
      </c>
      <c r="U32" s="118" t="s">
        <v>99</v>
      </c>
      <c r="V32" s="117" t="s">
        <v>100</v>
      </c>
      <c r="W32" s="118" t="s">
        <v>101</v>
      </c>
      <c r="X32" s="118" t="s">
        <v>15</v>
      </c>
      <c r="Y32" s="118" t="s">
        <v>102</v>
      </c>
      <c r="Z32" s="118" t="s">
        <v>103</v>
      </c>
      <c r="AA32" s="118" t="s">
        <v>104</v>
      </c>
      <c r="AB32" s="119" t="s">
        <v>105</v>
      </c>
      <c r="AC32" s="117" t="s">
        <v>106</v>
      </c>
      <c r="AD32" s="118" t="s">
        <v>107</v>
      </c>
      <c r="AE32" s="117" t="s">
        <v>108</v>
      </c>
      <c r="AF32" s="118" t="s">
        <v>109</v>
      </c>
      <c r="AG32" s="118" t="s">
        <v>110</v>
      </c>
      <c r="AH32" s="118" t="s">
        <v>111</v>
      </c>
      <c r="AI32" s="118" t="s">
        <v>112</v>
      </c>
      <c r="AJ32" s="118" t="s">
        <v>113</v>
      </c>
      <c r="AK32" s="118" t="s">
        <v>114</v>
      </c>
      <c r="AL32" s="118" t="s">
        <v>115</v>
      </c>
      <c r="AM32" s="118" t="s">
        <v>116</v>
      </c>
      <c r="AN32" s="118" t="s">
        <v>117</v>
      </c>
      <c r="AO32" s="118" t="s">
        <v>118</v>
      </c>
      <c r="AP32" s="118" t="s">
        <v>119</v>
      </c>
      <c r="AQ32" s="118" t="s">
        <v>120</v>
      </c>
      <c r="AR32" s="118" t="s">
        <v>121</v>
      </c>
      <c r="AS32" s="118" t="s">
        <v>122</v>
      </c>
      <c r="AT32" s="118" t="s">
        <v>123</v>
      </c>
      <c r="AU32" s="118" t="s">
        <v>124</v>
      </c>
      <c r="AV32" s="118" t="s">
        <v>125</v>
      </c>
      <c r="AW32" s="118" t="s">
        <v>126</v>
      </c>
      <c r="AX32" s="118" t="s">
        <v>127</v>
      </c>
      <c r="AY32" s="118"/>
    </row>
    <row r="33" spans="3:50" s="116" customFormat="1">
      <c r="C33" s="116" t="s">
        <v>128</v>
      </c>
      <c r="D33" s="116" t="s">
        <v>129</v>
      </c>
      <c r="E33" s="116" t="s">
        <v>130</v>
      </c>
      <c r="G33" s="116" t="s">
        <v>131</v>
      </c>
      <c r="H33" s="116" t="s">
        <v>132</v>
      </c>
      <c r="J33" s="116">
        <v>1779900</v>
      </c>
      <c r="K33" s="116">
        <v>1</v>
      </c>
      <c r="M33" s="116" t="s">
        <v>133</v>
      </c>
      <c r="N33" s="116" t="s">
        <v>134</v>
      </c>
      <c r="P33" s="116" t="s">
        <v>135</v>
      </c>
      <c r="Q33" s="116" t="s">
        <v>136</v>
      </c>
      <c r="R33" s="116" t="s">
        <v>137</v>
      </c>
      <c r="S33" s="116" t="s">
        <v>135</v>
      </c>
      <c r="T33" s="116" t="s">
        <v>138</v>
      </c>
      <c r="W33" s="116" t="s">
        <v>139</v>
      </c>
      <c r="X33" s="116">
        <v>169.76</v>
      </c>
      <c r="Y33" s="116">
        <v>169.76</v>
      </c>
      <c r="Z33" s="116">
        <v>1779900</v>
      </c>
      <c r="AB33" s="120">
        <f>Z33/Y33</f>
        <v>10484.802073515551</v>
      </c>
      <c r="AD33" s="116" t="s">
        <v>140</v>
      </c>
      <c r="AF33" s="116" t="s">
        <v>141</v>
      </c>
      <c r="AG33" s="116" t="s">
        <v>142</v>
      </c>
      <c r="AH33" s="116" t="s">
        <v>133</v>
      </c>
      <c r="AI33" s="116" t="s">
        <v>134</v>
      </c>
      <c r="AJ33" s="116" t="s">
        <v>67</v>
      </c>
      <c r="AK33" s="116" t="s">
        <v>143</v>
      </c>
      <c r="AL33" s="116">
        <v>169.76</v>
      </c>
      <c r="AN33" s="116">
        <v>1.2</v>
      </c>
      <c r="AO33" s="116">
        <v>5</v>
      </c>
      <c r="AS33" s="116" t="s">
        <v>143</v>
      </c>
      <c r="AT33" s="116" t="s">
        <v>144</v>
      </c>
      <c r="AU33" s="116" t="s">
        <v>52</v>
      </c>
      <c r="AV33" s="116">
        <v>2</v>
      </c>
      <c r="AX33" s="116" t="s">
        <v>145</v>
      </c>
    </row>
    <row r="34" spans="3:50" s="116" customFormat="1">
      <c r="C34" s="116" t="s">
        <v>146</v>
      </c>
      <c r="D34" s="116" t="s">
        <v>129</v>
      </c>
      <c r="E34" s="116" t="s">
        <v>147</v>
      </c>
      <c r="G34" s="116" t="s">
        <v>148</v>
      </c>
      <c r="H34" s="116" t="s">
        <v>149</v>
      </c>
      <c r="J34" s="116">
        <v>1800000</v>
      </c>
      <c r="K34" s="116">
        <v>1</v>
      </c>
      <c r="M34" s="116" t="s">
        <v>150</v>
      </c>
      <c r="N34" s="116" t="s">
        <v>151</v>
      </c>
      <c r="P34" s="116" t="s">
        <v>135</v>
      </c>
      <c r="Q34" s="116" t="s">
        <v>136</v>
      </c>
      <c r="R34" s="116" t="s">
        <v>137</v>
      </c>
      <c r="S34" s="116" t="s">
        <v>135</v>
      </c>
      <c r="T34" s="116" t="s">
        <v>138</v>
      </c>
      <c r="W34" s="116" t="s">
        <v>139</v>
      </c>
      <c r="X34" s="116">
        <v>173.24</v>
      </c>
      <c r="Y34" s="116">
        <v>173.24</v>
      </c>
      <c r="Z34" s="116">
        <v>1800000</v>
      </c>
      <c r="AB34" s="120">
        <f>Z34/Y34</f>
        <v>10390.210113137842</v>
      </c>
      <c r="AD34" s="116" t="s">
        <v>152</v>
      </c>
      <c r="AF34" s="116" t="s">
        <v>141</v>
      </c>
      <c r="AG34" s="116" t="s">
        <v>153</v>
      </c>
      <c r="AH34" s="116" t="s">
        <v>150</v>
      </c>
      <c r="AI34" s="116" t="s">
        <v>151</v>
      </c>
      <c r="AJ34" s="116" t="s">
        <v>67</v>
      </c>
      <c r="AK34" s="116" t="s">
        <v>143</v>
      </c>
      <c r="AL34" s="116">
        <v>173.24</v>
      </c>
      <c r="AN34" s="116">
        <v>1.2</v>
      </c>
      <c r="AO34" s="116">
        <v>6</v>
      </c>
      <c r="AS34" s="116" t="s">
        <v>143</v>
      </c>
      <c r="AT34" s="116" t="s">
        <v>144</v>
      </c>
      <c r="AU34" s="116" t="s">
        <v>52</v>
      </c>
      <c r="AV34" s="116">
        <v>1</v>
      </c>
      <c r="AX34" s="116" t="s">
        <v>154</v>
      </c>
    </row>
    <row r="35" spans="3:50" s="116" customFormat="1">
      <c r="C35" s="116" t="s">
        <v>155</v>
      </c>
      <c r="D35" s="116" t="s">
        <v>156</v>
      </c>
      <c r="E35" s="116" t="s">
        <v>157</v>
      </c>
      <c r="G35" s="116" t="s">
        <v>158</v>
      </c>
      <c r="H35" s="116" t="s">
        <v>159</v>
      </c>
      <c r="J35" s="116">
        <v>1245000</v>
      </c>
      <c r="K35" s="116">
        <v>1</v>
      </c>
      <c r="M35" s="116" t="s">
        <v>160</v>
      </c>
      <c r="N35" s="116" t="s">
        <v>161</v>
      </c>
      <c r="P35" s="116" t="s">
        <v>135</v>
      </c>
      <c r="Q35" s="116" t="s">
        <v>136</v>
      </c>
      <c r="R35" s="116" t="s">
        <v>137</v>
      </c>
      <c r="S35" s="116" t="s">
        <v>135</v>
      </c>
      <c r="T35" s="116" t="s">
        <v>138</v>
      </c>
      <c r="W35" s="116" t="s">
        <v>139</v>
      </c>
      <c r="X35" s="116">
        <v>131.4</v>
      </c>
      <c r="Y35" s="116">
        <v>131.4</v>
      </c>
      <c r="Z35" s="116">
        <v>1245000</v>
      </c>
      <c r="AB35" s="120">
        <f>Z35/Y35</f>
        <v>9474.8858447488583</v>
      </c>
      <c r="AD35" s="116" t="s">
        <v>162</v>
      </c>
      <c r="AF35" s="116" t="s">
        <v>163</v>
      </c>
      <c r="AG35" s="116" t="s">
        <v>164</v>
      </c>
      <c r="AH35" s="116" t="s">
        <v>160</v>
      </c>
      <c r="AI35" s="116" t="s">
        <v>161</v>
      </c>
      <c r="AJ35" s="116" t="s">
        <v>67</v>
      </c>
      <c r="AK35" s="116" t="s">
        <v>143</v>
      </c>
      <c r="AL35" s="116">
        <v>131.4</v>
      </c>
      <c r="AN35" s="116">
        <v>1.2</v>
      </c>
      <c r="AO35" s="116">
        <v>7</v>
      </c>
      <c r="AS35" s="116" t="s">
        <v>143</v>
      </c>
      <c r="AT35" s="116" t="s">
        <v>144</v>
      </c>
      <c r="AU35" s="116" t="s">
        <v>52</v>
      </c>
      <c r="AV35" s="116">
        <v>2</v>
      </c>
      <c r="AX35" s="116" t="s">
        <v>165</v>
      </c>
    </row>
    <row r="36" spans="3:50" s="116" customFormat="1">
      <c r="C36" s="116" t="s">
        <v>166</v>
      </c>
      <c r="D36" s="116" t="s">
        <v>129</v>
      </c>
      <c r="E36" s="116" t="s">
        <v>130</v>
      </c>
      <c r="G36" s="116" t="s">
        <v>167</v>
      </c>
      <c r="H36" s="116" t="s">
        <v>168</v>
      </c>
      <c r="J36" s="116">
        <v>1452413.16</v>
      </c>
      <c r="K36" s="116">
        <v>1</v>
      </c>
      <c r="M36" s="116" t="s">
        <v>169</v>
      </c>
      <c r="N36" s="116" t="s">
        <v>170</v>
      </c>
      <c r="P36" s="116" t="s">
        <v>135</v>
      </c>
      <c r="Q36" s="116" t="s">
        <v>136</v>
      </c>
      <c r="R36" s="116" t="s">
        <v>137</v>
      </c>
      <c r="S36" s="116" t="s">
        <v>135</v>
      </c>
      <c r="T36" s="116" t="s">
        <v>138</v>
      </c>
      <c r="W36" s="116" t="s">
        <v>139</v>
      </c>
      <c r="X36" s="116">
        <v>154.4</v>
      </c>
      <c r="Y36" s="116">
        <v>154.4</v>
      </c>
      <c r="Z36" s="116">
        <v>1452413.16</v>
      </c>
      <c r="AB36" s="120">
        <f>Z36/Y36</f>
        <v>9406.8209844559569</v>
      </c>
      <c r="AD36" s="116" t="s">
        <v>171</v>
      </c>
      <c r="AF36" s="116" t="s">
        <v>172</v>
      </c>
      <c r="AG36" s="116" t="s">
        <v>173</v>
      </c>
      <c r="AH36" s="116" t="s">
        <v>169</v>
      </c>
      <c r="AI36" s="116" t="s">
        <v>170</v>
      </c>
      <c r="AJ36" s="116" t="s">
        <v>67</v>
      </c>
      <c r="AK36" s="116" t="s">
        <v>143</v>
      </c>
      <c r="AL36" s="116">
        <v>154.4</v>
      </c>
      <c r="AN36" s="116">
        <v>1.2</v>
      </c>
      <c r="AO36" s="116">
        <v>6</v>
      </c>
      <c r="AS36" s="116" t="s">
        <v>143</v>
      </c>
      <c r="AT36" s="116" t="s">
        <v>144</v>
      </c>
      <c r="AU36" s="116" t="s">
        <v>52</v>
      </c>
      <c r="AV36" s="116">
        <v>1</v>
      </c>
      <c r="AX36" s="116" t="s">
        <v>174</v>
      </c>
    </row>
    <row r="37" spans="3:50" s="116" customFormat="1">
      <c r="C37" s="116" t="s">
        <v>175</v>
      </c>
      <c r="D37" s="116" t="s">
        <v>176</v>
      </c>
      <c r="E37" s="116" t="s">
        <v>177</v>
      </c>
      <c r="G37" s="116" t="s">
        <v>178</v>
      </c>
      <c r="H37" s="116" t="s">
        <v>179</v>
      </c>
      <c r="J37" s="116">
        <v>790000</v>
      </c>
      <c r="K37" s="116">
        <v>1</v>
      </c>
      <c r="M37" s="116" t="s">
        <v>180</v>
      </c>
      <c r="N37" s="116" t="s">
        <v>181</v>
      </c>
      <c r="P37" s="116" t="s">
        <v>138</v>
      </c>
      <c r="Q37" s="116" t="s">
        <v>136</v>
      </c>
      <c r="R37" s="116" t="s">
        <v>137</v>
      </c>
      <c r="S37" s="116" t="s">
        <v>138</v>
      </c>
      <c r="T37" s="116" t="s">
        <v>138</v>
      </c>
      <c r="W37" s="116" t="s">
        <v>139</v>
      </c>
      <c r="X37" s="116">
        <v>84.21</v>
      </c>
      <c r="Y37" s="116">
        <v>84.21</v>
      </c>
      <c r="Z37" s="116">
        <v>790000</v>
      </c>
      <c r="AB37" s="120">
        <f>Z37/Y37</f>
        <v>9381.3086331789582</v>
      </c>
      <c r="AD37" s="116" t="s">
        <v>182</v>
      </c>
      <c r="AF37" s="116" t="s">
        <v>183</v>
      </c>
      <c r="AG37" s="116" t="s">
        <v>184</v>
      </c>
      <c r="AH37" s="116" t="s">
        <v>180</v>
      </c>
      <c r="AI37" s="116" t="s">
        <v>181</v>
      </c>
      <c r="AJ37" s="116" t="s">
        <v>67</v>
      </c>
      <c r="AK37" s="116" t="s">
        <v>143</v>
      </c>
      <c r="AL37" s="116">
        <v>84.21</v>
      </c>
      <c r="AN37" s="116">
        <v>1.2</v>
      </c>
      <c r="AO37" s="116">
        <v>5</v>
      </c>
      <c r="AS37" s="116" t="s">
        <v>143</v>
      </c>
      <c r="AT37" s="116" t="s">
        <v>144</v>
      </c>
      <c r="AU37" s="116" t="s">
        <v>52</v>
      </c>
      <c r="AV37" s="116">
        <v>1</v>
      </c>
      <c r="AX37" s="116" t="s">
        <v>185</v>
      </c>
    </row>
    <row r="38" spans="3:50" s="116" customFormat="1">
      <c r="C38" s="116" t="s">
        <v>186</v>
      </c>
      <c r="D38" s="116" t="s">
        <v>129</v>
      </c>
      <c r="E38" s="116" t="s">
        <v>130</v>
      </c>
      <c r="G38" s="116" t="s">
        <v>187</v>
      </c>
      <c r="H38" s="116" t="s">
        <v>168</v>
      </c>
      <c r="J38" s="116">
        <v>1401827.81</v>
      </c>
      <c r="K38" s="116">
        <v>1</v>
      </c>
      <c r="M38" s="116" t="s">
        <v>169</v>
      </c>
      <c r="N38" s="116" t="s">
        <v>188</v>
      </c>
      <c r="P38" s="116" t="s">
        <v>135</v>
      </c>
      <c r="Q38" s="116" t="s">
        <v>136</v>
      </c>
      <c r="R38" s="116" t="s">
        <v>137</v>
      </c>
      <c r="S38" s="116" t="s">
        <v>135</v>
      </c>
      <c r="T38" s="116" t="s">
        <v>138</v>
      </c>
      <c r="W38" s="116" t="s">
        <v>139</v>
      </c>
      <c r="X38" s="116">
        <v>154.63</v>
      </c>
      <c r="Y38" s="116">
        <v>154.63</v>
      </c>
      <c r="Z38" s="116">
        <v>1401827.81</v>
      </c>
      <c r="AB38" s="120">
        <f>Z38/Y38</f>
        <v>9065.6910690034274</v>
      </c>
      <c r="AD38" s="116" t="s">
        <v>189</v>
      </c>
      <c r="AF38" s="116" t="s">
        <v>172</v>
      </c>
      <c r="AG38" s="116" t="s">
        <v>190</v>
      </c>
      <c r="AH38" s="116" t="s">
        <v>169</v>
      </c>
      <c r="AI38" s="116" t="s">
        <v>188</v>
      </c>
      <c r="AJ38" s="116" t="s">
        <v>67</v>
      </c>
      <c r="AK38" s="116" t="s">
        <v>143</v>
      </c>
      <c r="AL38" s="116">
        <v>154.63</v>
      </c>
      <c r="AN38" s="116">
        <v>1.2</v>
      </c>
      <c r="AO38" s="116">
        <v>6</v>
      </c>
      <c r="AS38" s="116" t="s">
        <v>143</v>
      </c>
      <c r="AT38" s="116" t="s">
        <v>144</v>
      </c>
      <c r="AU38" s="116" t="s">
        <v>52</v>
      </c>
      <c r="AV38" s="116">
        <v>1</v>
      </c>
      <c r="AX38" s="116" t="s">
        <v>191</v>
      </c>
    </row>
    <row r="39" spans="3:50" s="116" customFormat="1">
      <c r="C39" s="116" t="s">
        <v>192</v>
      </c>
      <c r="D39" s="116" t="s">
        <v>176</v>
      </c>
      <c r="E39" s="116" t="s">
        <v>193</v>
      </c>
      <c r="G39" s="116" t="s">
        <v>194</v>
      </c>
      <c r="H39" s="116" t="s">
        <v>195</v>
      </c>
      <c r="J39" s="116">
        <v>1060000</v>
      </c>
      <c r="K39" s="116">
        <v>1</v>
      </c>
      <c r="M39" s="116" t="s">
        <v>196</v>
      </c>
      <c r="N39" s="116" t="s">
        <v>197</v>
      </c>
      <c r="P39" s="116" t="s">
        <v>135</v>
      </c>
      <c r="Q39" s="116" t="s">
        <v>136</v>
      </c>
      <c r="R39" s="116" t="s">
        <v>137</v>
      </c>
      <c r="S39" s="116" t="s">
        <v>135</v>
      </c>
      <c r="T39" s="116" t="s">
        <v>138</v>
      </c>
      <c r="W39" s="116" t="s">
        <v>139</v>
      </c>
      <c r="X39" s="116">
        <v>118.79</v>
      </c>
      <c r="Y39" s="116">
        <v>118.79</v>
      </c>
      <c r="Z39" s="116">
        <v>1060000</v>
      </c>
      <c r="AB39" s="120">
        <f>Z39/Y39</f>
        <v>8923.3100429329061</v>
      </c>
      <c r="AD39" s="116" t="s">
        <v>198</v>
      </c>
      <c r="AF39" s="116" t="s">
        <v>199</v>
      </c>
      <c r="AG39" s="116" t="s">
        <v>200</v>
      </c>
      <c r="AH39" s="116" t="s">
        <v>196</v>
      </c>
      <c r="AI39" s="116" t="s">
        <v>197</v>
      </c>
      <c r="AJ39" s="116" t="s">
        <v>67</v>
      </c>
      <c r="AK39" s="116" t="s">
        <v>143</v>
      </c>
      <c r="AL39" s="116">
        <v>118.79</v>
      </c>
      <c r="AN39" s="116">
        <v>1.2</v>
      </c>
      <c r="AO39" s="116">
        <v>7</v>
      </c>
      <c r="AS39" s="116" t="s">
        <v>143</v>
      </c>
      <c r="AT39" s="116" t="s">
        <v>144</v>
      </c>
      <c r="AU39" s="116" t="s">
        <v>52</v>
      </c>
      <c r="AV39" s="116">
        <v>2</v>
      </c>
      <c r="AX39" s="116" t="s">
        <v>201</v>
      </c>
    </row>
    <row r="40" spans="3:50" s="116" customFormat="1">
      <c r="C40" s="116" t="s">
        <v>202</v>
      </c>
      <c r="D40" s="116" t="s">
        <v>129</v>
      </c>
      <c r="E40" s="116" t="s">
        <v>203</v>
      </c>
      <c r="G40" s="116" t="s">
        <v>204</v>
      </c>
      <c r="H40" s="116" t="s">
        <v>177</v>
      </c>
      <c r="J40" s="116">
        <v>1369001.25</v>
      </c>
      <c r="K40" s="116">
        <v>1</v>
      </c>
      <c r="M40" s="116" t="s">
        <v>169</v>
      </c>
      <c r="P40" s="116" t="s">
        <v>138</v>
      </c>
      <c r="Q40" s="116" t="s">
        <v>205</v>
      </c>
      <c r="R40" s="116" t="s">
        <v>137</v>
      </c>
      <c r="S40" s="116" t="s">
        <v>138</v>
      </c>
      <c r="T40" s="116" t="s">
        <v>138</v>
      </c>
      <c r="W40" s="116" t="s">
        <v>139</v>
      </c>
      <c r="X40" s="116">
        <v>154.63</v>
      </c>
      <c r="Y40" s="116">
        <v>154.63</v>
      </c>
      <c r="Z40" s="116">
        <v>1369001.25</v>
      </c>
      <c r="AB40" s="120">
        <f>Z40/Y40</f>
        <v>8853.4000517364038</v>
      </c>
      <c r="AD40" s="116" t="s">
        <v>206</v>
      </c>
      <c r="AF40" s="116" t="s">
        <v>172</v>
      </c>
      <c r="AG40" s="116" t="s">
        <v>190</v>
      </c>
      <c r="AH40" s="116" t="s">
        <v>169</v>
      </c>
      <c r="AJ40" s="116" t="s">
        <v>67</v>
      </c>
      <c r="AK40" s="116" t="s">
        <v>143</v>
      </c>
      <c r="AL40" s="116">
        <v>154.63</v>
      </c>
      <c r="AN40" s="116">
        <v>1.2</v>
      </c>
      <c r="AO40" s="116">
        <v>5</v>
      </c>
      <c r="AS40" s="116" t="s">
        <v>143</v>
      </c>
      <c r="AT40" s="116" t="s">
        <v>144</v>
      </c>
      <c r="AU40" s="116" t="s">
        <v>52</v>
      </c>
      <c r="AX40" s="116" t="s">
        <v>207</v>
      </c>
    </row>
    <row r="41" spans="3:50" s="116" customFormat="1">
      <c r="C41" s="116" t="s">
        <v>208</v>
      </c>
      <c r="D41" s="116" t="s">
        <v>176</v>
      </c>
      <c r="E41" s="116" t="s">
        <v>209</v>
      </c>
      <c r="G41" s="116" t="s">
        <v>210</v>
      </c>
      <c r="H41" s="116" t="s">
        <v>211</v>
      </c>
      <c r="J41" s="116">
        <v>1270000</v>
      </c>
      <c r="K41" s="116">
        <v>1</v>
      </c>
      <c r="M41" s="116" t="s">
        <v>196</v>
      </c>
      <c r="N41" s="116" t="s">
        <v>212</v>
      </c>
      <c r="P41" s="116" t="s">
        <v>138</v>
      </c>
      <c r="Q41" s="116" t="s">
        <v>136</v>
      </c>
      <c r="R41" s="116" t="s">
        <v>137</v>
      </c>
      <c r="S41" s="116" t="s">
        <v>138</v>
      </c>
      <c r="T41" s="116" t="s">
        <v>138</v>
      </c>
      <c r="W41" s="116" t="s">
        <v>139</v>
      </c>
      <c r="X41" s="116">
        <v>149.99</v>
      </c>
      <c r="Y41" s="116">
        <v>149.99</v>
      </c>
      <c r="Z41" s="116">
        <v>1270000</v>
      </c>
      <c r="AB41" s="120">
        <f>Z41/Y41</f>
        <v>8467.2311487432489</v>
      </c>
      <c r="AD41" s="116" t="s">
        <v>213</v>
      </c>
      <c r="AF41" s="116" t="s">
        <v>199</v>
      </c>
      <c r="AG41" s="116" t="s">
        <v>214</v>
      </c>
      <c r="AH41" s="116" t="s">
        <v>196</v>
      </c>
      <c r="AI41" s="116" t="s">
        <v>212</v>
      </c>
      <c r="AJ41" s="116" t="s">
        <v>67</v>
      </c>
      <c r="AK41" s="116" t="s">
        <v>143</v>
      </c>
      <c r="AL41" s="116">
        <v>149.99</v>
      </c>
      <c r="AN41" s="116">
        <v>1.2</v>
      </c>
      <c r="AO41" s="116">
        <v>6</v>
      </c>
      <c r="AS41" s="116" t="s">
        <v>143</v>
      </c>
      <c r="AT41" s="116" t="s">
        <v>144</v>
      </c>
      <c r="AU41" s="116" t="s">
        <v>52</v>
      </c>
      <c r="AV41" s="116">
        <v>2</v>
      </c>
      <c r="AX41" s="116" t="s">
        <v>215</v>
      </c>
    </row>
    <row r="42" spans="3:50" s="116" customFormat="1">
      <c r="C42" s="116" t="s">
        <v>216</v>
      </c>
      <c r="D42" s="116" t="s">
        <v>217</v>
      </c>
      <c r="E42" s="116" t="s">
        <v>218</v>
      </c>
      <c r="G42" s="116" t="s">
        <v>219</v>
      </c>
      <c r="H42" s="116" t="s">
        <v>220</v>
      </c>
      <c r="J42" s="116">
        <v>1181955.2</v>
      </c>
      <c r="K42" s="116">
        <v>1</v>
      </c>
      <c r="M42" s="116" t="s">
        <v>221</v>
      </c>
      <c r="N42" s="116" t="s">
        <v>222</v>
      </c>
      <c r="P42" s="116" t="s">
        <v>135</v>
      </c>
      <c r="Q42" s="116" t="s">
        <v>136</v>
      </c>
      <c r="R42" s="116" t="s">
        <v>137</v>
      </c>
      <c r="S42" s="116" t="s">
        <v>135</v>
      </c>
      <c r="T42" s="116" t="s">
        <v>138</v>
      </c>
      <c r="W42" s="116" t="s">
        <v>139</v>
      </c>
      <c r="X42" s="116">
        <v>142.07</v>
      </c>
      <c r="Y42" s="116">
        <v>142.07</v>
      </c>
      <c r="Z42" s="116">
        <v>1181955.2</v>
      </c>
      <c r="AB42" s="120">
        <f>Z42/Y42</f>
        <v>8319.5269937354824</v>
      </c>
      <c r="AD42" s="116" t="s">
        <v>223</v>
      </c>
      <c r="AF42" s="116" t="s">
        <v>224</v>
      </c>
      <c r="AG42" s="116" t="s">
        <v>225</v>
      </c>
      <c r="AH42" s="116" t="s">
        <v>221</v>
      </c>
      <c r="AI42" s="116" t="s">
        <v>222</v>
      </c>
      <c r="AJ42" s="116" t="s">
        <v>67</v>
      </c>
      <c r="AK42" s="116" t="s">
        <v>143</v>
      </c>
      <c r="AL42" s="116">
        <v>142.07</v>
      </c>
      <c r="AN42" s="116">
        <v>1.2</v>
      </c>
      <c r="AO42" s="116">
        <v>5</v>
      </c>
      <c r="AS42" s="116" t="s">
        <v>143</v>
      </c>
      <c r="AT42" s="116" t="s">
        <v>144</v>
      </c>
      <c r="AU42" s="116" t="s">
        <v>52</v>
      </c>
      <c r="AV42" s="116">
        <v>27</v>
      </c>
      <c r="AX42" s="116" t="s">
        <v>226</v>
      </c>
    </row>
    <row r="43" spans="3:50" s="116" customFormat="1">
      <c r="C43" s="116" t="s">
        <v>227</v>
      </c>
      <c r="D43" s="116" t="s">
        <v>217</v>
      </c>
      <c r="E43" s="116" t="s">
        <v>218</v>
      </c>
      <c r="G43" s="116" t="s">
        <v>228</v>
      </c>
      <c r="H43" s="116" t="s">
        <v>220</v>
      </c>
      <c r="J43" s="116">
        <v>1279848.8</v>
      </c>
      <c r="K43" s="116">
        <v>1</v>
      </c>
      <c r="M43" s="116" t="s">
        <v>221</v>
      </c>
      <c r="P43" s="116" t="s">
        <v>135</v>
      </c>
      <c r="Q43" s="116" t="s">
        <v>136</v>
      </c>
      <c r="R43" s="116" t="s">
        <v>137</v>
      </c>
      <c r="S43" s="116" t="s">
        <v>135</v>
      </c>
      <c r="T43" s="116" t="s">
        <v>138</v>
      </c>
      <c r="W43" s="116" t="s">
        <v>139</v>
      </c>
      <c r="X43" s="116">
        <v>154.22999999999999</v>
      </c>
      <c r="Y43" s="116">
        <v>154.22999999999999</v>
      </c>
      <c r="Z43" s="116">
        <v>1279848.8</v>
      </c>
      <c r="AB43" s="120">
        <f>Z43/Y43</f>
        <v>8298.3129092913186</v>
      </c>
      <c r="AD43" s="116" t="s">
        <v>229</v>
      </c>
      <c r="AF43" s="116" t="s">
        <v>224</v>
      </c>
      <c r="AG43" s="116" t="s">
        <v>230</v>
      </c>
      <c r="AH43" s="116" t="s">
        <v>221</v>
      </c>
      <c r="AJ43" s="116" t="s">
        <v>67</v>
      </c>
      <c r="AK43" s="116" t="s">
        <v>143</v>
      </c>
      <c r="AL43" s="116">
        <v>154.22999999999999</v>
      </c>
      <c r="AN43" s="116">
        <v>1.2</v>
      </c>
      <c r="AO43" s="116">
        <v>5</v>
      </c>
      <c r="AS43" s="116" t="s">
        <v>143</v>
      </c>
      <c r="AT43" s="116" t="s">
        <v>144</v>
      </c>
      <c r="AU43" s="116" t="s">
        <v>52</v>
      </c>
      <c r="AX43" s="116" t="s">
        <v>231</v>
      </c>
    </row>
    <row r="44" spans="3:50" s="116" customFormat="1">
      <c r="C44" s="116" t="s">
        <v>232</v>
      </c>
      <c r="D44" s="116" t="s">
        <v>176</v>
      </c>
      <c r="E44" s="116" t="s">
        <v>233</v>
      </c>
      <c r="G44" s="116" t="s">
        <v>234</v>
      </c>
      <c r="H44" s="116" t="s">
        <v>235</v>
      </c>
      <c r="J44" s="116">
        <v>1032100</v>
      </c>
      <c r="K44" s="116">
        <v>1</v>
      </c>
      <c r="M44" s="116" t="s">
        <v>196</v>
      </c>
      <c r="N44" s="116" t="s">
        <v>236</v>
      </c>
      <c r="P44" s="116" t="s">
        <v>135</v>
      </c>
      <c r="Q44" s="116" t="s">
        <v>136</v>
      </c>
      <c r="R44" s="116" t="s">
        <v>137</v>
      </c>
      <c r="S44" s="116" t="s">
        <v>135</v>
      </c>
      <c r="T44" s="116" t="s">
        <v>138</v>
      </c>
      <c r="W44" s="116" t="s">
        <v>139</v>
      </c>
      <c r="X44" s="116">
        <v>126.35</v>
      </c>
      <c r="Y44" s="116">
        <v>126.35</v>
      </c>
      <c r="Z44" s="116">
        <v>1032100</v>
      </c>
      <c r="AB44" s="120">
        <f>Z44/Y44</f>
        <v>8168.5793430945787</v>
      </c>
      <c r="AD44" s="116" t="s">
        <v>237</v>
      </c>
      <c r="AF44" s="116" t="s">
        <v>199</v>
      </c>
      <c r="AG44" s="116" t="s">
        <v>238</v>
      </c>
      <c r="AH44" s="116" t="s">
        <v>196</v>
      </c>
      <c r="AI44" s="116" t="s">
        <v>236</v>
      </c>
      <c r="AJ44" s="116" t="s">
        <v>67</v>
      </c>
      <c r="AK44" s="116" t="s">
        <v>143</v>
      </c>
      <c r="AL44" s="116">
        <v>126.35</v>
      </c>
      <c r="AN44" s="116">
        <v>1.2</v>
      </c>
      <c r="AO44" s="116">
        <v>5</v>
      </c>
      <c r="AS44" s="116" t="s">
        <v>143</v>
      </c>
      <c r="AT44" s="116" t="s">
        <v>144</v>
      </c>
      <c r="AU44" s="116" t="s">
        <v>52</v>
      </c>
      <c r="AV44" s="116">
        <v>1</v>
      </c>
      <c r="AX44" s="116" t="s">
        <v>239</v>
      </c>
    </row>
    <row r="45" spans="3:50" s="116" customFormat="1">
      <c r="C45" s="116" t="s">
        <v>240</v>
      </c>
      <c r="D45" s="116" t="s">
        <v>156</v>
      </c>
      <c r="E45" s="116" t="s">
        <v>157</v>
      </c>
      <c r="G45" s="116" t="s">
        <v>241</v>
      </c>
      <c r="H45" s="116" t="s">
        <v>242</v>
      </c>
      <c r="J45" s="116">
        <v>930000</v>
      </c>
      <c r="K45" s="116">
        <v>1</v>
      </c>
      <c r="M45" s="116" t="s">
        <v>160</v>
      </c>
      <c r="N45" s="116" t="s">
        <v>243</v>
      </c>
      <c r="P45" s="116" t="s">
        <v>135</v>
      </c>
      <c r="Q45" s="116" t="s">
        <v>136</v>
      </c>
      <c r="R45" s="116" t="s">
        <v>137</v>
      </c>
      <c r="S45" s="116" t="s">
        <v>135</v>
      </c>
      <c r="T45" s="116" t="s">
        <v>138</v>
      </c>
      <c r="W45" s="116" t="s">
        <v>139</v>
      </c>
      <c r="X45" s="116">
        <v>115.29</v>
      </c>
      <c r="Y45" s="116">
        <v>115.29</v>
      </c>
      <c r="Z45" s="116">
        <v>930000</v>
      </c>
      <c r="AB45" s="120">
        <f>Z45/Y45</f>
        <v>8066.6146239916725</v>
      </c>
      <c r="AD45" s="116" t="s">
        <v>244</v>
      </c>
      <c r="AF45" s="116" t="s">
        <v>163</v>
      </c>
      <c r="AG45" s="116" t="s">
        <v>245</v>
      </c>
      <c r="AH45" s="116" t="s">
        <v>160</v>
      </c>
      <c r="AI45" s="116" t="s">
        <v>243</v>
      </c>
      <c r="AJ45" s="116" t="s">
        <v>67</v>
      </c>
      <c r="AK45" s="116" t="s">
        <v>143</v>
      </c>
      <c r="AL45" s="116">
        <v>115.29</v>
      </c>
      <c r="AN45" s="116">
        <v>1.2</v>
      </c>
      <c r="AO45" s="116">
        <v>5</v>
      </c>
      <c r="AS45" s="116" t="s">
        <v>143</v>
      </c>
      <c r="AT45" s="116" t="s">
        <v>144</v>
      </c>
      <c r="AU45" s="116" t="s">
        <v>52</v>
      </c>
      <c r="AV45" s="116">
        <v>2</v>
      </c>
      <c r="AX45" s="116" t="s">
        <v>246</v>
      </c>
    </row>
    <row r="46" spans="3:50" s="116" customFormat="1">
      <c r="C46" s="116" t="s">
        <v>247</v>
      </c>
      <c r="D46" s="116" t="s">
        <v>176</v>
      </c>
      <c r="E46" s="116" t="s">
        <v>193</v>
      </c>
      <c r="G46" s="116" t="s">
        <v>248</v>
      </c>
      <c r="H46" s="116" t="s">
        <v>195</v>
      </c>
      <c r="J46" s="116">
        <v>1300000</v>
      </c>
      <c r="K46" s="116">
        <v>1</v>
      </c>
      <c r="M46" s="116" t="s">
        <v>249</v>
      </c>
      <c r="N46" s="116" t="s">
        <v>250</v>
      </c>
      <c r="P46" s="116" t="s">
        <v>135</v>
      </c>
      <c r="Q46" s="116" t="s">
        <v>136</v>
      </c>
      <c r="R46" s="116" t="s">
        <v>137</v>
      </c>
      <c r="S46" s="116" t="s">
        <v>135</v>
      </c>
      <c r="T46" s="116" t="s">
        <v>135</v>
      </c>
      <c r="W46" s="116" t="s">
        <v>139</v>
      </c>
      <c r="X46" s="116">
        <v>162.15</v>
      </c>
      <c r="Y46" s="116">
        <v>162.15</v>
      </c>
      <c r="Z46" s="116">
        <v>1300000</v>
      </c>
      <c r="AB46" s="120">
        <f>Z46/Y46</f>
        <v>8017.2679617637987</v>
      </c>
      <c r="AD46" s="116" t="s">
        <v>251</v>
      </c>
      <c r="AF46" s="116" t="s">
        <v>252</v>
      </c>
      <c r="AG46" s="116" t="s">
        <v>253</v>
      </c>
      <c r="AH46" s="116" t="s">
        <v>249</v>
      </c>
      <c r="AI46" s="116" t="s">
        <v>250</v>
      </c>
      <c r="AJ46" s="116" t="s">
        <v>67</v>
      </c>
      <c r="AK46" s="116" t="s">
        <v>143</v>
      </c>
      <c r="AL46" s="116">
        <v>162.15</v>
      </c>
      <c r="AN46" s="116">
        <v>1.2</v>
      </c>
      <c r="AO46" s="116">
        <v>6</v>
      </c>
      <c r="AS46" s="116" t="s">
        <v>143</v>
      </c>
      <c r="AT46" s="116" t="s">
        <v>144</v>
      </c>
      <c r="AU46" s="116" t="s">
        <v>52</v>
      </c>
      <c r="AV46" s="116">
        <v>1</v>
      </c>
      <c r="AX46" s="116" t="s">
        <v>254</v>
      </c>
    </row>
    <row r="47" spans="3:50" s="116" customFormat="1">
      <c r="C47" s="116" t="s">
        <v>255</v>
      </c>
      <c r="D47" s="116" t="s">
        <v>217</v>
      </c>
      <c r="E47" s="116" t="s">
        <v>256</v>
      </c>
      <c r="G47" s="116" t="s">
        <v>257</v>
      </c>
      <c r="H47" s="116" t="s">
        <v>258</v>
      </c>
      <c r="J47" s="116">
        <v>1010000</v>
      </c>
      <c r="K47" s="116">
        <v>1</v>
      </c>
      <c r="M47" s="116" t="s">
        <v>221</v>
      </c>
      <c r="N47" s="116" t="s">
        <v>259</v>
      </c>
      <c r="P47" s="116" t="s">
        <v>138</v>
      </c>
      <c r="Q47" s="116" t="s">
        <v>136</v>
      </c>
      <c r="R47" s="116" t="s">
        <v>137</v>
      </c>
      <c r="S47" s="116" t="s">
        <v>138</v>
      </c>
      <c r="T47" s="116" t="s">
        <v>138</v>
      </c>
      <c r="W47" s="116" t="s">
        <v>139</v>
      </c>
      <c r="X47" s="116">
        <v>127.36</v>
      </c>
      <c r="Y47" s="116">
        <v>127.36</v>
      </c>
      <c r="Z47" s="116">
        <v>1010000</v>
      </c>
      <c r="AB47" s="120">
        <f>Z47/Y47</f>
        <v>7930.276381909548</v>
      </c>
      <c r="AD47" s="116" t="s">
        <v>260</v>
      </c>
      <c r="AF47" s="116" t="s">
        <v>261</v>
      </c>
      <c r="AG47" s="116" t="s">
        <v>262</v>
      </c>
      <c r="AH47" s="116" t="s">
        <v>221</v>
      </c>
      <c r="AI47" s="116" t="s">
        <v>259</v>
      </c>
      <c r="AJ47" s="116" t="s">
        <v>67</v>
      </c>
      <c r="AK47" s="116" t="s">
        <v>143</v>
      </c>
      <c r="AL47" s="116">
        <v>127.36</v>
      </c>
      <c r="AN47" s="116">
        <v>1.2</v>
      </c>
      <c r="AO47" s="116">
        <v>6</v>
      </c>
      <c r="AS47" s="116" t="s">
        <v>143</v>
      </c>
      <c r="AT47" s="116" t="s">
        <v>144</v>
      </c>
      <c r="AU47" s="116" t="s">
        <v>52</v>
      </c>
      <c r="AV47" s="116">
        <v>1</v>
      </c>
      <c r="AX47" s="116" t="s">
        <v>263</v>
      </c>
    </row>
    <row r="48" spans="3:50" s="116" customFormat="1">
      <c r="C48" s="116" t="s">
        <v>264</v>
      </c>
      <c r="D48" s="116" t="s">
        <v>265</v>
      </c>
      <c r="E48" s="116" t="s">
        <v>266</v>
      </c>
      <c r="G48" s="116" t="s">
        <v>267</v>
      </c>
      <c r="H48" s="116" t="s">
        <v>159</v>
      </c>
      <c r="J48" s="116">
        <v>1000000</v>
      </c>
      <c r="K48" s="116">
        <v>1</v>
      </c>
      <c r="M48" s="116" t="s">
        <v>268</v>
      </c>
      <c r="N48" s="116" t="s">
        <v>269</v>
      </c>
      <c r="P48" s="116" t="s">
        <v>135</v>
      </c>
      <c r="Q48" s="116" t="s">
        <v>136</v>
      </c>
      <c r="R48" s="116" t="s">
        <v>137</v>
      </c>
      <c r="S48" s="116" t="s">
        <v>135</v>
      </c>
      <c r="T48" s="116" t="s">
        <v>138</v>
      </c>
      <c r="W48" s="116" t="s">
        <v>139</v>
      </c>
      <c r="X48" s="116">
        <v>130.97999999999999</v>
      </c>
      <c r="Y48" s="116">
        <v>130.97999999999999</v>
      </c>
      <c r="Z48" s="116">
        <v>1000000</v>
      </c>
      <c r="AB48" s="120">
        <f>Z48/Y48</f>
        <v>7634.7533974652624</v>
      </c>
      <c r="AD48" s="116" t="s">
        <v>270</v>
      </c>
      <c r="AF48" s="116" t="s">
        <v>271</v>
      </c>
      <c r="AG48" s="116" t="s">
        <v>272</v>
      </c>
      <c r="AH48" s="116" t="s">
        <v>268</v>
      </c>
      <c r="AI48" s="116" t="s">
        <v>269</v>
      </c>
      <c r="AJ48" s="116" t="s">
        <v>67</v>
      </c>
      <c r="AK48" s="116" t="s">
        <v>143</v>
      </c>
      <c r="AL48" s="116">
        <v>130.97999999999999</v>
      </c>
      <c r="AN48" s="116">
        <v>1.2</v>
      </c>
      <c r="AO48" s="116">
        <v>5</v>
      </c>
      <c r="AS48" s="116" t="s">
        <v>143</v>
      </c>
      <c r="AT48" s="116" t="s">
        <v>144</v>
      </c>
      <c r="AU48" s="116" t="s">
        <v>52</v>
      </c>
      <c r="AV48" s="116">
        <v>1</v>
      </c>
      <c r="AX48" s="116" t="s">
        <v>273</v>
      </c>
    </row>
    <row r="49" spans="2:50" s="116" customFormat="1">
      <c r="C49" s="116" t="s">
        <v>274</v>
      </c>
      <c r="D49" s="116" t="s">
        <v>156</v>
      </c>
      <c r="E49" s="116" t="s">
        <v>275</v>
      </c>
      <c r="G49" s="116" t="s">
        <v>276</v>
      </c>
      <c r="H49" s="116" t="s">
        <v>277</v>
      </c>
      <c r="J49" s="116">
        <v>930000</v>
      </c>
      <c r="K49" s="116">
        <v>1</v>
      </c>
      <c r="M49" s="116" t="s">
        <v>160</v>
      </c>
      <c r="N49" s="116" t="s">
        <v>278</v>
      </c>
      <c r="P49" s="116" t="s">
        <v>135</v>
      </c>
      <c r="Q49" s="116" t="s">
        <v>136</v>
      </c>
      <c r="R49" s="116" t="s">
        <v>137</v>
      </c>
      <c r="S49" s="116" t="s">
        <v>135</v>
      </c>
      <c r="T49" s="116" t="s">
        <v>138</v>
      </c>
      <c r="W49" s="116" t="s">
        <v>139</v>
      </c>
      <c r="X49" s="116">
        <v>123.71</v>
      </c>
      <c r="Y49" s="116">
        <v>123.71</v>
      </c>
      <c r="Z49" s="116">
        <v>930000</v>
      </c>
      <c r="AB49" s="120">
        <f>Z49/Y49</f>
        <v>7517.5814404656057</v>
      </c>
      <c r="AD49" s="116" t="s">
        <v>279</v>
      </c>
      <c r="AF49" s="116" t="s">
        <v>280</v>
      </c>
      <c r="AG49" s="116" t="s">
        <v>281</v>
      </c>
      <c r="AH49" s="116" t="s">
        <v>160</v>
      </c>
      <c r="AI49" s="116" t="s">
        <v>278</v>
      </c>
      <c r="AJ49" s="116" t="s">
        <v>67</v>
      </c>
      <c r="AK49" s="116" t="s">
        <v>143</v>
      </c>
      <c r="AL49" s="116">
        <v>123.71</v>
      </c>
      <c r="AN49" s="116">
        <v>1</v>
      </c>
      <c r="AO49" s="116">
        <v>4</v>
      </c>
      <c r="AS49" s="116" t="s">
        <v>143</v>
      </c>
      <c r="AT49" s="116" t="s">
        <v>144</v>
      </c>
      <c r="AU49" s="116" t="s">
        <v>52</v>
      </c>
      <c r="AV49" s="116">
        <v>2</v>
      </c>
      <c r="AX49" s="116" t="s">
        <v>246</v>
      </c>
    </row>
    <row r="50" spans="2:50" s="116" customFormat="1">
      <c r="C50" s="116" t="s">
        <v>282</v>
      </c>
      <c r="D50" s="116" t="s">
        <v>176</v>
      </c>
      <c r="E50" s="116" t="s">
        <v>283</v>
      </c>
      <c r="G50" s="116" t="s">
        <v>284</v>
      </c>
      <c r="H50" s="116" t="s">
        <v>285</v>
      </c>
      <c r="J50" s="116">
        <v>1005100</v>
      </c>
      <c r="K50" s="116">
        <v>1</v>
      </c>
      <c r="M50" s="116" t="s">
        <v>196</v>
      </c>
      <c r="N50" s="116" t="s">
        <v>286</v>
      </c>
      <c r="P50" s="116" t="s">
        <v>135</v>
      </c>
      <c r="Q50" s="116" t="s">
        <v>136</v>
      </c>
      <c r="R50" s="116" t="s">
        <v>137</v>
      </c>
      <c r="S50" s="116" t="s">
        <v>135</v>
      </c>
      <c r="T50" s="116" t="s">
        <v>138</v>
      </c>
      <c r="W50" s="116" t="s">
        <v>139</v>
      </c>
      <c r="X50" s="116">
        <v>134.04</v>
      </c>
      <c r="Y50" s="116">
        <v>134.04</v>
      </c>
      <c r="Z50" s="116">
        <v>1005100</v>
      </c>
      <c r="AB50" s="120">
        <f>Z50/Y50</f>
        <v>7498.5079080871383</v>
      </c>
      <c r="AD50" s="116" t="s">
        <v>287</v>
      </c>
      <c r="AF50" s="116" t="s">
        <v>199</v>
      </c>
      <c r="AG50" s="116" t="s">
        <v>288</v>
      </c>
      <c r="AH50" s="116" t="s">
        <v>196</v>
      </c>
      <c r="AI50" s="116" t="s">
        <v>286</v>
      </c>
      <c r="AJ50" s="116" t="s">
        <v>67</v>
      </c>
      <c r="AK50" s="116" t="s">
        <v>143</v>
      </c>
      <c r="AL50" s="116">
        <v>134.04</v>
      </c>
      <c r="AN50" s="116">
        <v>1.2</v>
      </c>
      <c r="AO50" s="116">
        <v>5</v>
      </c>
      <c r="AS50" s="116" t="s">
        <v>143</v>
      </c>
      <c r="AT50" s="116" t="s">
        <v>144</v>
      </c>
      <c r="AU50" s="116" t="s">
        <v>52</v>
      </c>
      <c r="AV50" s="116">
        <v>2</v>
      </c>
      <c r="AX50" s="116" t="s">
        <v>289</v>
      </c>
    </row>
    <row r="51" spans="2:50" s="116" customFormat="1">
      <c r="C51" s="116" t="s">
        <v>290</v>
      </c>
      <c r="D51" s="116" t="s">
        <v>129</v>
      </c>
      <c r="E51" s="116" t="s">
        <v>147</v>
      </c>
      <c r="G51" s="116" t="s">
        <v>291</v>
      </c>
      <c r="H51" s="116" t="s">
        <v>292</v>
      </c>
      <c r="J51" s="116">
        <v>1301000</v>
      </c>
      <c r="K51" s="116">
        <v>1</v>
      </c>
      <c r="M51" s="116" t="s">
        <v>293</v>
      </c>
      <c r="N51" s="116" t="s">
        <v>294</v>
      </c>
      <c r="P51" s="116" t="s">
        <v>135</v>
      </c>
      <c r="Q51" s="116" t="s">
        <v>136</v>
      </c>
      <c r="R51" s="116" t="s">
        <v>137</v>
      </c>
      <c r="S51" s="116" t="s">
        <v>135</v>
      </c>
      <c r="T51" s="116" t="s">
        <v>138</v>
      </c>
      <c r="W51" s="116" t="s">
        <v>139</v>
      </c>
      <c r="X51" s="116">
        <v>183.4</v>
      </c>
      <c r="Y51" s="116">
        <v>183.4</v>
      </c>
      <c r="Z51" s="116">
        <v>1301000</v>
      </c>
      <c r="AB51" s="120">
        <f>Z51/Y51</f>
        <v>7093.7840785169028</v>
      </c>
      <c r="AD51" s="116" t="s">
        <v>295</v>
      </c>
      <c r="AF51" s="116" t="s">
        <v>296</v>
      </c>
      <c r="AG51" s="116" t="s">
        <v>297</v>
      </c>
      <c r="AH51" s="116" t="s">
        <v>293</v>
      </c>
      <c r="AI51" s="116" t="s">
        <v>294</v>
      </c>
      <c r="AJ51" s="116" t="s">
        <v>67</v>
      </c>
      <c r="AK51" s="116" t="s">
        <v>143</v>
      </c>
      <c r="AL51" s="116">
        <v>183.4</v>
      </c>
      <c r="AN51" s="116">
        <v>1.2</v>
      </c>
      <c r="AO51" s="116">
        <v>6</v>
      </c>
      <c r="AS51" s="116" t="s">
        <v>143</v>
      </c>
      <c r="AT51" s="116" t="s">
        <v>144</v>
      </c>
      <c r="AU51" s="116" t="s">
        <v>52</v>
      </c>
      <c r="AV51" s="116">
        <v>1</v>
      </c>
      <c r="AX51" s="116" t="s">
        <v>254</v>
      </c>
    </row>
    <row r="52" spans="2:50" s="116" customFormat="1">
      <c r="C52" s="116" t="s">
        <v>298</v>
      </c>
      <c r="D52" s="116" t="s">
        <v>129</v>
      </c>
      <c r="E52" s="116" t="s">
        <v>147</v>
      </c>
      <c r="G52" s="116" t="s">
        <v>299</v>
      </c>
      <c r="H52" s="116" t="s">
        <v>157</v>
      </c>
      <c r="J52" s="116">
        <v>1023000</v>
      </c>
      <c r="K52" s="116">
        <v>1</v>
      </c>
      <c r="M52" s="116" t="s">
        <v>293</v>
      </c>
      <c r="N52" s="116" t="s">
        <v>300</v>
      </c>
      <c r="P52" s="116" t="s">
        <v>135</v>
      </c>
      <c r="Q52" s="116" t="s">
        <v>136</v>
      </c>
      <c r="R52" s="116" t="s">
        <v>137</v>
      </c>
      <c r="S52" s="116" t="s">
        <v>135</v>
      </c>
      <c r="T52" s="116" t="s">
        <v>138</v>
      </c>
      <c r="W52" s="116" t="s">
        <v>139</v>
      </c>
      <c r="X52" s="116">
        <v>146.9</v>
      </c>
      <c r="Y52" s="116">
        <v>146.9</v>
      </c>
      <c r="Z52" s="116">
        <v>1023000</v>
      </c>
      <c r="AB52" s="120">
        <f>Z52/Y52</f>
        <v>6963.9210347174949</v>
      </c>
      <c r="AD52" s="116" t="s">
        <v>301</v>
      </c>
      <c r="AF52" s="116" t="s">
        <v>296</v>
      </c>
      <c r="AG52" s="116" t="s">
        <v>302</v>
      </c>
      <c r="AH52" s="116" t="s">
        <v>293</v>
      </c>
      <c r="AI52" s="116" t="s">
        <v>300</v>
      </c>
      <c r="AJ52" s="116" t="s">
        <v>67</v>
      </c>
      <c r="AK52" s="116" t="s">
        <v>143</v>
      </c>
      <c r="AL52" s="116">
        <v>146.9</v>
      </c>
      <c r="AN52" s="116">
        <v>1.2</v>
      </c>
      <c r="AO52" s="116">
        <v>5</v>
      </c>
      <c r="AS52" s="116" t="s">
        <v>143</v>
      </c>
      <c r="AT52" s="116" t="s">
        <v>144</v>
      </c>
      <c r="AU52" s="116" t="s">
        <v>52</v>
      </c>
      <c r="AV52" s="116">
        <v>2</v>
      </c>
      <c r="AX52" s="116" t="s">
        <v>239</v>
      </c>
    </row>
    <row r="55" spans="2:50">
      <c r="B55" s="63" t="s">
        <v>132</v>
      </c>
      <c r="C55" s="96" t="s">
        <v>133</v>
      </c>
      <c r="D55" s="64" t="s">
        <v>134</v>
      </c>
      <c r="E55" s="65">
        <v>169.76</v>
      </c>
      <c r="F55" s="66">
        <v>1779900</v>
      </c>
      <c r="G55" s="86">
        <f t="shared" ref="G55:G56" si="0">F55*(1+0.005)^K55</f>
        <v>1844193.9791285093</v>
      </c>
      <c r="H55" s="86">
        <f t="shared" ref="H55:H56" si="1">F55/E55</f>
        <v>10484.802073515551</v>
      </c>
      <c r="I55" s="86"/>
      <c r="J55">
        <f t="shared" ref="J55:J56" si="2">_xlfn.DAYS($J$1,B55)</f>
        <v>217</v>
      </c>
      <c r="K55" s="52">
        <f t="shared" ref="K55:K56" si="3">J55/30.5</f>
        <v>7.1147540983606561</v>
      </c>
    </row>
    <row r="56" spans="2:50">
      <c r="B56" s="63" t="s">
        <v>149</v>
      </c>
      <c r="C56" s="96" t="s">
        <v>150</v>
      </c>
      <c r="D56" s="64" t="s">
        <v>151</v>
      </c>
      <c r="E56" s="65">
        <v>173.24</v>
      </c>
      <c r="F56" s="66">
        <v>1800000</v>
      </c>
      <c r="G56" s="86">
        <f t="shared" si="0"/>
        <v>1851649.1130110743</v>
      </c>
      <c r="H56" s="86">
        <f t="shared" si="1"/>
        <v>10390.210113137842</v>
      </c>
      <c r="I56" s="86"/>
      <c r="J56" s="115">
        <f t="shared" si="2"/>
        <v>173</v>
      </c>
      <c r="K56" s="52">
        <f t="shared" si="3"/>
        <v>5.6721311475409832</v>
      </c>
    </row>
    <row r="57" spans="2:50">
      <c r="B57" s="63" t="s">
        <v>179</v>
      </c>
      <c r="C57" s="96" t="s">
        <v>180</v>
      </c>
      <c r="D57" s="64" t="s">
        <v>181</v>
      </c>
      <c r="E57" s="65">
        <v>84.21</v>
      </c>
      <c r="F57" s="66">
        <v>790000</v>
      </c>
      <c r="G57" s="86">
        <f>F57*(1+0.005)^K57</f>
        <v>816664.78725771641</v>
      </c>
      <c r="H57" s="86">
        <f>F57/E57</f>
        <v>9381.3086331789582</v>
      </c>
      <c r="I57" s="86">
        <f>H57*(1+0.005)^K57</f>
        <v>9697.9549609038895</v>
      </c>
      <c r="J57" s="115">
        <f>_xlfn.DAYS($J$1,B57)</f>
        <v>203</v>
      </c>
      <c r="K57" s="52">
        <f>J57/30.5</f>
        <v>6.6557377049180326</v>
      </c>
    </row>
    <row r="58" spans="2:50">
      <c r="B58" s="63" t="s">
        <v>220</v>
      </c>
      <c r="C58" s="96" t="s">
        <v>217</v>
      </c>
      <c r="D58" s="64"/>
      <c r="E58" s="65">
        <v>154.22999999999999</v>
      </c>
      <c r="F58" s="66">
        <v>1279848.8</v>
      </c>
      <c r="G58" s="86">
        <f>F58*(1+0.005)^K58</f>
        <v>1324562.7377162066</v>
      </c>
      <c r="H58" s="86">
        <f>F58/E58</f>
        <v>8298.3129092913186</v>
      </c>
      <c r="I58" s="86">
        <f>H58*(1+0.005)^K58</f>
        <v>8588.2301609038877</v>
      </c>
      <c r="J58" s="115">
        <f>_xlfn.DAYS($J$1,B58)</f>
        <v>210</v>
      </c>
      <c r="K58" s="52">
        <f>J58/30.5</f>
        <v>6.8852459016393439</v>
      </c>
    </row>
    <row r="60" spans="2:50" s="116" customFormat="1">
      <c r="C60" s="116" t="s">
        <v>324</v>
      </c>
      <c r="D60" s="116" t="s">
        <v>217</v>
      </c>
      <c r="E60" s="116" t="s">
        <v>325</v>
      </c>
      <c r="G60" s="116" t="s">
        <v>326</v>
      </c>
      <c r="H60" s="116" t="s">
        <v>327</v>
      </c>
      <c r="J60" s="116">
        <v>899365.5</v>
      </c>
      <c r="K60" s="116">
        <v>1</v>
      </c>
      <c r="M60" s="116" t="s">
        <v>221</v>
      </c>
      <c r="N60" s="116" t="s">
        <v>328</v>
      </c>
      <c r="P60" s="116" t="s">
        <v>138</v>
      </c>
      <c r="Q60" s="116" t="s">
        <v>136</v>
      </c>
      <c r="R60" s="116" t="s">
        <v>137</v>
      </c>
      <c r="S60" s="116" t="s">
        <v>138</v>
      </c>
      <c r="T60" s="116" t="s">
        <v>138</v>
      </c>
      <c r="W60" s="116" t="s">
        <v>139</v>
      </c>
      <c r="X60" s="116">
        <v>133.87</v>
      </c>
      <c r="Y60" s="116">
        <v>133.87</v>
      </c>
      <c r="Z60" s="116">
        <v>899365.5</v>
      </c>
      <c r="AB60" s="123">
        <v>6718.2004930156118</v>
      </c>
      <c r="AD60" s="116" t="s">
        <v>329</v>
      </c>
      <c r="AF60" s="116" t="s">
        <v>224</v>
      </c>
      <c r="AG60" s="116" t="s">
        <v>330</v>
      </c>
      <c r="AH60" s="116" t="s">
        <v>221</v>
      </c>
      <c r="AI60" s="116" t="s">
        <v>328</v>
      </c>
      <c r="AJ60" s="116" t="s">
        <v>67</v>
      </c>
      <c r="AK60" s="116" t="s">
        <v>143</v>
      </c>
      <c r="AL60" s="116">
        <v>133.87</v>
      </c>
      <c r="AN60" s="116">
        <v>1.2</v>
      </c>
      <c r="AO60" s="116">
        <v>4</v>
      </c>
      <c r="AS60" s="116" t="s">
        <v>143</v>
      </c>
      <c r="AT60" s="116" t="s">
        <v>144</v>
      </c>
      <c r="AU60" s="116" t="s">
        <v>52</v>
      </c>
      <c r="AV60" s="116">
        <v>24</v>
      </c>
      <c r="AX60" s="116" t="s">
        <v>331</v>
      </c>
    </row>
    <row r="61" spans="2:50" s="116" customFormat="1">
      <c r="C61" s="116" t="s">
        <v>332</v>
      </c>
      <c r="D61" s="116" t="s">
        <v>333</v>
      </c>
      <c r="E61" s="116" t="s">
        <v>334</v>
      </c>
      <c r="G61" s="116" t="s">
        <v>335</v>
      </c>
      <c r="H61" s="116" t="s">
        <v>235</v>
      </c>
      <c r="J61" s="116">
        <v>700000</v>
      </c>
      <c r="K61" s="116">
        <v>1</v>
      </c>
      <c r="M61" s="116" t="s">
        <v>336</v>
      </c>
      <c r="N61" s="116" t="s">
        <v>337</v>
      </c>
      <c r="P61" s="116" t="s">
        <v>138</v>
      </c>
      <c r="Q61" s="116" t="s">
        <v>136</v>
      </c>
      <c r="R61" s="116" t="s">
        <v>137</v>
      </c>
      <c r="S61" s="116" t="s">
        <v>138</v>
      </c>
      <c r="T61" s="116" t="s">
        <v>138</v>
      </c>
      <c r="W61" s="116" t="s">
        <v>139</v>
      </c>
      <c r="X61" s="116">
        <v>107.67</v>
      </c>
      <c r="Y61" s="116">
        <v>107.67</v>
      </c>
      <c r="Z61" s="116">
        <v>700000</v>
      </c>
      <c r="AB61" s="123">
        <v>6501.3467075322742</v>
      </c>
      <c r="AD61" s="116" t="s">
        <v>338</v>
      </c>
      <c r="AF61" s="116" t="s">
        <v>339</v>
      </c>
      <c r="AG61" s="116" t="s">
        <v>340</v>
      </c>
      <c r="AH61" s="116" t="s">
        <v>336</v>
      </c>
      <c r="AI61" s="116" t="s">
        <v>337</v>
      </c>
      <c r="AJ61" s="116" t="s">
        <v>67</v>
      </c>
      <c r="AK61" s="116" t="s">
        <v>143</v>
      </c>
      <c r="AL61" s="116">
        <v>107.67</v>
      </c>
      <c r="AN61" s="116">
        <v>1.2</v>
      </c>
      <c r="AO61" s="116">
        <v>4</v>
      </c>
      <c r="AS61" s="116" t="s">
        <v>143</v>
      </c>
      <c r="AT61" s="116" t="s">
        <v>144</v>
      </c>
      <c r="AU61" s="116" t="s">
        <v>52</v>
      </c>
      <c r="AV61" s="116">
        <v>2</v>
      </c>
      <c r="AX61" s="116" t="s">
        <v>341</v>
      </c>
    </row>
    <row r="62" spans="2:50" s="116" customFormat="1">
      <c r="C62" s="116" t="s">
        <v>342</v>
      </c>
      <c r="D62" s="116" t="s">
        <v>343</v>
      </c>
      <c r="E62" s="116" t="s">
        <v>344</v>
      </c>
      <c r="G62" s="116" t="s">
        <v>345</v>
      </c>
      <c r="H62" s="116" t="s">
        <v>346</v>
      </c>
      <c r="J62" s="116">
        <v>1200000</v>
      </c>
      <c r="K62" s="116">
        <v>1</v>
      </c>
      <c r="M62" s="116" t="s">
        <v>347</v>
      </c>
      <c r="N62" s="116" t="s">
        <v>348</v>
      </c>
      <c r="P62" s="116" t="s">
        <v>135</v>
      </c>
      <c r="Q62" s="116" t="s">
        <v>136</v>
      </c>
      <c r="R62" s="116" t="s">
        <v>137</v>
      </c>
      <c r="S62" s="116" t="s">
        <v>135</v>
      </c>
      <c r="T62" s="116" t="s">
        <v>138</v>
      </c>
      <c r="W62" s="116" t="s">
        <v>139</v>
      </c>
      <c r="X62" s="116">
        <v>187.7</v>
      </c>
      <c r="Y62" s="116">
        <v>187.7</v>
      </c>
      <c r="Z62" s="116">
        <v>1200000</v>
      </c>
      <c r="AB62" s="123">
        <v>6393.1806073521584</v>
      </c>
      <c r="AD62" s="116" t="s">
        <v>349</v>
      </c>
      <c r="AF62" s="116" t="s">
        <v>350</v>
      </c>
      <c r="AG62" s="116" t="s">
        <v>351</v>
      </c>
      <c r="AH62" s="116" t="s">
        <v>347</v>
      </c>
      <c r="AI62" s="116" t="s">
        <v>348</v>
      </c>
      <c r="AJ62" s="116" t="s">
        <v>67</v>
      </c>
      <c r="AK62" s="116" t="s">
        <v>143</v>
      </c>
      <c r="AL62" s="116">
        <v>187.7</v>
      </c>
      <c r="AN62" s="116">
        <v>1.2</v>
      </c>
      <c r="AO62" s="116">
        <v>6</v>
      </c>
      <c r="AS62" s="116" t="s">
        <v>143</v>
      </c>
      <c r="AT62" s="116" t="s">
        <v>144</v>
      </c>
      <c r="AU62" s="116" t="s">
        <v>52</v>
      </c>
      <c r="AV62" s="116">
        <v>1</v>
      </c>
      <c r="AX62" s="116" t="s">
        <v>352</v>
      </c>
    </row>
  </sheetData>
  <autoFilter ref="B1:K15" xr:uid="{00000000-0001-0000-0100-000000000000}">
    <sortState xmlns:xlrd2="http://schemas.microsoft.com/office/spreadsheetml/2017/richdata2" ref="B2:K21">
      <sortCondition descending="1" ref="G1:G1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7:M14"/>
  <sheetViews>
    <sheetView workbookViewId="0">
      <selection activeCell="M12" sqref="K7:M12"/>
    </sheetView>
  </sheetViews>
  <sheetFormatPr defaultRowHeight="13.2"/>
  <cols>
    <col min="11" max="13" width="13.88671875" customWidth="1"/>
  </cols>
  <sheetData>
    <row r="7" spans="11:13">
      <c r="K7" s="60" t="s">
        <v>24</v>
      </c>
      <c r="L7" s="60" t="s">
        <v>25</v>
      </c>
      <c r="M7" s="60" t="s">
        <v>26</v>
      </c>
    </row>
    <row r="8" spans="11:13">
      <c r="K8" s="76">
        <f>MIN('baza transakcji'!I2:I30)</f>
        <v>6604.6474245666241</v>
      </c>
      <c r="L8" s="76">
        <f>AVERAGE('baza transakcji'!I2:I30)</f>
        <v>8214.183246932902</v>
      </c>
      <c r="M8" s="76">
        <f>MAX('baza transakcji'!I2:I30)</f>
        <v>9799.4969114423966</v>
      </c>
    </row>
    <row r="9" spans="11:13" hidden="1">
      <c r="K9" s="75"/>
      <c r="L9" s="75"/>
      <c r="M9" s="75"/>
    </row>
    <row r="10" spans="11:13">
      <c r="K10" s="109" t="s">
        <v>27</v>
      </c>
      <c r="L10" s="109"/>
      <c r="M10" s="109"/>
    </row>
    <row r="11" spans="11:13">
      <c r="K11" s="60" t="s">
        <v>28</v>
      </c>
      <c r="L11" s="110"/>
      <c r="M11" s="60" t="s">
        <v>29</v>
      </c>
    </row>
    <row r="12" spans="11:13">
      <c r="K12" s="77">
        <f>K8/L8</f>
        <v>0.80405406429576998</v>
      </c>
      <c r="L12" s="110"/>
      <c r="M12" s="77">
        <f>M8/L8</f>
        <v>1.1929971144850506</v>
      </c>
    </row>
    <row r="14" spans="11:13">
      <c r="K14" s="52">
        <f>1-K12</f>
        <v>0.19594593570423002</v>
      </c>
      <c r="L14" s="52"/>
      <c r="M14" s="52">
        <f>M12-1</f>
        <v>0.19299711448505064</v>
      </c>
    </row>
  </sheetData>
  <mergeCells count="2">
    <mergeCell ref="K10:M10"/>
    <mergeCell ref="L11:L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FB8C-C68F-4013-8946-91F2B8137C6B}">
  <dimension ref="D6:G33"/>
  <sheetViews>
    <sheetView topLeftCell="B2" workbookViewId="0">
      <selection activeCell="F25" sqref="D6:F25"/>
    </sheetView>
  </sheetViews>
  <sheetFormatPr defaultRowHeight="13.2"/>
  <cols>
    <col min="5" max="5" width="29" customWidth="1"/>
    <col min="6" max="6" width="12.77734375" customWidth="1"/>
  </cols>
  <sheetData>
    <row r="6" spans="4:6">
      <c r="D6" s="111" t="s">
        <v>62</v>
      </c>
      <c r="E6" s="111"/>
      <c r="F6" s="111"/>
    </row>
    <row r="7" spans="4:6">
      <c r="D7" s="111" t="s">
        <v>61</v>
      </c>
      <c r="E7" s="111"/>
      <c r="F7" s="111"/>
    </row>
    <row r="8" spans="4:6">
      <c r="D8" s="93" t="s">
        <v>1</v>
      </c>
      <c r="E8" s="93" t="s">
        <v>59</v>
      </c>
      <c r="F8" s="93" t="s">
        <v>60</v>
      </c>
    </row>
    <row r="9" spans="4:6">
      <c r="D9" s="91">
        <v>1</v>
      </c>
      <c r="E9" s="91" t="s">
        <v>70</v>
      </c>
      <c r="F9" s="94">
        <v>5.42</v>
      </c>
    </row>
    <row r="10" spans="4:6">
      <c r="D10" s="91">
        <v>2</v>
      </c>
      <c r="E10" s="91" t="s">
        <v>71</v>
      </c>
      <c r="F10" s="94">
        <v>6.99</v>
      </c>
    </row>
    <row r="11" spans="4:6">
      <c r="D11" s="91">
        <v>3</v>
      </c>
      <c r="E11" s="91" t="s">
        <v>72</v>
      </c>
      <c r="F11" s="94">
        <v>3.43</v>
      </c>
    </row>
    <row r="12" spans="4:6">
      <c r="D12" s="91">
        <v>4</v>
      </c>
      <c r="E12" s="91" t="s">
        <v>73</v>
      </c>
      <c r="F12" s="94">
        <v>31.34</v>
      </c>
    </row>
    <row r="13" spans="4:6">
      <c r="D13" s="91">
        <v>5</v>
      </c>
      <c r="E13" s="91" t="s">
        <v>74</v>
      </c>
      <c r="F13" s="94">
        <v>20.62</v>
      </c>
    </row>
    <row r="14" spans="4:6" hidden="1">
      <c r="D14" s="91">
        <v>6</v>
      </c>
      <c r="E14" s="91"/>
      <c r="F14" s="94"/>
    </row>
    <row r="15" spans="4:6">
      <c r="D15" s="91"/>
      <c r="E15" s="93" t="s">
        <v>63</v>
      </c>
      <c r="F15" s="95">
        <f>SUM(F9:F14)</f>
        <v>67.8</v>
      </c>
    </row>
    <row r="16" spans="4:6">
      <c r="D16" s="111" t="s">
        <v>64</v>
      </c>
      <c r="E16" s="111"/>
      <c r="F16" s="111"/>
    </row>
    <row r="17" spans="4:7">
      <c r="D17" s="93" t="s">
        <v>1</v>
      </c>
      <c r="E17" s="93" t="s">
        <v>59</v>
      </c>
      <c r="F17" s="93" t="s">
        <v>60</v>
      </c>
    </row>
    <row r="18" spans="4:7">
      <c r="D18" s="91">
        <v>1</v>
      </c>
      <c r="E18" s="91" t="s">
        <v>71</v>
      </c>
      <c r="F18" s="94">
        <v>9.24</v>
      </c>
    </row>
    <row r="19" spans="4:7">
      <c r="D19" s="91">
        <v>2</v>
      </c>
      <c r="E19" s="91" t="s">
        <v>75</v>
      </c>
      <c r="F19" s="94">
        <v>13.76</v>
      </c>
    </row>
    <row r="20" spans="4:7">
      <c r="D20" s="91">
        <v>3</v>
      </c>
      <c r="E20" s="91" t="s">
        <v>76</v>
      </c>
      <c r="F20" s="94">
        <v>13.48</v>
      </c>
    </row>
    <row r="21" spans="4:7">
      <c r="D21" s="91">
        <v>4</v>
      </c>
      <c r="E21" s="91" t="s">
        <v>72</v>
      </c>
      <c r="F21" s="94">
        <v>6.09</v>
      </c>
    </row>
    <row r="22" spans="4:7">
      <c r="D22" s="91">
        <v>5</v>
      </c>
      <c r="E22" s="91" t="s">
        <v>77</v>
      </c>
      <c r="F22" s="94">
        <v>12.46</v>
      </c>
    </row>
    <row r="23" spans="4:7">
      <c r="D23" s="91">
        <v>6</v>
      </c>
      <c r="E23" s="91" t="s">
        <v>78</v>
      </c>
      <c r="F23" s="94">
        <v>12.71</v>
      </c>
    </row>
    <row r="24" spans="4:7">
      <c r="D24" s="91"/>
      <c r="E24" s="93" t="s">
        <v>65</v>
      </c>
      <c r="F24" s="95">
        <f>SUM(F18:F23)</f>
        <v>67.740000000000009</v>
      </c>
    </row>
    <row r="25" spans="4:7">
      <c r="D25" s="91"/>
      <c r="E25" s="93" t="s">
        <v>66</v>
      </c>
      <c r="F25" s="95">
        <f>F15+F24</f>
        <v>135.54000000000002</v>
      </c>
    </row>
    <row r="26" spans="4:7">
      <c r="D26" s="90"/>
      <c r="E26" s="90"/>
      <c r="F26" s="90"/>
    </row>
    <row r="28" spans="4:7">
      <c r="E28">
        <v>1080000</v>
      </c>
    </row>
    <row r="29" spans="4:7">
      <c r="E29">
        <v>35000</v>
      </c>
      <c r="F29" s="92"/>
    </row>
    <row r="30" spans="4:7">
      <c r="E30" s="112">
        <f>E28+E29</f>
        <v>1115000</v>
      </c>
      <c r="F30" t="s">
        <v>80</v>
      </c>
      <c r="G30" s="113">
        <f>E30/F25</f>
        <v>8226.3538438837222</v>
      </c>
    </row>
    <row r="32" spans="4:7">
      <c r="E32">
        <v>70000</v>
      </c>
      <c r="F32" t="s">
        <v>79</v>
      </c>
    </row>
    <row r="33" spans="5:7">
      <c r="E33" s="112">
        <f>E28+E32</f>
        <v>1150000</v>
      </c>
      <c r="G33" s="113">
        <f>E33/F25</f>
        <v>8484.580197727606</v>
      </c>
    </row>
  </sheetData>
  <mergeCells count="3">
    <mergeCell ref="D6:F6"/>
    <mergeCell ref="D7:F7"/>
    <mergeCell ref="D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kalkulacja wartości</vt:lpstr>
      <vt:lpstr>baza transakcji</vt:lpstr>
      <vt:lpstr>tabelki</vt:lpstr>
      <vt:lpstr>zest</vt:lpstr>
      <vt:lpstr>'kalkulacja wartości'!Obszar_wydruku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Małocha</dc:creator>
  <cp:lastModifiedBy>Urszula Zapał</cp:lastModifiedBy>
  <cp:lastPrinted>2016-09-22T11:04:26Z</cp:lastPrinted>
  <dcterms:created xsi:type="dcterms:W3CDTF">1997-12-04T11:09:54Z</dcterms:created>
  <dcterms:modified xsi:type="dcterms:W3CDTF">2024-09-02T21:37:29Z</dcterms:modified>
</cp:coreProperties>
</file>